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v18-fps\users\Paksivatkina\pr\Desktop\"/>
    </mc:Choice>
  </mc:AlternateContent>
  <bookViews>
    <workbookView xWindow="0" yWindow="465" windowWidth="28800" windowHeight="16020"/>
  </bookViews>
  <sheets>
    <sheet name="Словарь" sheetId="10" r:id="rId1"/>
    <sheet name="Анкета субъекта" sheetId="11" r:id="rId2"/>
    <sheet name="Анкета МО" sheetId="12" r:id="rId3"/>
    <sheet name="Практики субъектов" sheetId="1" r:id="rId4"/>
    <sheet name="Практики МО" sheetId="9" r:id="rId5"/>
    <sheet name="База практик" sheetId="6" r:id="rId6"/>
    <sheet name="Расчеты" sheetId="7" r:id="rId7"/>
    <sheet name="Таблицы и инфографика" sheetId="8" r:id="rId8"/>
  </sheets>
  <externalReferences>
    <externalReference r:id="rId9"/>
    <externalReference r:id="rId10"/>
    <externalReference r:id="rId11"/>
    <externalReference r:id="rId12"/>
  </externalReferences>
  <definedNames>
    <definedName name="_xlnm._FilterDatabase" localSheetId="5" hidden="1">'База практик'!$C$1:$EX$311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5" i="12" l="1"/>
  <c r="F70" i="11"/>
  <c r="J38" i="8"/>
  <c r="J36" i="8"/>
  <c r="J35" i="8"/>
  <c r="J32" i="8"/>
  <c r="J10" i="8"/>
  <c r="J9" i="8"/>
  <c r="J5" i="8"/>
  <c r="AJ12" i="6"/>
  <c r="M177" i="6" l="1"/>
  <c r="CQ146" i="7" l="1"/>
  <c r="CR146" i="7"/>
  <c r="X145" i="7"/>
  <c r="Y145" i="7"/>
  <c r="Y146" i="7" s="1"/>
  <c r="Z145" i="7"/>
  <c r="Z146" i="7" s="1"/>
  <c r="AA145" i="7"/>
  <c r="AA146" i="7" s="1"/>
  <c r="AB145" i="7"/>
  <c r="AB146" i="7" s="1"/>
  <c r="AC145" i="7"/>
  <c r="AC146" i="7" s="1"/>
  <c r="AE145" i="7"/>
  <c r="AE146" i="7" s="1"/>
  <c r="AF145" i="7"/>
  <c r="AG145" i="7"/>
  <c r="AG146" i="7" s="1"/>
  <c r="AH145" i="7"/>
  <c r="AH146" i="7" s="1"/>
  <c r="AI145" i="7"/>
  <c r="AI146" i="7" s="1"/>
  <c r="AJ145" i="7"/>
  <c r="AJ146" i="7" s="1"/>
  <c r="AK145" i="7"/>
  <c r="AK146" i="7" s="1"/>
  <c r="AL145" i="7"/>
  <c r="AL146" i="7" s="1"/>
  <c r="AM145" i="7"/>
  <c r="AM146" i="7" s="1"/>
  <c r="AO145" i="7"/>
  <c r="AP145" i="7"/>
  <c r="AQ145" i="7"/>
  <c r="AQ146" i="7" s="1"/>
  <c r="AR145" i="7"/>
  <c r="AR146" i="7" s="1"/>
  <c r="AS145" i="7"/>
  <c r="AS146" i="7" s="1"/>
  <c r="AT145" i="7"/>
  <c r="AT146" i="7" s="1"/>
  <c r="AU145" i="7"/>
  <c r="AU146" i="7" s="1"/>
  <c r="AV145" i="7"/>
  <c r="AV146" i="7" s="1"/>
  <c r="AW145" i="7"/>
  <c r="AW146" i="7" s="1"/>
  <c r="AX145" i="7"/>
  <c r="AX146" i="7" s="1"/>
  <c r="AY145" i="7"/>
  <c r="AY146" i="7" s="1"/>
  <c r="AZ145" i="7"/>
  <c r="AZ146" i="7" s="1"/>
  <c r="BA145" i="7"/>
  <c r="BA146" i="7" s="1"/>
  <c r="BB145" i="7"/>
  <c r="BB146" i="7" s="1"/>
  <c r="BC145" i="7"/>
  <c r="BD145" i="7"/>
  <c r="BD146" i="7" s="1"/>
  <c r="BE145" i="7"/>
  <c r="BF145" i="7"/>
  <c r="BG145" i="7"/>
  <c r="BG146" i="7" s="1"/>
  <c r="BH145" i="7"/>
  <c r="BH146" i="7" s="1"/>
  <c r="BI145" i="7"/>
  <c r="BI146" i="7" s="1"/>
  <c r="BJ145" i="7"/>
  <c r="BK145" i="7"/>
  <c r="BL145" i="7"/>
  <c r="BL146" i="7" s="1"/>
  <c r="BM145" i="7"/>
  <c r="BM146" i="7" s="1"/>
  <c r="BN145" i="7"/>
  <c r="BN146" i="7" s="1"/>
  <c r="BP145" i="7"/>
  <c r="BP146" i="7" s="1"/>
  <c r="BQ145" i="7"/>
  <c r="BQ146" i="7" s="1"/>
  <c r="BR145" i="7"/>
  <c r="BS145" i="7"/>
  <c r="BS146" i="7" s="1"/>
  <c r="BT145" i="7"/>
  <c r="BT146" i="7" s="1"/>
  <c r="BU145" i="7"/>
  <c r="BU146" i="7" s="1"/>
  <c r="BV145" i="7"/>
  <c r="BX145" i="7"/>
  <c r="BX146" i="7" s="1"/>
  <c r="BY145" i="7"/>
  <c r="BY146" i="7" s="1"/>
  <c r="BZ145" i="7"/>
  <c r="BZ146" i="7" s="1"/>
  <c r="CA145" i="7"/>
  <c r="CA146" i="7" s="1"/>
  <c r="CB145" i="7"/>
  <c r="CB146" i="7" s="1"/>
  <c r="CC145" i="7"/>
  <c r="CD145" i="7"/>
  <c r="CD146" i="7" s="1"/>
  <c r="CE145" i="7"/>
  <c r="CE146" i="7" s="1"/>
  <c r="CF145" i="7"/>
  <c r="CG145" i="7"/>
  <c r="CG146" i="7" s="1"/>
  <c r="CH145" i="7"/>
  <c r="CH146" i="7" s="1"/>
  <c r="CI145" i="7"/>
  <c r="CI146" i="7" s="1"/>
  <c r="CJ145" i="7"/>
  <c r="CJ146" i="7" s="1"/>
  <c r="CK145" i="7"/>
  <c r="CL145" i="7"/>
  <c r="CL146" i="7" s="1"/>
  <c r="CM145" i="7"/>
  <c r="CM146" i="7" s="1"/>
  <c r="CN145" i="7"/>
  <c r="CO145" i="7"/>
  <c r="CO146" i="7" s="1"/>
  <c r="CP145" i="7"/>
  <c r="CS145" i="7"/>
  <c r="CU145" i="7"/>
  <c r="CU146" i="7" s="1"/>
  <c r="CV145" i="7"/>
  <c r="CV146" i="7" s="1"/>
  <c r="CW145" i="7"/>
  <c r="CW146" i="7" s="1"/>
  <c r="R145" i="7"/>
  <c r="R146" i="7" s="1"/>
  <c r="S145" i="7"/>
  <c r="S146" i="7" s="1"/>
  <c r="T145" i="7"/>
  <c r="T146" i="7" s="1"/>
  <c r="U145" i="7"/>
  <c r="U146" i="7" s="1"/>
  <c r="V145" i="7"/>
  <c r="V146" i="7" s="1"/>
  <c r="W145" i="7"/>
  <c r="W146" i="7" s="1"/>
  <c r="Q145" i="7"/>
  <c r="Q146" i="7" s="1"/>
  <c r="CW82" i="7"/>
  <c r="CV82" i="7"/>
  <c r="CU82" i="7"/>
  <c r="CR82" i="7"/>
  <c r="CQ82" i="7"/>
  <c r="CO82" i="7"/>
  <c r="CN82" i="7"/>
  <c r="CM82" i="7"/>
  <c r="CL82" i="7"/>
  <c r="CJ82" i="7"/>
  <c r="CI82" i="7"/>
  <c r="CH82" i="7"/>
  <c r="CG82" i="7"/>
  <c r="CF82" i="7"/>
  <c r="CD82" i="7"/>
  <c r="CB82" i="7"/>
  <c r="BZ82" i="7"/>
  <c r="BY82" i="7"/>
  <c r="BX82" i="7"/>
  <c r="BV82" i="7"/>
  <c r="BT82" i="7"/>
  <c r="BP82" i="7"/>
  <c r="BL82" i="7"/>
  <c r="BJ82" i="7"/>
  <c r="BI82" i="7"/>
  <c r="BG82" i="7"/>
  <c r="BB82" i="7"/>
  <c r="BA82" i="7"/>
  <c r="AZ82" i="7"/>
  <c r="AY82" i="7"/>
  <c r="AX82" i="7"/>
  <c r="AW82" i="7"/>
  <c r="AV82" i="7"/>
  <c r="AT82" i="7"/>
  <c r="AS82" i="7"/>
  <c r="AR82" i="7"/>
  <c r="AQ82" i="7"/>
  <c r="AN82" i="7"/>
  <c r="AL82" i="7"/>
  <c r="AJ82" i="7"/>
  <c r="AI82" i="7"/>
  <c r="AG82" i="7"/>
  <c r="AH82" i="7"/>
  <c r="AE82" i="7"/>
  <c r="AC82" i="7"/>
  <c r="AA82" i="7"/>
  <c r="Z82" i="7"/>
  <c r="Y82" i="7"/>
  <c r="W82" i="7"/>
  <c r="V82" i="7"/>
  <c r="U82" i="7"/>
  <c r="T82" i="7"/>
  <c r="S82" i="7"/>
  <c r="Q82" i="7"/>
  <c r="Y66" i="7"/>
  <c r="Z66" i="7"/>
  <c r="AA66" i="7"/>
  <c r="AB66" i="7"/>
  <c r="AC66" i="7"/>
  <c r="AD66" i="7"/>
  <c r="AE66" i="7"/>
  <c r="AF66" i="7"/>
  <c r="AG66" i="7"/>
  <c r="AH66" i="7"/>
  <c r="AI66" i="7"/>
  <c r="AJ66" i="7"/>
  <c r="AK66" i="7"/>
  <c r="AM66" i="7"/>
  <c r="AN66" i="7"/>
  <c r="AO66" i="7"/>
  <c r="AP66" i="7"/>
  <c r="AQ66" i="7"/>
  <c r="AR66" i="7"/>
  <c r="AS66" i="7"/>
  <c r="AT66" i="7"/>
  <c r="AU66" i="7"/>
  <c r="AV66" i="7"/>
  <c r="AW66" i="7"/>
  <c r="AX66" i="7"/>
  <c r="AY66" i="7"/>
  <c r="AZ66" i="7"/>
  <c r="BA66" i="7"/>
  <c r="BB66" i="7"/>
  <c r="BC66" i="7"/>
  <c r="BD66" i="7"/>
  <c r="BE66" i="7"/>
  <c r="BF66" i="7"/>
  <c r="BG66" i="7"/>
  <c r="BH66" i="7"/>
  <c r="BI66" i="7"/>
  <c r="BJ66" i="7"/>
  <c r="BK66" i="7"/>
  <c r="BL66" i="7"/>
  <c r="BM66" i="7"/>
  <c r="BN66" i="7"/>
  <c r="BO66" i="7"/>
  <c r="BP66" i="7"/>
  <c r="BQ66" i="7"/>
  <c r="BR66" i="7"/>
  <c r="BS66" i="7"/>
  <c r="BT66" i="7"/>
  <c r="BU66" i="7"/>
  <c r="BV66" i="7"/>
  <c r="BW66" i="7"/>
  <c r="BX66" i="7"/>
  <c r="BY66" i="7"/>
  <c r="BZ66" i="7"/>
  <c r="CA66" i="7"/>
  <c r="CB66" i="7"/>
  <c r="CC66" i="7"/>
  <c r="CD66" i="7"/>
  <c r="CE66" i="7"/>
  <c r="CF66" i="7"/>
  <c r="CG66" i="7"/>
  <c r="CH66" i="7"/>
  <c r="CI66" i="7"/>
  <c r="CJ66" i="7"/>
  <c r="CK66" i="7"/>
  <c r="CL66" i="7"/>
  <c r="CM66" i="7"/>
  <c r="CN66" i="7"/>
  <c r="CO66" i="7"/>
  <c r="CP66" i="7"/>
  <c r="CR66" i="7"/>
  <c r="CS66" i="7"/>
  <c r="CT66" i="7"/>
  <c r="CU66" i="7"/>
  <c r="CV66" i="7"/>
  <c r="CW66" i="7"/>
  <c r="R66" i="7"/>
  <c r="S66" i="7"/>
  <c r="T66" i="7"/>
  <c r="U66" i="7"/>
  <c r="V66" i="7"/>
  <c r="W66" i="7"/>
  <c r="X66" i="7"/>
  <c r="Q66" i="7"/>
  <c r="Q65" i="7"/>
  <c r="X65" i="7"/>
  <c r="Y65" i="7"/>
  <c r="Z65" i="7"/>
  <c r="AA65" i="7"/>
  <c r="AB65" i="7"/>
  <c r="AC65" i="7"/>
  <c r="AD65" i="7"/>
  <c r="AE65" i="7"/>
  <c r="AF65" i="7"/>
  <c r="AG65" i="7"/>
  <c r="AH65" i="7"/>
  <c r="AI65" i="7"/>
  <c r="AJ65" i="7"/>
  <c r="AK65" i="7"/>
  <c r="AL65" i="7"/>
  <c r="AM65" i="7"/>
  <c r="AN65" i="7"/>
  <c r="AO65" i="7"/>
  <c r="AP65" i="7"/>
  <c r="AQ65" i="7"/>
  <c r="AR65" i="7"/>
  <c r="AS65" i="7"/>
  <c r="AT65" i="7"/>
  <c r="AV65" i="7"/>
  <c r="AW65" i="7"/>
  <c r="AY65" i="7"/>
  <c r="AZ65" i="7"/>
  <c r="BA65" i="7"/>
  <c r="BB65" i="7"/>
  <c r="BC65" i="7"/>
  <c r="BD65" i="7"/>
  <c r="BE65" i="7"/>
  <c r="BF65" i="7"/>
  <c r="BG65" i="7"/>
  <c r="BH65" i="7"/>
  <c r="BI65" i="7"/>
  <c r="BJ65" i="7"/>
  <c r="BK65" i="7"/>
  <c r="BL65" i="7"/>
  <c r="BM65" i="7"/>
  <c r="BN65" i="7"/>
  <c r="BO65" i="7"/>
  <c r="BP65" i="7"/>
  <c r="BQ65" i="7"/>
  <c r="BR65" i="7"/>
  <c r="BT65" i="7"/>
  <c r="BU65" i="7"/>
  <c r="BV65" i="7"/>
  <c r="BW65" i="7"/>
  <c r="BY65" i="7"/>
  <c r="BZ65" i="7"/>
  <c r="CA65" i="7"/>
  <c r="CB65" i="7"/>
  <c r="CC65" i="7"/>
  <c r="CD65" i="7"/>
  <c r="CE65" i="7"/>
  <c r="CF65" i="7"/>
  <c r="CG65" i="7"/>
  <c r="CH65" i="7"/>
  <c r="CI65" i="7"/>
  <c r="CJ65" i="7"/>
  <c r="CK65" i="7"/>
  <c r="CL65" i="7"/>
  <c r="CM65" i="7"/>
  <c r="CN65" i="7"/>
  <c r="CO65" i="7"/>
  <c r="CP65" i="7"/>
  <c r="CQ65" i="7"/>
  <c r="CR65" i="7"/>
  <c r="CS65" i="7"/>
  <c r="CU65" i="7"/>
  <c r="CV65" i="7"/>
  <c r="CW65" i="7"/>
  <c r="S65" i="7"/>
  <c r="T65" i="7"/>
  <c r="U65" i="7"/>
  <c r="V65" i="7"/>
  <c r="W65" i="7"/>
  <c r="Q64" i="7"/>
  <c r="Q83" i="7" s="1"/>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R60" i="7"/>
  <c r="S60" i="7"/>
  <c r="T60" i="7"/>
  <c r="U60" i="7"/>
  <c r="V60" i="7"/>
  <c r="W60" i="7"/>
  <c r="X60" i="7"/>
  <c r="Y60" i="7"/>
  <c r="Z60" i="7"/>
  <c r="AA60" i="7"/>
  <c r="AB60" i="7"/>
  <c r="AC60" i="7"/>
  <c r="AD60" i="7"/>
  <c r="AE60" i="7"/>
  <c r="AF60" i="7"/>
  <c r="AG60" i="7"/>
  <c r="AH60" i="7"/>
  <c r="AI60" i="7"/>
  <c r="AJ60" i="7"/>
  <c r="AK60" i="7"/>
  <c r="AL60" i="7"/>
  <c r="AM60" i="7"/>
  <c r="AN60" i="7"/>
  <c r="AO60" i="7"/>
  <c r="AP60" i="7"/>
  <c r="AQ60" i="7"/>
  <c r="AR60" i="7"/>
  <c r="AS60" i="7"/>
  <c r="AT60" i="7"/>
  <c r="AU60" i="7"/>
  <c r="AV60" i="7"/>
  <c r="AW60" i="7"/>
  <c r="AX60" i="7"/>
  <c r="AY60" i="7"/>
  <c r="AZ60" i="7"/>
  <c r="BA60" i="7"/>
  <c r="BB60" i="7"/>
  <c r="BC60" i="7"/>
  <c r="BD60" i="7"/>
  <c r="BE60" i="7"/>
  <c r="BF60" i="7"/>
  <c r="BG60" i="7"/>
  <c r="BH60" i="7"/>
  <c r="BI60" i="7"/>
  <c r="BJ60" i="7"/>
  <c r="BK60" i="7"/>
  <c r="BL60" i="7"/>
  <c r="BM60" i="7"/>
  <c r="BN60" i="7"/>
  <c r="BO60" i="7"/>
  <c r="BP60" i="7"/>
  <c r="BQ60" i="7"/>
  <c r="BR60" i="7"/>
  <c r="BS60" i="7"/>
  <c r="BT60" i="7"/>
  <c r="BU60" i="7"/>
  <c r="BV60" i="7"/>
  <c r="BW60" i="7"/>
  <c r="BX60" i="7"/>
  <c r="BY60" i="7"/>
  <c r="BZ60" i="7"/>
  <c r="CA60" i="7"/>
  <c r="CB60" i="7"/>
  <c r="CC60" i="7"/>
  <c r="CD60" i="7"/>
  <c r="CE60" i="7"/>
  <c r="CF60" i="7"/>
  <c r="CG60" i="7"/>
  <c r="CH60" i="7"/>
  <c r="CI60" i="7"/>
  <c r="CJ60" i="7"/>
  <c r="CK60" i="7"/>
  <c r="CL60" i="7"/>
  <c r="CM60" i="7"/>
  <c r="CN60" i="7"/>
  <c r="CO60" i="7"/>
  <c r="CP60" i="7"/>
  <c r="CQ60" i="7"/>
  <c r="CR60" i="7"/>
  <c r="CS60" i="7"/>
  <c r="CT60" i="7"/>
  <c r="CV60" i="7"/>
  <c r="CW60" i="7"/>
  <c r="R59" i="7"/>
  <c r="S59" i="7"/>
  <c r="T59" i="7"/>
  <c r="U59" i="7"/>
  <c r="V59" i="7"/>
  <c r="W59" i="7"/>
  <c r="X59" i="7"/>
  <c r="Y59" i="7"/>
  <c r="Z59" i="7"/>
  <c r="AA59" i="7"/>
  <c r="AB59" i="7"/>
  <c r="AC59" i="7"/>
  <c r="AD59" i="7"/>
  <c r="AE59" i="7"/>
  <c r="AF59" i="7"/>
  <c r="AG59" i="7"/>
  <c r="AH59" i="7"/>
  <c r="AI59" i="7"/>
  <c r="AJ59" i="7"/>
  <c r="AK59" i="7"/>
  <c r="AL59" i="7"/>
  <c r="AM59" i="7"/>
  <c r="AN59" i="7"/>
  <c r="AO59" i="7"/>
  <c r="AP59" i="7"/>
  <c r="AQ59" i="7"/>
  <c r="AR59" i="7"/>
  <c r="AS59" i="7"/>
  <c r="AT59" i="7"/>
  <c r="AU59" i="7"/>
  <c r="AV59" i="7"/>
  <c r="AW59" i="7"/>
  <c r="AX59" i="7"/>
  <c r="AY59" i="7"/>
  <c r="AZ59" i="7"/>
  <c r="BA59" i="7"/>
  <c r="BB59" i="7"/>
  <c r="BC59" i="7"/>
  <c r="BD59" i="7"/>
  <c r="BE59" i="7"/>
  <c r="BF59" i="7"/>
  <c r="BG59" i="7"/>
  <c r="BH59" i="7"/>
  <c r="BI59" i="7"/>
  <c r="BJ59" i="7"/>
  <c r="BK59" i="7"/>
  <c r="BL59" i="7"/>
  <c r="BM59" i="7"/>
  <c r="BN59" i="7"/>
  <c r="BO59" i="7"/>
  <c r="BP59" i="7"/>
  <c r="BQ59" i="7"/>
  <c r="BR59" i="7"/>
  <c r="BS59" i="7"/>
  <c r="BT59" i="7"/>
  <c r="BU59" i="7"/>
  <c r="BV59" i="7"/>
  <c r="BX59" i="7"/>
  <c r="BY59" i="7"/>
  <c r="BZ59" i="7"/>
  <c r="CA59" i="7"/>
  <c r="CB59" i="7"/>
  <c r="CC59" i="7"/>
  <c r="CD59" i="7"/>
  <c r="CE59" i="7"/>
  <c r="CF59" i="7"/>
  <c r="CG59" i="7"/>
  <c r="CH59" i="7"/>
  <c r="CI59" i="7"/>
  <c r="CJ59" i="7"/>
  <c r="CK59" i="7"/>
  <c r="CL59" i="7"/>
  <c r="CM59" i="7"/>
  <c r="CN59" i="7"/>
  <c r="CO59" i="7"/>
  <c r="CP59" i="7"/>
  <c r="CQ59" i="7"/>
  <c r="CR59" i="7"/>
  <c r="CS59" i="7"/>
  <c r="CT59" i="7"/>
  <c r="CU59" i="7"/>
  <c r="CV59" i="7"/>
  <c r="CW59"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BA58" i="7"/>
  <c r="BB58" i="7"/>
  <c r="BC58" i="7"/>
  <c r="BD58" i="7"/>
  <c r="BE58" i="7"/>
  <c r="BF58" i="7"/>
  <c r="BG58" i="7"/>
  <c r="BH58" i="7"/>
  <c r="BI58" i="7"/>
  <c r="BJ58" i="7"/>
  <c r="BK58" i="7"/>
  <c r="BL58" i="7"/>
  <c r="BM58" i="7"/>
  <c r="BN58" i="7"/>
  <c r="BO58" i="7"/>
  <c r="BP58" i="7"/>
  <c r="BQ58" i="7"/>
  <c r="BR58" i="7"/>
  <c r="BS58" i="7"/>
  <c r="BT58" i="7"/>
  <c r="BU58" i="7"/>
  <c r="BV58" i="7"/>
  <c r="BW58" i="7"/>
  <c r="BX58" i="7"/>
  <c r="BY58" i="7"/>
  <c r="BZ58" i="7"/>
  <c r="CA58" i="7"/>
  <c r="CB58" i="7"/>
  <c r="CC58" i="7"/>
  <c r="CD58" i="7"/>
  <c r="CE58" i="7"/>
  <c r="CF58" i="7"/>
  <c r="CG58" i="7"/>
  <c r="CH58" i="7"/>
  <c r="CI58" i="7"/>
  <c r="CJ58" i="7"/>
  <c r="CK58" i="7"/>
  <c r="CL58" i="7"/>
  <c r="CM58" i="7"/>
  <c r="CN58" i="7"/>
  <c r="CO58" i="7"/>
  <c r="CP58" i="7"/>
  <c r="CQ58" i="7"/>
  <c r="CR58" i="7"/>
  <c r="CS58" i="7"/>
  <c r="CT58" i="7"/>
  <c r="CU58" i="7"/>
  <c r="CV58" i="7"/>
  <c r="CW58" i="7"/>
  <c r="R57" i="7"/>
  <c r="S57" i="7"/>
  <c r="T57" i="7"/>
  <c r="U57" i="7"/>
  <c r="V57" i="7"/>
  <c r="W57" i="7"/>
  <c r="X57" i="7"/>
  <c r="Y57" i="7"/>
  <c r="Z57" i="7"/>
  <c r="AA57" i="7"/>
  <c r="AB57" i="7"/>
  <c r="AC57" i="7"/>
  <c r="AD57" i="7"/>
  <c r="AE57" i="7"/>
  <c r="AF57" i="7"/>
  <c r="AG57" i="7"/>
  <c r="AH57" i="7"/>
  <c r="AI57" i="7"/>
  <c r="AJ57" i="7"/>
  <c r="AK57" i="7"/>
  <c r="AL57" i="7"/>
  <c r="AM57" i="7"/>
  <c r="AN57" i="7"/>
  <c r="AO57" i="7"/>
  <c r="AP57" i="7"/>
  <c r="AQ57" i="7"/>
  <c r="AR57" i="7"/>
  <c r="AS57" i="7"/>
  <c r="AT57" i="7"/>
  <c r="AU57" i="7"/>
  <c r="AV57" i="7"/>
  <c r="AW57" i="7"/>
  <c r="AX57" i="7"/>
  <c r="AY57" i="7"/>
  <c r="AZ57" i="7"/>
  <c r="BA57" i="7"/>
  <c r="BB57" i="7"/>
  <c r="BC57" i="7"/>
  <c r="BD57" i="7"/>
  <c r="BE57" i="7"/>
  <c r="BF57" i="7"/>
  <c r="BG57" i="7"/>
  <c r="BH57" i="7"/>
  <c r="BI57" i="7"/>
  <c r="BJ57" i="7"/>
  <c r="BK57" i="7"/>
  <c r="BL57" i="7"/>
  <c r="BM57" i="7"/>
  <c r="BN57" i="7"/>
  <c r="BO57" i="7"/>
  <c r="BP57" i="7"/>
  <c r="BQ57" i="7"/>
  <c r="BR57" i="7"/>
  <c r="BS57" i="7"/>
  <c r="BT57" i="7"/>
  <c r="BU57" i="7"/>
  <c r="BV57" i="7"/>
  <c r="BW57" i="7"/>
  <c r="BX57" i="7"/>
  <c r="BY57" i="7"/>
  <c r="BZ57" i="7"/>
  <c r="CA57" i="7"/>
  <c r="CB57" i="7"/>
  <c r="CC57" i="7"/>
  <c r="CD57" i="7"/>
  <c r="CE57" i="7"/>
  <c r="CF57" i="7"/>
  <c r="CG57" i="7"/>
  <c r="CH57" i="7"/>
  <c r="CI57" i="7"/>
  <c r="CJ57" i="7"/>
  <c r="CK57" i="7"/>
  <c r="CL57" i="7"/>
  <c r="CM57" i="7"/>
  <c r="CN57" i="7"/>
  <c r="CO57" i="7"/>
  <c r="CP57" i="7"/>
  <c r="CQ57" i="7"/>
  <c r="CR57" i="7"/>
  <c r="CS57" i="7"/>
  <c r="CT57" i="7"/>
  <c r="CU57" i="7"/>
  <c r="CV57" i="7"/>
  <c r="CW57" i="7"/>
  <c r="R56" i="7"/>
  <c r="S56" i="7"/>
  <c r="T56" i="7"/>
  <c r="U56" i="7"/>
  <c r="V56" i="7"/>
  <c r="W56" i="7"/>
  <c r="X56" i="7"/>
  <c r="Y56" i="7"/>
  <c r="Z56" i="7"/>
  <c r="AA56" i="7"/>
  <c r="AB56" i="7"/>
  <c r="AC56" i="7"/>
  <c r="AD56" i="7"/>
  <c r="AE56" i="7"/>
  <c r="AF56" i="7"/>
  <c r="AH56" i="7"/>
  <c r="AI56" i="7"/>
  <c r="AJ56" i="7"/>
  <c r="AK56" i="7"/>
  <c r="AL56" i="7"/>
  <c r="AM56" i="7"/>
  <c r="AN56" i="7"/>
  <c r="AO56" i="7"/>
  <c r="AP56" i="7"/>
  <c r="AQ56" i="7"/>
  <c r="AR56" i="7"/>
  <c r="AS56" i="7"/>
  <c r="AT56" i="7"/>
  <c r="AU56" i="7"/>
  <c r="AW56" i="7"/>
  <c r="AX56" i="7"/>
  <c r="AY56" i="7"/>
  <c r="AZ56" i="7"/>
  <c r="BA56" i="7"/>
  <c r="BB56" i="7"/>
  <c r="BC56" i="7"/>
  <c r="BD56" i="7"/>
  <c r="BE56" i="7"/>
  <c r="BF56" i="7"/>
  <c r="BG56" i="7"/>
  <c r="BH56" i="7"/>
  <c r="BI56" i="7"/>
  <c r="BJ56" i="7"/>
  <c r="BK56" i="7"/>
  <c r="BL56" i="7"/>
  <c r="BM56" i="7"/>
  <c r="BN56" i="7"/>
  <c r="BO56" i="7"/>
  <c r="BP56" i="7"/>
  <c r="BQ56" i="7"/>
  <c r="BR56" i="7"/>
  <c r="BS56" i="7"/>
  <c r="BT56" i="7"/>
  <c r="BU56" i="7"/>
  <c r="BV56" i="7"/>
  <c r="BW56" i="7"/>
  <c r="BX56" i="7"/>
  <c r="BY56" i="7"/>
  <c r="BZ56" i="7"/>
  <c r="CA56" i="7"/>
  <c r="CB56" i="7"/>
  <c r="CC56" i="7"/>
  <c r="CD56" i="7"/>
  <c r="CE56" i="7"/>
  <c r="CF56" i="7"/>
  <c r="CG56" i="7"/>
  <c r="CH56" i="7"/>
  <c r="CI56" i="7"/>
  <c r="CJ56" i="7"/>
  <c r="CK56" i="7"/>
  <c r="CL56" i="7"/>
  <c r="CM56" i="7"/>
  <c r="CN56" i="7"/>
  <c r="CO56" i="7"/>
  <c r="CP56" i="7"/>
  <c r="CR56" i="7"/>
  <c r="CS56" i="7"/>
  <c r="CT56" i="7"/>
  <c r="CU56" i="7"/>
  <c r="CV56" i="7"/>
  <c r="CW56" i="7"/>
  <c r="Q62" i="7"/>
  <c r="P62" i="7" s="1"/>
  <c r="Q61" i="7"/>
  <c r="P61" i="7" s="1"/>
  <c r="Q60" i="7"/>
  <c r="Q59" i="7"/>
  <c r="Q58" i="7"/>
  <c r="Q57" i="7"/>
  <c r="Q56" i="7"/>
  <c r="R55" i="7"/>
  <c r="R63" i="7" s="1"/>
  <c r="S55" i="7"/>
  <c r="S63" i="7" s="1"/>
  <c r="T55" i="7"/>
  <c r="T63" i="7" s="1"/>
  <c r="U55" i="7"/>
  <c r="U63" i="7" s="1"/>
  <c r="V55" i="7"/>
  <c r="V63" i="7" s="1"/>
  <c r="W55" i="7"/>
  <c r="W63" i="7" s="1"/>
  <c r="X55" i="7"/>
  <c r="X63" i="7" s="1"/>
  <c r="Y55" i="7"/>
  <c r="Y63" i="7" s="1"/>
  <c r="Z55" i="7"/>
  <c r="Z63" i="7" s="1"/>
  <c r="AA55" i="7"/>
  <c r="AA63" i="7" s="1"/>
  <c r="AB55" i="7"/>
  <c r="AB63" i="7" s="1"/>
  <c r="AC55" i="7"/>
  <c r="AC63" i="7" s="1"/>
  <c r="AD55" i="7"/>
  <c r="AD63" i="7" s="1"/>
  <c r="AE55" i="7"/>
  <c r="AE63" i="7" s="1"/>
  <c r="AF55" i="7"/>
  <c r="AF63" i="7" s="1"/>
  <c r="AG55" i="7"/>
  <c r="AH55" i="7"/>
  <c r="AH63" i="7" s="1"/>
  <c r="AI55" i="7"/>
  <c r="AJ55" i="7"/>
  <c r="AK55" i="7"/>
  <c r="AK63" i="7" s="1"/>
  <c r="AL55" i="7"/>
  <c r="AL63" i="7" s="1"/>
  <c r="AM55" i="7"/>
  <c r="AN55" i="7"/>
  <c r="AO55" i="7"/>
  <c r="AO63" i="7" s="1"/>
  <c r="AP55" i="7"/>
  <c r="AP63" i="7" s="1"/>
  <c r="AQ55" i="7"/>
  <c r="AR55" i="7"/>
  <c r="AS55" i="7"/>
  <c r="AS63" i="7" s="1"/>
  <c r="AT55" i="7"/>
  <c r="AT63" i="7" s="1"/>
  <c r="AU55" i="7"/>
  <c r="AV55" i="7"/>
  <c r="AW55" i="7"/>
  <c r="AX55" i="7"/>
  <c r="AX63" i="7" s="1"/>
  <c r="AY55" i="7"/>
  <c r="AZ55" i="7"/>
  <c r="BA55" i="7"/>
  <c r="BB55" i="7"/>
  <c r="BB63" i="7" s="1"/>
  <c r="BC55" i="7"/>
  <c r="BD55" i="7"/>
  <c r="BE55" i="7"/>
  <c r="BF55" i="7"/>
  <c r="BF63" i="7" s="1"/>
  <c r="BG55" i="7"/>
  <c r="BH55" i="7"/>
  <c r="BI55" i="7"/>
  <c r="BJ55" i="7"/>
  <c r="BJ63" i="7" s="1"/>
  <c r="BK55" i="7"/>
  <c r="BL55" i="7"/>
  <c r="BM55" i="7"/>
  <c r="BN55" i="7"/>
  <c r="BN63" i="7" s="1"/>
  <c r="BO55" i="7"/>
  <c r="BP55" i="7"/>
  <c r="BQ55" i="7"/>
  <c r="BR55" i="7"/>
  <c r="BR63" i="7" s="1"/>
  <c r="BS55" i="7"/>
  <c r="BT55" i="7"/>
  <c r="BU55" i="7"/>
  <c r="BV55" i="7"/>
  <c r="BV63" i="7" s="1"/>
  <c r="BW55" i="7"/>
  <c r="BX55" i="7"/>
  <c r="BY55" i="7"/>
  <c r="BZ55" i="7"/>
  <c r="BZ63" i="7" s="1"/>
  <c r="CA55" i="7"/>
  <c r="CB55" i="7"/>
  <c r="CC55" i="7"/>
  <c r="CD55" i="7"/>
  <c r="CD63" i="7" s="1"/>
  <c r="CE55" i="7"/>
  <c r="CF55" i="7"/>
  <c r="CG55" i="7"/>
  <c r="CH55" i="7"/>
  <c r="CH63" i="7" s="1"/>
  <c r="CI55" i="7"/>
  <c r="CJ55" i="7"/>
  <c r="CK55" i="7"/>
  <c r="CL55" i="7"/>
  <c r="CL63" i="7" s="1"/>
  <c r="CM55" i="7"/>
  <c r="CN55" i="7"/>
  <c r="CO55" i="7"/>
  <c r="CP55" i="7"/>
  <c r="CP63" i="7" s="1"/>
  <c r="CR55" i="7"/>
  <c r="CS55" i="7"/>
  <c r="CT55" i="7"/>
  <c r="CU55" i="7"/>
  <c r="CV55" i="7"/>
  <c r="CW55" i="7"/>
  <c r="Q55" i="7"/>
  <c r="R45" i="7"/>
  <c r="S45" i="7"/>
  <c r="T45" i="7"/>
  <c r="U45" i="7"/>
  <c r="V45" i="7"/>
  <c r="W45" i="7"/>
  <c r="X45" i="7"/>
  <c r="Y45" i="7"/>
  <c r="Z45" i="7"/>
  <c r="AA45" i="7"/>
  <c r="AB45" i="7"/>
  <c r="AC45" i="7"/>
  <c r="AD45" i="7"/>
  <c r="AE45" i="7"/>
  <c r="AF45" i="7"/>
  <c r="AG45" i="7"/>
  <c r="AH45" i="7"/>
  <c r="AI45" i="7"/>
  <c r="AJ45" i="7"/>
  <c r="AK45" i="7"/>
  <c r="AM45" i="7"/>
  <c r="AN45" i="7"/>
  <c r="AO45" i="7"/>
  <c r="AP45" i="7"/>
  <c r="AQ45" i="7"/>
  <c r="AR45" i="7"/>
  <c r="AS45" i="7"/>
  <c r="AT45" i="7"/>
  <c r="AU45" i="7"/>
  <c r="AV45" i="7"/>
  <c r="AW45" i="7"/>
  <c r="AX45" i="7"/>
  <c r="AY45" i="7"/>
  <c r="AZ45" i="7"/>
  <c r="BA45" i="7"/>
  <c r="BB45" i="7"/>
  <c r="BC45" i="7"/>
  <c r="BD45" i="7"/>
  <c r="BE45" i="7"/>
  <c r="BF45" i="7"/>
  <c r="BG45" i="7"/>
  <c r="BH45" i="7"/>
  <c r="BI45" i="7"/>
  <c r="BJ45" i="7"/>
  <c r="BK45" i="7"/>
  <c r="BL45" i="7"/>
  <c r="BM45" i="7"/>
  <c r="BN45" i="7"/>
  <c r="BO45" i="7"/>
  <c r="BP45" i="7"/>
  <c r="BQ45" i="7"/>
  <c r="BR45" i="7"/>
  <c r="BS45" i="7"/>
  <c r="BT45" i="7"/>
  <c r="BU45" i="7"/>
  <c r="BV45" i="7"/>
  <c r="BW45" i="7"/>
  <c r="BX45" i="7"/>
  <c r="BY45" i="7"/>
  <c r="BZ45" i="7"/>
  <c r="CB45" i="7"/>
  <c r="CC45" i="7"/>
  <c r="CD45" i="7"/>
  <c r="CE45" i="7"/>
  <c r="CF45" i="7"/>
  <c r="CG45" i="7"/>
  <c r="CH45" i="7"/>
  <c r="CI45" i="7"/>
  <c r="CJ45" i="7"/>
  <c r="CK45" i="7"/>
  <c r="CL45" i="7"/>
  <c r="CM45" i="7"/>
  <c r="CN45" i="7"/>
  <c r="CO45" i="7"/>
  <c r="CP45" i="7"/>
  <c r="CQ45" i="7"/>
  <c r="CR45" i="7"/>
  <c r="CS45" i="7"/>
  <c r="CT45" i="7"/>
  <c r="CU45" i="7"/>
  <c r="CV45" i="7"/>
  <c r="CW45"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Q45" i="7"/>
  <c r="Q44" i="7"/>
  <c r="Q43" i="7"/>
  <c r="R43" i="7"/>
  <c r="S43" i="7"/>
  <c r="T43" i="7"/>
  <c r="U43" i="7"/>
  <c r="V43" i="7"/>
  <c r="W43" i="7"/>
  <c r="X43" i="7"/>
  <c r="Y43" i="7"/>
  <c r="Z43" i="7"/>
  <c r="AA43" i="7"/>
  <c r="AB43" i="7"/>
  <c r="AC43" i="7"/>
  <c r="AD43" i="7"/>
  <c r="AE43" i="7"/>
  <c r="AF43" i="7"/>
  <c r="AG43" i="7"/>
  <c r="AH43" i="7"/>
  <c r="AI43" i="7"/>
  <c r="AJ43" i="7"/>
  <c r="AK43" i="7"/>
  <c r="AL43" i="7"/>
  <c r="AM43" i="7"/>
  <c r="AN43" i="7"/>
  <c r="AO43" i="7"/>
  <c r="AP43" i="7"/>
  <c r="AQ43" i="7"/>
  <c r="AR43" i="7"/>
  <c r="AS43" i="7"/>
  <c r="AT43" i="7"/>
  <c r="AU43" i="7"/>
  <c r="AV43" i="7"/>
  <c r="AW43" i="7"/>
  <c r="AX43" i="7"/>
  <c r="AY43" i="7"/>
  <c r="AZ43" i="7"/>
  <c r="BA43" i="7"/>
  <c r="BB43" i="7"/>
  <c r="BC43" i="7"/>
  <c r="BD43" i="7"/>
  <c r="BE43" i="7"/>
  <c r="BF43" i="7"/>
  <c r="BG43" i="7"/>
  <c r="BH43" i="7"/>
  <c r="BI43" i="7"/>
  <c r="BJ43" i="7"/>
  <c r="BK43" i="7"/>
  <c r="BL43" i="7"/>
  <c r="BM43" i="7"/>
  <c r="BN43" i="7"/>
  <c r="BO43" i="7"/>
  <c r="BP43" i="7"/>
  <c r="BQ43" i="7"/>
  <c r="BR43" i="7"/>
  <c r="BS43" i="7"/>
  <c r="BT43" i="7"/>
  <c r="BU43" i="7"/>
  <c r="BV43" i="7"/>
  <c r="BW43" i="7"/>
  <c r="BX43" i="7"/>
  <c r="BY43" i="7"/>
  <c r="BZ43" i="7"/>
  <c r="CA43" i="7"/>
  <c r="CB43" i="7"/>
  <c r="CC43" i="7"/>
  <c r="CD43" i="7"/>
  <c r="CE43" i="7"/>
  <c r="CF43" i="7"/>
  <c r="CG43" i="7"/>
  <c r="CH43" i="7"/>
  <c r="CI43" i="7"/>
  <c r="CJ43" i="7"/>
  <c r="CK43" i="7"/>
  <c r="CL43" i="7"/>
  <c r="CM43" i="7"/>
  <c r="CN43" i="7"/>
  <c r="CO43" i="7"/>
  <c r="CP43" i="7"/>
  <c r="CQ43" i="7"/>
  <c r="CR43" i="7"/>
  <c r="CS43" i="7"/>
  <c r="CT43" i="7"/>
  <c r="CU43" i="7"/>
  <c r="CV43" i="7"/>
  <c r="CW43" i="7"/>
  <c r="R42" i="7"/>
  <c r="S42" i="7"/>
  <c r="T42" i="7"/>
  <c r="U42" i="7"/>
  <c r="V42" i="7"/>
  <c r="W42" i="7"/>
  <c r="X42" i="7"/>
  <c r="Y42" i="7"/>
  <c r="Z42" i="7"/>
  <c r="AA42" i="7"/>
  <c r="AB42" i="7"/>
  <c r="AC42" i="7"/>
  <c r="AD42" i="7"/>
  <c r="AE42" i="7"/>
  <c r="AF42" i="7"/>
  <c r="AG42" i="7"/>
  <c r="AH42" i="7"/>
  <c r="AI42" i="7"/>
  <c r="AJ42" i="7"/>
  <c r="AK42" i="7"/>
  <c r="AL42" i="7"/>
  <c r="AM42" i="7"/>
  <c r="AN42" i="7"/>
  <c r="AO42" i="7"/>
  <c r="AP42" i="7"/>
  <c r="AQ42" i="7"/>
  <c r="AR42" i="7"/>
  <c r="AS42" i="7"/>
  <c r="AT42" i="7"/>
  <c r="AU42" i="7"/>
  <c r="AV42" i="7"/>
  <c r="AW42" i="7"/>
  <c r="AX42" i="7"/>
  <c r="AY42" i="7"/>
  <c r="AZ42" i="7"/>
  <c r="BA42" i="7"/>
  <c r="BB42" i="7"/>
  <c r="BC42" i="7"/>
  <c r="BD42" i="7"/>
  <c r="BE42" i="7"/>
  <c r="BF42" i="7"/>
  <c r="BG42" i="7"/>
  <c r="BH42" i="7"/>
  <c r="BI42" i="7"/>
  <c r="BJ42" i="7"/>
  <c r="BK42" i="7"/>
  <c r="BL42" i="7"/>
  <c r="BM42" i="7"/>
  <c r="BN42" i="7"/>
  <c r="BO42" i="7"/>
  <c r="BP42" i="7"/>
  <c r="BQ42" i="7"/>
  <c r="BR42" i="7"/>
  <c r="BS42" i="7"/>
  <c r="BT42" i="7"/>
  <c r="BU42" i="7"/>
  <c r="BV42" i="7"/>
  <c r="BW42" i="7"/>
  <c r="BX42" i="7"/>
  <c r="BY42" i="7"/>
  <c r="BZ42" i="7"/>
  <c r="CA42" i="7"/>
  <c r="CB42" i="7"/>
  <c r="CC42" i="7"/>
  <c r="CD42" i="7"/>
  <c r="CE42" i="7"/>
  <c r="CF42" i="7"/>
  <c r="CG42" i="7"/>
  <c r="CH42" i="7"/>
  <c r="CI42" i="7"/>
  <c r="CJ42" i="7"/>
  <c r="CK42" i="7"/>
  <c r="CL42" i="7"/>
  <c r="CM42" i="7"/>
  <c r="CN42" i="7"/>
  <c r="CO42" i="7"/>
  <c r="CP42" i="7"/>
  <c r="CQ42" i="7"/>
  <c r="CR42" i="7"/>
  <c r="CS42" i="7"/>
  <c r="CT42" i="7"/>
  <c r="CU42" i="7"/>
  <c r="CV42" i="7"/>
  <c r="CW42" i="7"/>
  <c r="Q42" i="7"/>
  <c r="Q41" i="7"/>
  <c r="R41" i="7"/>
  <c r="S41" i="7"/>
  <c r="T41" i="7"/>
  <c r="U41" i="7"/>
  <c r="V41" i="7"/>
  <c r="W41" i="7"/>
  <c r="X41" i="7"/>
  <c r="Y41" i="7"/>
  <c r="Z41" i="7"/>
  <c r="AA41" i="7"/>
  <c r="AB41" i="7"/>
  <c r="AC41" i="7"/>
  <c r="AD41" i="7"/>
  <c r="AE41" i="7"/>
  <c r="AF41" i="7"/>
  <c r="AG41" i="7"/>
  <c r="AH41" i="7"/>
  <c r="AI41" i="7"/>
  <c r="AJ41" i="7"/>
  <c r="AK41" i="7"/>
  <c r="AL41" i="7"/>
  <c r="AM41" i="7"/>
  <c r="AN41" i="7"/>
  <c r="AO41" i="7"/>
  <c r="AP41" i="7"/>
  <c r="AQ41" i="7"/>
  <c r="AR41" i="7"/>
  <c r="AS41" i="7"/>
  <c r="AT41" i="7"/>
  <c r="AU41" i="7"/>
  <c r="AV41" i="7"/>
  <c r="AW41" i="7"/>
  <c r="AX41" i="7"/>
  <c r="AY41" i="7"/>
  <c r="AZ41" i="7"/>
  <c r="BA41" i="7"/>
  <c r="BB41" i="7"/>
  <c r="BC41" i="7"/>
  <c r="BD41" i="7"/>
  <c r="BE41" i="7"/>
  <c r="BF41" i="7"/>
  <c r="BG41" i="7"/>
  <c r="BH41" i="7"/>
  <c r="BI41" i="7"/>
  <c r="BJ41" i="7"/>
  <c r="BK41" i="7"/>
  <c r="BL41" i="7"/>
  <c r="BM41" i="7"/>
  <c r="BN41" i="7"/>
  <c r="BO41" i="7"/>
  <c r="BP41" i="7"/>
  <c r="BQ41" i="7"/>
  <c r="BR41" i="7"/>
  <c r="BS41" i="7"/>
  <c r="BT41" i="7"/>
  <c r="BU41" i="7"/>
  <c r="BV41" i="7"/>
  <c r="BW41" i="7"/>
  <c r="BX41" i="7"/>
  <c r="BY41" i="7"/>
  <c r="BZ41" i="7"/>
  <c r="CA41" i="7"/>
  <c r="CB41" i="7"/>
  <c r="CC41" i="7"/>
  <c r="CD41" i="7"/>
  <c r="CE41" i="7"/>
  <c r="CF41" i="7"/>
  <c r="CG41" i="7"/>
  <c r="CH41" i="7"/>
  <c r="CI41" i="7"/>
  <c r="CJ41" i="7"/>
  <c r="CK41" i="7"/>
  <c r="CL41" i="7"/>
  <c r="CM41" i="7"/>
  <c r="CN41" i="7"/>
  <c r="CO41" i="7"/>
  <c r="CP41" i="7"/>
  <c r="CQ41" i="7"/>
  <c r="CR41" i="7"/>
  <c r="CS41" i="7"/>
  <c r="CT41" i="7"/>
  <c r="CU41" i="7"/>
  <c r="CV41" i="7"/>
  <c r="CW41" i="7"/>
  <c r="Q40" i="7"/>
  <c r="R40" i="7"/>
  <c r="S40" i="7"/>
  <c r="T40" i="7"/>
  <c r="U40" i="7"/>
  <c r="V40" i="7"/>
  <c r="W40" i="7"/>
  <c r="X40" i="7"/>
  <c r="Y40" i="7"/>
  <c r="Z40" i="7"/>
  <c r="AA40" i="7"/>
  <c r="AB40" i="7"/>
  <c r="AC40" i="7"/>
  <c r="AD40" i="7"/>
  <c r="AE40" i="7"/>
  <c r="AF40" i="7"/>
  <c r="AG40" i="7"/>
  <c r="AH40" i="7"/>
  <c r="AI40" i="7"/>
  <c r="AJ40" i="7"/>
  <c r="AK40" i="7"/>
  <c r="AL40" i="7"/>
  <c r="AM40" i="7"/>
  <c r="AN40" i="7"/>
  <c r="AO40" i="7"/>
  <c r="AP40" i="7"/>
  <c r="AQ40" i="7"/>
  <c r="AR40" i="7"/>
  <c r="AS40" i="7"/>
  <c r="AT40" i="7"/>
  <c r="AU40" i="7"/>
  <c r="AV40" i="7"/>
  <c r="AW40" i="7"/>
  <c r="AX40" i="7"/>
  <c r="AY40" i="7"/>
  <c r="AZ40" i="7"/>
  <c r="BA40" i="7"/>
  <c r="BB40" i="7"/>
  <c r="BC40" i="7"/>
  <c r="BD40" i="7"/>
  <c r="BE40" i="7"/>
  <c r="BF40" i="7"/>
  <c r="BG40" i="7"/>
  <c r="BH40" i="7"/>
  <c r="BI40" i="7"/>
  <c r="BJ40" i="7"/>
  <c r="BK40" i="7"/>
  <c r="BL40" i="7"/>
  <c r="BM40" i="7"/>
  <c r="BN40" i="7"/>
  <c r="BO40" i="7"/>
  <c r="BP40" i="7"/>
  <c r="BQ40" i="7"/>
  <c r="BR40" i="7"/>
  <c r="BS40" i="7"/>
  <c r="BT40" i="7"/>
  <c r="BU40" i="7"/>
  <c r="BV40" i="7"/>
  <c r="BW40" i="7"/>
  <c r="BX40" i="7"/>
  <c r="BY40" i="7"/>
  <c r="BZ40" i="7"/>
  <c r="CA40" i="7"/>
  <c r="CB40" i="7"/>
  <c r="CC40" i="7"/>
  <c r="CD40" i="7"/>
  <c r="CE40" i="7"/>
  <c r="CF40" i="7"/>
  <c r="CG40" i="7"/>
  <c r="CH40" i="7"/>
  <c r="CI40" i="7"/>
  <c r="CJ40" i="7"/>
  <c r="CK40" i="7"/>
  <c r="CL40" i="7"/>
  <c r="CM40" i="7"/>
  <c r="CN40" i="7"/>
  <c r="CO40" i="7"/>
  <c r="CP40" i="7"/>
  <c r="CQ40" i="7"/>
  <c r="CR40" i="7"/>
  <c r="CS40" i="7"/>
  <c r="CT40" i="7"/>
  <c r="CU40" i="7"/>
  <c r="CV40" i="7"/>
  <c r="CW40" i="7"/>
  <c r="Q39" i="7"/>
  <c r="R39" i="7"/>
  <c r="S39" i="7"/>
  <c r="T39" i="7"/>
  <c r="U39" i="7"/>
  <c r="V39" i="7"/>
  <c r="W39" i="7"/>
  <c r="X39" i="7"/>
  <c r="Y39" i="7"/>
  <c r="Z39" i="7"/>
  <c r="AA39" i="7"/>
  <c r="AB39" i="7"/>
  <c r="AC39" i="7"/>
  <c r="AD39" i="7"/>
  <c r="AE39" i="7"/>
  <c r="AF39" i="7"/>
  <c r="AH39" i="7"/>
  <c r="AI39" i="7"/>
  <c r="AJ39" i="7"/>
  <c r="AK39" i="7"/>
  <c r="AL39" i="7"/>
  <c r="AM39" i="7"/>
  <c r="AN39" i="7"/>
  <c r="AO39" i="7"/>
  <c r="AP39" i="7"/>
  <c r="AQ39" i="7"/>
  <c r="AR39" i="7"/>
  <c r="AS39" i="7"/>
  <c r="AT39" i="7"/>
  <c r="AU39" i="7"/>
  <c r="AW39" i="7"/>
  <c r="AX39" i="7"/>
  <c r="AY39" i="7"/>
  <c r="AZ39" i="7"/>
  <c r="BA39" i="7"/>
  <c r="BB39" i="7"/>
  <c r="BC39" i="7"/>
  <c r="BD39" i="7"/>
  <c r="BE39" i="7"/>
  <c r="BF39" i="7"/>
  <c r="BG39" i="7"/>
  <c r="BH39" i="7"/>
  <c r="BI39" i="7"/>
  <c r="BJ39" i="7"/>
  <c r="BK39" i="7"/>
  <c r="BL39" i="7"/>
  <c r="BM39" i="7"/>
  <c r="BN39" i="7"/>
  <c r="BO39" i="7"/>
  <c r="BP39" i="7"/>
  <c r="BQ39" i="7"/>
  <c r="BR39" i="7"/>
  <c r="BS39" i="7"/>
  <c r="BT39" i="7"/>
  <c r="BU39" i="7"/>
  <c r="BV39" i="7"/>
  <c r="BW39" i="7"/>
  <c r="BX39" i="7"/>
  <c r="BY39" i="7"/>
  <c r="BZ39" i="7"/>
  <c r="CB39" i="7"/>
  <c r="CC39" i="7"/>
  <c r="CD39" i="7"/>
  <c r="CE39" i="7"/>
  <c r="CF39" i="7"/>
  <c r="CG39" i="7"/>
  <c r="CH39" i="7"/>
  <c r="CI39" i="7"/>
  <c r="CJ39" i="7"/>
  <c r="CK39" i="7"/>
  <c r="CL39" i="7"/>
  <c r="CM39" i="7"/>
  <c r="CN39" i="7"/>
  <c r="CO39" i="7"/>
  <c r="CP39" i="7"/>
  <c r="CR39" i="7"/>
  <c r="CS39" i="7"/>
  <c r="CU39" i="7"/>
  <c r="CV39" i="7"/>
  <c r="CW39" i="7"/>
  <c r="Q38" i="7"/>
  <c r="AC38" i="7"/>
  <c r="AD38" i="7"/>
  <c r="AE38" i="7"/>
  <c r="AF38" i="7"/>
  <c r="AH38" i="7"/>
  <c r="AI38" i="7"/>
  <c r="AJ38" i="7"/>
  <c r="AK38" i="7"/>
  <c r="AL38" i="7"/>
  <c r="AM38" i="7"/>
  <c r="AN38" i="7"/>
  <c r="AO38" i="7"/>
  <c r="AP38" i="7"/>
  <c r="AQ38" i="7"/>
  <c r="AR38" i="7"/>
  <c r="AS38" i="7"/>
  <c r="AT38" i="7"/>
  <c r="AU38" i="7"/>
  <c r="AV38" i="7"/>
  <c r="AW38" i="7"/>
  <c r="AX38" i="7"/>
  <c r="AY38" i="7"/>
  <c r="AZ38" i="7"/>
  <c r="BA38" i="7"/>
  <c r="BB38" i="7"/>
  <c r="BC38" i="7"/>
  <c r="BD38" i="7"/>
  <c r="BE38" i="7"/>
  <c r="BF38" i="7"/>
  <c r="BG38" i="7"/>
  <c r="BH38" i="7"/>
  <c r="BI38" i="7"/>
  <c r="BJ38" i="7"/>
  <c r="BK38" i="7"/>
  <c r="BL38" i="7"/>
  <c r="BM38" i="7"/>
  <c r="BN38" i="7"/>
  <c r="BO38" i="7"/>
  <c r="BP38" i="7"/>
  <c r="BQ38" i="7"/>
  <c r="BR38" i="7"/>
  <c r="BS38" i="7"/>
  <c r="BT38" i="7"/>
  <c r="BU38" i="7"/>
  <c r="BV38" i="7"/>
  <c r="BW38" i="7"/>
  <c r="BX38" i="7"/>
  <c r="BY38" i="7"/>
  <c r="BZ38" i="7"/>
  <c r="CB38" i="7"/>
  <c r="CC38" i="7"/>
  <c r="CD38" i="7"/>
  <c r="CD46" i="7" s="1"/>
  <c r="CE38" i="7"/>
  <c r="CF38" i="7"/>
  <c r="CG38" i="7"/>
  <c r="CH38" i="7"/>
  <c r="CH46" i="7" s="1"/>
  <c r="CI38" i="7"/>
  <c r="CJ38" i="7"/>
  <c r="CK38" i="7"/>
  <c r="CL38" i="7"/>
  <c r="CL46" i="7" s="1"/>
  <c r="CM38" i="7"/>
  <c r="CN38" i="7"/>
  <c r="CO38" i="7"/>
  <c r="CP38" i="7"/>
  <c r="CP46" i="7" s="1"/>
  <c r="CQ38" i="7"/>
  <c r="CR38" i="7"/>
  <c r="CS38" i="7"/>
  <c r="CT38" i="7"/>
  <c r="CU38" i="7"/>
  <c r="CU46" i="7" s="1"/>
  <c r="CW38" i="7"/>
  <c r="X38" i="7"/>
  <c r="X46" i="7" s="1"/>
  <c r="Y38" i="7"/>
  <c r="Y46" i="7" s="1"/>
  <c r="Z38" i="7"/>
  <c r="AA38" i="7"/>
  <c r="AB38" i="7"/>
  <c r="AB46" i="7" s="1"/>
  <c r="R38" i="7"/>
  <c r="S38" i="7"/>
  <c r="T38" i="7"/>
  <c r="U38" i="7"/>
  <c r="V38" i="7"/>
  <c r="W38" i="7"/>
  <c r="BI24" i="7"/>
  <c r="BH24" i="7"/>
  <c r="BG24" i="7"/>
  <c r="BD24" i="7"/>
  <c r="BB24" i="7"/>
  <c r="BA24" i="7"/>
  <c r="AZ24" i="7"/>
  <c r="AY24" i="7"/>
  <c r="AX24" i="7"/>
  <c r="AW24" i="7"/>
  <c r="AV24" i="7"/>
  <c r="AU24" i="7"/>
  <c r="AT24" i="7"/>
  <c r="AS24" i="7"/>
  <c r="AR24" i="7"/>
  <c r="AQ24" i="7"/>
  <c r="AN24" i="7"/>
  <c r="AM24" i="7"/>
  <c r="AL24" i="7"/>
  <c r="AK24" i="7"/>
  <c r="AJ24" i="7"/>
  <c r="AI24" i="7"/>
  <c r="AH24" i="7"/>
  <c r="AG24" i="7"/>
  <c r="AE24" i="7"/>
  <c r="AD24" i="7"/>
  <c r="AC24" i="7"/>
  <c r="AB24" i="7"/>
  <c r="AA24" i="7"/>
  <c r="Z24" i="7"/>
  <c r="Y24" i="7"/>
  <c r="V24" i="7"/>
  <c r="V22" i="7"/>
  <c r="CB16" i="6"/>
  <c r="AF16" i="6"/>
  <c r="AG16" i="6" s="1"/>
  <c r="AF15" i="6"/>
  <c r="AG15" i="6" s="1"/>
  <c r="M15" i="6"/>
  <c r="M16" i="6"/>
  <c r="CA16" i="6"/>
  <c r="BZ15" i="6"/>
  <c r="CB15" i="6" s="1"/>
  <c r="CC15" i="6" s="1"/>
  <c r="AR46" i="7" l="1"/>
  <c r="AN46" i="7"/>
  <c r="AJ46" i="7"/>
  <c r="V46" i="7"/>
  <c r="R46" i="7"/>
  <c r="AE46" i="7"/>
  <c r="CT63" i="7"/>
  <c r="CO63" i="7"/>
  <c r="CK63" i="7"/>
  <c r="CG63" i="7"/>
  <c r="CC63" i="7"/>
  <c r="BY63" i="7"/>
  <c r="BU63" i="7"/>
  <c r="BQ63" i="7"/>
  <c r="BM63" i="7"/>
  <c r="BI63" i="7"/>
  <c r="BE63" i="7"/>
  <c r="BA63" i="7"/>
  <c r="AW63" i="7"/>
  <c r="AA46" i="7"/>
  <c r="BX46" i="7"/>
  <c r="BP46" i="7"/>
  <c r="BH46" i="7"/>
  <c r="AZ46" i="7"/>
  <c r="BT46" i="7"/>
  <c r="BL46" i="7"/>
  <c r="BD46" i="7"/>
  <c r="AF46" i="7"/>
  <c r="T46" i="7"/>
  <c r="W46" i="7"/>
  <c r="S46" i="7"/>
  <c r="Z46" i="7"/>
  <c r="U46" i="7"/>
  <c r="AR63" i="7"/>
  <c r="AN63" i="7"/>
  <c r="AJ63" i="7"/>
  <c r="CM46" i="7"/>
  <c r="CI46" i="7"/>
  <c r="CE46" i="7"/>
  <c r="BZ46" i="7"/>
  <c r="BV46" i="7"/>
  <c r="BR46" i="7"/>
  <c r="BN46" i="7"/>
  <c r="BJ46" i="7"/>
  <c r="BF46" i="7"/>
  <c r="BB46" i="7"/>
  <c r="AX46" i="7"/>
  <c r="CV63" i="7"/>
  <c r="CR63" i="7"/>
  <c r="CM63" i="7"/>
  <c r="CI63" i="7"/>
  <c r="CE63" i="7"/>
  <c r="CA63" i="7"/>
  <c r="BS63" i="7"/>
  <c r="BO63" i="7"/>
  <c r="BK63" i="7"/>
  <c r="BG63" i="7"/>
  <c r="BC63" i="7"/>
  <c r="AY63" i="7"/>
  <c r="P58" i="7"/>
  <c r="CR46" i="7"/>
  <c r="CN46" i="7"/>
  <c r="CJ46" i="7"/>
  <c r="CF46" i="7"/>
  <c r="CB46" i="7"/>
  <c r="BW46" i="7"/>
  <c r="BS46" i="7"/>
  <c r="BO46" i="7"/>
  <c r="BK46" i="7"/>
  <c r="BG46" i="7"/>
  <c r="BC46" i="7"/>
  <c r="AY46" i="7"/>
  <c r="AU46" i="7"/>
  <c r="AQ46" i="7"/>
  <c r="AM46" i="7"/>
  <c r="AI46" i="7"/>
  <c r="AD46" i="7"/>
  <c r="CW63" i="7"/>
  <c r="CS63" i="7"/>
  <c r="CN63" i="7"/>
  <c r="CJ63" i="7"/>
  <c r="CF63" i="7"/>
  <c r="CB63" i="7"/>
  <c r="BX63" i="7"/>
  <c r="BT63" i="7"/>
  <c r="BP63" i="7"/>
  <c r="BL63" i="7"/>
  <c r="BH63" i="7"/>
  <c r="BD63" i="7"/>
  <c r="AZ63" i="7"/>
  <c r="P57" i="7"/>
  <c r="AH46" i="7"/>
  <c r="AU63" i="7"/>
  <c r="AQ63" i="7"/>
  <c r="AM63" i="7"/>
  <c r="AI63" i="7"/>
  <c r="AT46" i="7"/>
  <c r="AP46" i="7"/>
  <c r="CC16" i="6"/>
  <c r="CW46" i="7"/>
  <c r="CS46" i="7"/>
  <c r="CO46" i="7"/>
  <c r="CK46" i="7"/>
  <c r="CG46" i="7"/>
  <c r="CC46" i="7"/>
  <c r="BY46" i="7"/>
  <c r="BU46" i="7"/>
  <c r="BQ46" i="7"/>
  <c r="BM46" i="7"/>
  <c r="BI46" i="7"/>
  <c r="BE46" i="7"/>
  <c r="BA46" i="7"/>
  <c r="AW46" i="7"/>
  <c r="AS46" i="7"/>
  <c r="AO46" i="7"/>
  <c r="AK46" i="7"/>
  <c r="AC46" i="7"/>
  <c r="Q46" i="7"/>
  <c r="P42" i="7"/>
  <c r="Q63" i="7"/>
  <c r="P44" i="7"/>
  <c r="P41" i="7"/>
  <c r="P40" i="7"/>
  <c r="P43" i="7"/>
  <c r="W24" i="7"/>
  <c r="U24" i="7"/>
  <c r="T24" i="7"/>
  <c r="S24" i="7"/>
  <c r="R24" i="7"/>
  <c r="Q24" i="7"/>
  <c r="CW22" i="7"/>
  <c r="CV22" i="7"/>
  <c r="CU22" i="7"/>
  <c r="CT22" i="7"/>
  <c r="CR22" i="7"/>
  <c r="CQ22" i="7"/>
  <c r="CN22" i="7"/>
  <c r="CO22" i="7"/>
  <c r="CM22" i="7"/>
  <c r="CL22" i="7"/>
  <c r="CJ22" i="7"/>
  <c r="CI22" i="7"/>
  <c r="CH22" i="7"/>
  <c r="CG22" i="7"/>
  <c r="CF22" i="7"/>
  <c r="CE22" i="7"/>
  <c r="CD22" i="7"/>
  <c r="CB22" i="7"/>
  <c r="CA22" i="7"/>
  <c r="BZ22" i="7"/>
  <c r="BY22" i="7"/>
  <c r="BX22" i="7"/>
  <c r="BW22" i="7"/>
  <c r="BV22" i="7"/>
  <c r="BU22" i="7"/>
  <c r="BT22" i="7"/>
  <c r="BS22" i="7"/>
  <c r="BQ22" i="7"/>
  <c r="BP22" i="7"/>
  <c r="BO22" i="7"/>
  <c r="BN22" i="7"/>
  <c r="BM22" i="7"/>
  <c r="BL22" i="7"/>
  <c r="BK22" i="7"/>
  <c r="BJ22" i="7"/>
  <c r="BI22" i="7"/>
  <c r="BH22" i="7"/>
  <c r="BG22" i="7"/>
  <c r="BD22" i="7"/>
  <c r="BB22" i="7"/>
  <c r="BA22" i="7"/>
  <c r="AZ22" i="7"/>
  <c r="AY22" i="7"/>
  <c r="AX22" i="7"/>
  <c r="AW22" i="7"/>
  <c r="AV22" i="7"/>
  <c r="AU22" i="7"/>
  <c r="AT22" i="7"/>
  <c r="AS22" i="7"/>
  <c r="AR22" i="7"/>
  <c r="AQ22" i="7"/>
  <c r="AN22" i="7"/>
  <c r="AM22" i="7"/>
  <c r="AL22" i="7"/>
  <c r="AK22" i="7"/>
  <c r="AJ22" i="7"/>
  <c r="AI22" i="7"/>
  <c r="AH22" i="7"/>
  <c r="AG22" i="7"/>
  <c r="AE22" i="7"/>
  <c r="AD22" i="7"/>
  <c r="AC22" i="7"/>
  <c r="AB22" i="7"/>
  <c r="AA22" i="7"/>
  <c r="Z22" i="7"/>
  <c r="Y22" i="7"/>
  <c r="W22" i="7"/>
  <c r="U22" i="7"/>
  <c r="T22" i="7"/>
  <c r="S22" i="7"/>
  <c r="R22" i="7"/>
  <c r="Q22" i="7"/>
  <c r="M22" i="6" l="1"/>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6" i="6"/>
  <c r="M7" i="6"/>
  <c r="M8" i="6"/>
  <c r="Q18" i="7"/>
  <c r="P148" i="7" l="1"/>
  <c r="AW9" i="7" l="1"/>
  <c r="AF170" i="6"/>
  <c r="AG170" i="6" s="1"/>
  <c r="CA170" i="6"/>
  <c r="AT170" i="6"/>
  <c r="AJ170" i="6"/>
  <c r="CB74" i="6" l="1"/>
  <c r="CB73" i="6"/>
  <c r="AF73" i="6"/>
  <c r="AG73" i="6" s="1"/>
  <c r="CA73" i="6"/>
  <c r="CB35" i="6"/>
  <c r="AF35" i="6"/>
  <c r="AG35" i="6" s="1"/>
  <c r="CG35" i="6"/>
  <c r="CA35" i="6"/>
  <c r="BB35" i="6"/>
  <c r="AQ35" i="6"/>
  <c r="AO35" i="6"/>
  <c r="AL35" i="6"/>
  <c r="AJ35" i="6"/>
  <c r="AI35" i="6"/>
  <c r="CC73" i="6" l="1"/>
  <c r="CC35" i="6"/>
  <c r="M21" i="6"/>
  <c r="M20" i="6"/>
  <c r="M19" i="6"/>
  <c r="M18" i="6"/>
  <c r="M17" i="6"/>
  <c r="M14" i="6"/>
  <c r="M13" i="6"/>
  <c r="M11" i="6"/>
  <c r="M10" i="6"/>
  <c r="M5" i="6"/>
  <c r="M9" i="6"/>
  <c r="JE115" i="9"/>
  <c r="BT115" i="9"/>
  <c r="JE112" i="9"/>
  <c r="JE91" i="9"/>
  <c r="BT91" i="9"/>
  <c r="KW88" i="9"/>
  <c r="JE85" i="9"/>
  <c r="KK78" i="9"/>
  <c r="KJ78" i="9"/>
  <c r="KI78" i="9"/>
  <c r="KH78" i="9"/>
  <c r="KG78" i="9"/>
  <c r="KF78" i="9"/>
  <c r="KE78" i="9"/>
  <c r="LT77" i="9"/>
  <c r="LS77" i="9"/>
  <c r="LR77" i="9"/>
  <c r="LQ77" i="9"/>
  <c r="KW77" i="9"/>
  <c r="KR77" i="9"/>
  <c r="JF77" i="9"/>
  <c r="JE77" i="9"/>
  <c r="IW77" i="9"/>
  <c r="IB77" i="9"/>
  <c r="HI77" i="9"/>
  <c r="HF77" i="9"/>
  <c r="GG77" i="9"/>
  <c r="GD77" i="9"/>
  <c r="GC77" i="9"/>
  <c r="GA77" i="9"/>
  <c r="DM77" i="9"/>
  <c r="DL77" i="9"/>
  <c r="DK77" i="9"/>
  <c r="DJ77" i="9"/>
  <c r="AW77" i="9"/>
  <c r="JW74" i="9"/>
  <c r="BC74" i="9"/>
  <c r="LY73" i="9"/>
  <c r="LT73" i="9"/>
  <c r="LS73" i="9"/>
  <c r="LR73" i="9"/>
  <c r="LQ73" i="9"/>
  <c r="LP73" i="9"/>
  <c r="LO73" i="9"/>
  <c r="LN73" i="9"/>
  <c r="LM73" i="9"/>
  <c r="LL73" i="9"/>
  <c r="LK73" i="9"/>
  <c r="LJ73" i="9"/>
  <c r="LI73" i="9"/>
  <c r="LH73" i="9"/>
  <c r="LG73" i="9"/>
  <c r="LF73" i="9"/>
  <c r="LE73" i="9"/>
  <c r="LD73" i="9"/>
  <c r="LC73" i="9"/>
  <c r="LB73" i="9"/>
  <c r="LA73" i="9"/>
  <c r="KZ73" i="9"/>
  <c r="KY73" i="9"/>
  <c r="KX73" i="9"/>
  <c r="KW73" i="9"/>
  <c r="KV73" i="9"/>
  <c r="KT73" i="9"/>
  <c r="KR73" i="9"/>
  <c r="KL73" i="9"/>
  <c r="KK73" i="9"/>
  <c r="KJ73" i="9"/>
  <c r="KI73" i="9"/>
  <c r="KH73" i="9"/>
  <c r="KG73" i="9"/>
  <c r="KF73" i="9"/>
  <c r="KD73" i="9"/>
  <c r="KB73" i="9"/>
  <c r="KA73" i="9"/>
  <c r="JZ73" i="9"/>
  <c r="JY73" i="9"/>
  <c r="JX73" i="9"/>
  <c r="JW73" i="9"/>
  <c r="JV73" i="9"/>
  <c r="JU73" i="9"/>
  <c r="JT73" i="9"/>
  <c r="JS73" i="9"/>
  <c r="JQ73" i="9"/>
  <c r="JP73" i="9"/>
  <c r="JO73" i="9"/>
  <c r="JN73" i="9"/>
  <c r="JM73" i="9"/>
  <c r="JL73" i="9"/>
  <c r="JK73" i="9"/>
  <c r="JJ73" i="9"/>
  <c r="JI73" i="9"/>
  <c r="JH73" i="9"/>
  <c r="JG73" i="9"/>
  <c r="JF73" i="9"/>
  <c r="JE73" i="9"/>
  <c r="JD73" i="9"/>
  <c r="JC73" i="9"/>
  <c r="JB73" i="9"/>
  <c r="JA73" i="9"/>
  <c r="IZ73" i="9"/>
  <c r="IY73" i="9"/>
  <c r="IX73" i="9"/>
  <c r="IW73" i="9"/>
  <c r="IV73" i="9"/>
  <c r="IU73" i="9"/>
  <c r="IT73" i="9"/>
  <c r="IR73" i="9"/>
  <c r="IN73" i="9"/>
  <c r="IM73" i="9"/>
  <c r="IL73" i="9"/>
  <c r="IK73" i="9"/>
  <c r="IJ73" i="9"/>
  <c r="II73" i="9"/>
  <c r="IH73" i="9"/>
  <c r="IG73" i="9"/>
  <c r="IF73" i="9"/>
  <c r="IE73" i="9"/>
  <c r="ID73" i="9"/>
  <c r="IC73" i="9"/>
  <c r="IB73" i="9"/>
  <c r="IA73" i="9"/>
  <c r="HZ73" i="9"/>
  <c r="HY73" i="9"/>
  <c r="HX73" i="9"/>
  <c r="HW73" i="9"/>
  <c r="HV73" i="9"/>
  <c r="HU73" i="9"/>
  <c r="HT73" i="9"/>
  <c r="HS73" i="9"/>
  <c r="HR73" i="9"/>
  <c r="HQ73" i="9"/>
  <c r="HP73" i="9"/>
  <c r="HO73" i="9"/>
  <c r="HK73" i="9"/>
  <c r="HJ73" i="9"/>
  <c r="HI73" i="9"/>
  <c r="HH73" i="9"/>
  <c r="HF73" i="9"/>
  <c r="HE73" i="9"/>
  <c r="GQ73" i="9"/>
  <c r="GP73" i="9"/>
  <c r="GO73" i="9"/>
  <c r="GG73" i="9"/>
  <c r="GE73" i="9"/>
  <c r="GD73" i="9"/>
  <c r="GC73" i="9"/>
  <c r="GB73" i="9"/>
  <c r="GA73" i="9"/>
  <c r="FQ73" i="9"/>
  <c r="FP73" i="9"/>
  <c r="FO73" i="9"/>
  <c r="FN73" i="9"/>
  <c r="FM73" i="9"/>
  <c r="FL73" i="9"/>
  <c r="FK73" i="9"/>
  <c r="FE73" i="9"/>
  <c r="EW73" i="9"/>
  <c r="ET73" i="9"/>
  <c r="ES73" i="9"/>
  <c r="ER73" i="9"/>
  <c r="EQ73" i="9"/>
  <c r="EP73" i="9"/>
  <c r="EO73" i="9"/>
  <c r="EN73" i="9"/>
  <c r="EM73" i="9"/>
  <c r="EL73" i="9"/>
  <c r="EK73" i="9"/>
  <c r="EJ73" i="9"/>
  <c r="EI73" i="9"/>
  <c r="EH73" i="9"/>
  <c r="EG73" i="9"/>
  <c r="EF73" i="9"/>
  <c r="DP73" i="9"/>
  <c r="DM73" i="9"/>
  <c r="DL73" i="9"/>
  <c r="DK73" i="9"/>
  <c r="DJ73" i="9"/>
  <c r="DI73" i="9"/>
  <c r="DH73" i="9"/>
  <c r="DF73" i="9"/>
  <c r="CL73" i="9"/>
  <c r="CK73" i="9"/>
  <c r="CC73" i="9"/>
  <c r="BW73" i="9"/>
  <c r="BU73" i="9"/>
  <c r="BT73" i="9"/>
  <c r="BD73" i="9"/>
  <c r="BC73" i="9"/>
  <c r="BA73" i="9"/>
  <c r="AW73" i="9"/>
  <c r="AV73" i="9"/>
  <c r="Z73" i="9"/>
  <c r="Y73" i="9"/>
  <c r="X73" i="9"/>
  <c r="W73" i="9"/>
  <c r="N73" i="9"/>
  <c r="KE63" i="9"/>
  <c r="KE61" i="9"/>
  <c r="LR51" i="9"/>
  <c r="N51" i="9"/>
  <c r="LR50" i="9"/>
  <c r="N50" i="9"/>
  <c r="LR49" i="9"/>
  <c r="N49" i="9"/>
  <c r="LR48" i="9"/>
  <c r="LB48" i="9"/>
  <c r="KZ48" i="9"/>
  <c r="KR48" i="9"/>
  <c r="KE48" i="9"/>
  <c r="KB48" i="9"/>
  <c r="JT48" i="9"/>
  <c r="JE48" i="9"/>
  <c r="IZ48" i="9"/>
  <c r="IW48" i="9"/>
  <c r="IT48" i="9"/>
  <c r="HV48" i="9"/>
  <c r="GO48" i="9"/>
  <c r="FM48" i="9"/>
  <c r="EO48" i="9"/>
  <c r="DK48" i="9"/>
  <c r="AW48" i="9"/>
  <c r="LF47" i="9"/>
  <c r="KX47" i="9"/>
  <c r="KK47" i="9"/>
  <c r="KK48" i="9" s="1"/>
  <c r="KJ47" i="9"/>
  <c r="KJ48" i="9" s="1"/>
  <c r="KI47" i="9"/>
  <c r="KI48" i="9" s="1"/>
  <c r="KH47" i="9"/>
  <c r="KH48" i="9" s="1"/>
  <c r="KG47" i="9"/>
  <c r="KG48" i="9" s="1"/>
  <c r="KF47" i="9"/>
  <c r="KF48" i="9" s="1"/>
  <c r="FM47" i="9"/>
  <c r="LR46" i="9"/>
  <c r="KZ46" i="9"/>
  <c r="JT46" i="9"/>
  <c r="JE46" i="9"/>
  <c r="IW46" i="9"/>
  <c r="JE45" i="9"/>
  <c r="JT37" i="9"/>
  <c r="JQ37" i="9"/>
  <c r="JP37" i="9"/>
  <c r="JN37" i="9"/>
  <c r="JM37" i="9"/>
  <c r="JL37" i="9"/>
  <c r="JK37" i="9"/>
  <c r="JF37" i="9"/>
  <c r="JE37" i="9"/>
  <c r="IW37" i="9"/>
  <c r="HI37" i="9"/>
  <c r="GG37" i="9"/>
  <c r="GA37" i="9"/>
  <c r="FE37" i="9"/>
  <c r="EO37" i="9"/>
  <c r="DH37" i="9"/>
  <c r="BT36" i="9"/>
  <c r="BT37" i="9" s="1"/>
  <c r="LS35" i="9"/>
  <c r="LR35" i="9"/>
  <c r="LN35" i="9"/>
  <c r="LJ35" i="9"/>
  <c r="LI35" i="9"/>
  <c r="LF35" i="9"/>
  <c r="KR35" i="9"/>
  <c r="JW35" i="9"/>
  <c r="JQ35" i="9"/>
  <c r="JP35" i="9"/>
  <c r="JO35" i="9"/>
  <c r="JN35" i="9"/>
  <c r="JM35" i="9"/>
  <c r="JL35" i="9"/>
  <c r="JK35" i="9"/>
  <c r="JF35" i="9"/>
  <c r="IZ35" i="9"/>
  <c r="IM35" i="9"/>
  <c r="HI35" i="9"/>
  <c r="GG35" i="9"/>
  <c r="GD35" i="9"/>
  <c r="GA35" i="9"/>
  <c r="FE35" i="9"/>
  <c r="EO35" i="9"/>
  <c r="KK34" i="9"/>
  <c r="KH34" i="9"/>
  <c r="KG34" i="9"/>
  <c r="KF34" i="9"/>
  <c r="KF35" i="9" s="1"/>
  <c r="JE34" i="9"/>
  <c r="BT34" i="9"/>
  <c r="BT35" i="9" s="1"/>
  <c r="LY33" i="9"/>
  <c r="LX33" i="9"/>
  <c r="LW33" i="9"/>
  <c r="LU33" i="9"/>
  <c r="LT33" i="9"/>
  <c r="LS33" i="9"/>
  <c r="LR33" i="9"/>
  <c r="LC33" i="9"/>
  <c r="LB33" i="9"/>
  <c r="KZ33" i="9"/>
  <c r="KB33" i="9"/>
  <c r="JT33" i="9"/>
  <c r="JO33" i="9"/>
  <c r="JN33" i="9"/>
  <c r="JM33" i="9"/>
  <c r="JL33" i="9"/>
  <c r="JK33" i="9"/>
  <c r="JE33" i="9"/>
  <c r="IZ33" i="9"/>
  <c r="IW33" i="9"/>
  <c r="IT33" i="9"/>
  <c r="HV33" i="9"/>
  <c r="GO33" i="9"/>
  <c r="EO33" i="9"/>
  <c r="DK33" i="9"/>
  <c r="DJ33" i="9"/>
  <c r="DH33" i="9"/>
  <c r="LT32" i="9"/>
  <c r="LS32" i="9"/>
  <c r="LR32" i="9"/>
  <c r="LN32" i="9"/>
  <c r="LJ32" i="9"/>
  <c r="LI32" i="9"/>
  <c r="LF32" i="9"/>
  <c r="LA32" i="9"/>
  <c r="KZ32" i="9"/>
  <c r="KR32" i="9"/>
  <c r="JW32" i="9"/>
  <c r="JT32" i="9"/>
  <c r="JQ32" i="9"/>
  <c r="JP32" i="9"/>
  <c r="JO32" i="9"/>
  <c r="JM32" i="9"/>
  <c r="JL32" i="9"/>
  <c r="JK32" i="9"/>
  <c r="JF32" i="9"/>
  <c r="IZ32" i="9"/>
  <c r="IW32" i="9"/>
  <c r="IM32" i="9"/>
  <c r="GG32" i="9"/>
  <c r="GD32" i="9"/>
  <c r="GA32" i="9"/>
  <c r="EO32" i="9"/>
  <c r="DM32" i="9"/>
  <c r="DJ32" i="9"/>
  <c r="DI32" i="9"/>
  <c r="DH32" i="9"/>
  <c r="AV32" i="9"/>
  <c r="KX31" i="9"/>
  <c r="KK31" i="9"/>
  <c r="KK33" i="9" s="1"/>
  <c r="KI31" i="9"/>
  <c r="KI33" i="9" s="1"/>
  <c r="KH31" i="9"/>
  <c r="KH33" i="9" s="1"/>
  <c r="KG31" i="9"/>
  <c r="KG33" i="9" s="1"/>
  <c r="KF31" i="9"/>
  <c r="KF33" i="9" s="1"/>
  <c r="KE31" i="9"/>
  <c r="KE33" i="9" s="1"/>
  <c r="KB31" i="9"/>
  <c r="KB32" i="9" s="1"/>
  <c r="JE31" i="9"/>
  <c r="IV31" i="9"/>
  <c r="IR31" i="9"/>
  <c r="HI31" i="9"/>
  <c r="HI32" i="9" s="1"/>
  <c r="BT31" i="9"/>
  <c r="BT32" i="9" s="1"/>
  <c r="KK27" i="9"/>
  <c r="KJ27" i="9"/>
  <c r="KJ31" i="9" s="1"/>
  <c r="KI27" i="9"/>
  <c r="KH27" i="9"/>
  <c r="KG27" i="9"/>
  <c r="KE27" i="9"/>
  <c r="KA27" i="9"/>
  <c r="KA35" i="9" s="1"/>
  <c r="JE27" i="9"/>
  <c r="IV27" i="9"/>
  <c r="IV35" i="9" s="1"/>
  <c r="IT27" i="9"/>
  <c r="IT37" i="9" s="1"/>
  <c r="IR27" i="9"/>
  <c r="IR33" i="9" s="1"/>
  <c r="AW27" i="9"/>
  <c r="AW32" i="9" s="1"/>
  <c r="JL26" i="9"/>
  <c r="JL24" i="9"/>
  <c r="KE73" i="9" l="1"/>
  <c r="IR32" i="9"/>
  <c r="KG35" i="9"/>
  <c r="IV32" i="9"/>
  <c r="KH35" i="9"/>
  <c r="JE32" i="9"/>
  <c r="JE35" i="9"/>
  <c r="KK35" i="9"/>
  <c r="KJ33" i="9"/>
  <c r="KJ32" i="9"/>
  <c r="IT32" i="9"/>
  <c r="KF32" i="9"/>
  <c r="IV46" i="9"/>
  <c r="KG32" i="9"/>
  <c r="KK32" i="9"/>
  <c r="KA33" i="9"/>
  <c r="KA32" i="9"/>
  <c r="KH32" i="9"/>
  <c r="AW35" i="9"/>
  <c r="KA37" i="9"/>
  <c r="KI32" i="9"/>
  <c r="BX11" i="7" l="1"/>
  <c r="BY11" i="7"/>
  <c r="BZ11" i="7"/>
  <c r="CA11" i="7"/>
  <c r="CB11" i="7"/>
  <c r="CC11" i="7"/>
  <c r="CD11" i="7"/>
  <c r="CE11" i="7"/>
  <c r="CF11" i="7"/>
  <c r="CG11" i="7"/>
  <c r="CH11" i="7"/>
  <c r="CI11" i="7"/>
  <c r="CJ11" i="7"/>
  <c r="CK11" i="7"/>
  <c r="CL11" i="7"/>
  <c r="CM11" i="7"/>
  <c r="CN11" i="7"/>
  <c r="CO11" i="7"/>
  <c r="CP11" i="7"/>
  <c r="CQ11" i="7"/>
  <c r="CR11" i="7"/>
  <c r="CS11" i="7"/>
  <c r="CT11" i="7"/>
  <c r="CU11" i="7"/>
  <c r="CV11" i="7"/>
  <c r="CW11" i="7"/>
  <c r="R11" i="7"/>
  <c r="S11" i="7"/>
  <c r="T11" i="7"/>
  <c r="U11" i="7"/>
  <c r="V11" i="7"/>
  <c r="W11" i="7"/>
  <c r="X11" i="7"/>
  <c r="Y11" i="7"/>
  <c r="Z11" i="7"/>
  <c r="AA11" i="7"/>
  <c r="AB11" i="7"/>
  <c r="AC11" i="7"/>
  <c r="AD11" i="7"/>
  <c r="AE11" i="7"/>
  <c r="AF11" i="7"/>
  <c r="AG11" i="7"/>
  <c r="AH11" i="7"/>
  <c r="AI11" i="7"/>
  <c r="AJ11" i="7"/>
  <c r="AK11" i="7"/>
  <c r="AL11" i="7"/>
  <c r="AM11" i="7"/>
  <c r="AN11" i="7"/>
  <c r="AO11" i="7"/>
  <c r="AP11" i="7"/>
  <c r="AQ11" i="7"/>
  <c r="AR11" i="7"/>
  <c r="AS11" i="7"/>
  <c r="AT11" i="7"/>
  <c r="AU11" i="7"/>
  <c r="AV11" i="7"/>
  <c r="AW11" i="7"/>
  <c r="AX11" i="7"/>
  <c r="AY11" i="7"/>
  <c r="AZ11" i="7"/>
  <c r="BA11" i="7"/>
  <c r="BB11" i="7"/>
  <c r="BC11" i="7"/>
  <c r="BD11" i="7"/>
  <c r="BE11" i="7"/>
  <c r="BF11" i="7"/>
  <c r="BG11" i="7"/>
  <c r="BH11" i="7"/>
  <c r="BI11" i="7"/>
  <c r="BJ11" i="7"/>
  <c r="BK11" i="7"/>
  <c r="BL11" i="7"/>
  <c r="BM11" i="7"/>
  <c r="BN11" i="7"/>
  <c r="BO11" i="7"/>
  <c r="BP11" i="7"/>
  <c r="BQ11" i="7"/>
  <c r="BR11" i="7"/>
  <c r="BS11" i="7"/>
  <c r="BT11" i="7"/>
  <c r="BU11" i="7"/>
  <c r="BV11" i="7"/>
  <c r="BW11" i="7"/>
  <c r="Q11" i="7"/>
  <c r="Q9" i="7"/>
  <c r="Z9" i="7"/>
  <c r="Z7" i="7" s="1"/>
  <c r="AA9" i="7"/>
  <c r="AA7" i="7" s="1"/>
  <c r="AA23" i="7" s="1"/>
  <c r="AB9" i="7"/>
  <c r="AB7" i="7" s="1"/>
  <c r="AB23" i="7" s="1"/>
  <c r="AC9" i="7"/>
  <c r="AC7" i="7" s="1"/>
  <c r="AC23" i="7" s="1"/>
  <c r="AD9" i="7"/>
  <c r="AD7" i="7" s="1"/>
  <c r="AD23" i="7" s="1"/>
  <c r="AE9" i="7"/>
  <c r="AE7" i="7" s="1"/>
  <c r="AE23" i="7" s="1"/>
  <c r="AF9" i="7"/>
  <c r="AF7" i="7" s="1"/>
  <c r="AG9" i="7"/>
  <c r="AG7" i="7" s="1"/>
  <c r="AG23" i="7" s="1"/>
  <c r="AH9" i="7"/>
  <c r="AH7" i="7" s="1"/>
  <c r="AH23" i="7" s="1"/>
  <c r="AI9" i="7"/>
  <c r="AI7" i="7" s="1"/>
  <c r="AI23" i="7" s="1"/>
  <c r="AJ9" i="7"/>
  <c r="AJ7" i="7" s="1"/>
  <c r="AJ23" i="7" s="1"/>
  <c r="AK9" i="7"/>
  <c r="AK7" i="7" s="1"/>
  <c r="AK23" i="7" s="1"/>
  <c r="AL9" i="7"/>
  <c r="AL7" i="7" s="1"/>
  <c r="AL23" i="7" s="1"/>
  <c r="AM9" i="7"/>
  <c r="AM7" i="7" s="1"/>
  <c r="AM23" i="7" s="1"/>
  <c r="AN9" i="7"/>
  <c r="AN7" i="7" s="1"/>
  <c r="AN23" i="7" s="1"/>
  <c r="AO9" i="7"/>
  <c r="AO7" i="7" s="1"/>
  <c r="AP9" i="7"/>
  <c r="AP7" i="7" s="1"/>
  <c r="AQ9" i="7"/>
  <c r="AQ7" i="7" s="1"/>
  <c r="AQ23" i="7" s="1"/>
  <c r="AR9" i="7"/>
  <c r="AR7" i="7" s="1"/>
  <c r="AR23" i="7" s="1"/>
  <c r="AS9" i="7"/>
  <c r="AS7" i="7" s="1"/>
  <c r="AS23" i="7" s="1"/>
  <c r="AT9" i="7"/>
  <c r="AT7" i="7" s="1"/>
  <c r="AT23" i="7" s="1"/>
  <c r="AU9" i="7"/>
  <c r="AU7" i="7" s="1"/>
  <c r="AU23" i="7" s="1"/>
  <c r="AV9" i="7"/>
  <c r="AV7" i="7" s="1"/>
  <c r="AV23" i="7" s="1"/>
  <c r="AW7" i="7"/>
  <c r="AW23" i="7" s="1"/>
  <c r="AX9" i="7"/>
  <c r="AX7" i="7" s="1"/>
  <c r="AX23" i="7" s="1"/>
  <c r="AY9" i="7"/>
  <c r="AY7" i="7" s="1"/>
  <c r="AY23" i="7" s="1"/>
  <c r="AZ9" i="7"/>
  <c r="AZ7" i="7" s="1"/>
  <c r="AZ23" i="7" s="1"/>
  <c r="BA9" i="7"/>
  <c r="BA7" i="7" s="1"/>
  <c r="BA23" i="7" s="1"/>
  <c r="BB9" i="7"/>
  <c r="BB7" i="7" s="1"/>
  <c r="BB23" i="7" s="1"/>
  <c r="BC9" i="7"/>
  <c r="BC7" i="7" s="1"/>
  <c r="BD9" i="7"/>
  <c r="BD7" i="7" s="1"/>
  <c r="BD23" i="7" s="1"/>
  <c r="BE9" i="7"/>
  <c r="BE7" i="7" s="1"/>
  <c r="BF9" i="7"/>
  <c r="BF7" i="7" s="1"/>
  <c r="BG9" i="7"/>
  <c r="BG7" i="7" s="1"/>
  <c r="BG23" i="7" s="1"/>
  <c r="BH9" i="7"/>
  <c r="BH7" i="7" s="1"/>
  <c r="BH23" i="7" s="1"/>
  <c r="BI9" i="7"/>
  <c r="BI7" i="7" s="1"/>
  <c r="BI23" i="7" s="1"/>
  <c r="BJ9" i="7"/>
  <c r="BJ7" i="7" s="1"/>
  <c r="BJ23" i="7" s="1"/>
  <c r="BK9" i="7"/>
  <c r="BK7" i="7" s="1"/>
  <c r="BK23" i="7" s="1"/>
  <c r="BL9" i="7"/>
  <c r="BL7" i="7" s="1"/>
  <c r="BL23" i="7" s="1"/>
  <c r="BM9" i="7"/>
  <c r="BM7" i="7" s="1"/>
  <c r="BM23" i="7" s="1"/>
  <c r="BN9" i="7"/>
  <c r="BN7" i="7" s="1"/>
  <c r="BN23" i="7" s="1"/>
  <c r="BO9" i="7"/>
  <c r="BO7" i="7" s="1"/>
  <c r="BO23" i="7" s="1"/>
  <c r="BP9" i="7"/>
  <c r="BP7" i="7" s="1"/>
  <c r="BP23" i="7" s="1"/>
  <c r="BQ9" i="7"/>
  <c r="BQ7" i="7" s="1"/>
  <c r="BQ23" i="7" s="1"/>
  <c r="BR9" i="7"/>
  <c r="BR7" i="7" s="1"/>
  <c r="BS9" i="7"/>
  <c r="BS7" i="7" s="1"/>
  <c r="BS23" i="7" s="1"/>
  <c r="BT9" i="7"/>
  <c r="BT7" i="7" s="1"/>
  <c r="BT23" i="7" s="1"/>
  <c r="BU9" i="7"/>
  <c r="BU7" i="7" s="1"/>
  <c r="BU23" i="7" s="1"/>
  <c r="BV9" i="7"/>
  <c r="BV7" i="7" s="1"/>
  <c r="BV23" i="7" s="1"/>
  <c r="BW9" i="7"/>
  <c r="BW7" i="7" s="1"/>
  <c r="BW23" i="7" s="1"/>
  <c r="BX9" i="7"/>
  <c r="BX7" i="7" s="1"/>
  <c r="BX23" i="7" s="1"/>
  <c r="BY9" i="7"/>
  <c r="BY7" i="7" s="1"/>
  <c r="BY23" i="7" s="1"/>
  <c r="BZ9" i="7"/>
  <c r="BZ7" i="7" s="1"/>
  <c r="BZ23" i="7" s="1"/>
  <c r="CA9" i="7"/>
  <c r="CA7" i="7" s="1"/>
  <c r="CA23" i="7" s="1"/>
  <c r="CB9" i="7"/>
  <c r="CB7" i="7" s="1"/>
  <c r="CB23" i="7" s="1"/>
  <c r="CC9" i="7"/>
  <c r="CC7" i="7" s="1"/>
  <c r="CD9" i="7"/>
  <c r="CD7" i="7" s="1"/>
  <c r="CD23" i="7" s="1"/>
  <c r="CE9" i="7"/>
  <c r="CE7" i="7" s="1"/>
  <c r="CE23" i="7" s="1"/>
  <c r="CF9" i="7"/>
  <c r="CF7" i="7" s="1"/>
  <c r="CF23" i="7" s="1"/>
  <c r="CG9" i="7"/>
  <c r="CG7" i="7" s="1"/>
  <c r="CG23" i="7" s="1"/>
  <c r="CH9" i="7"/>
  <c r="CH7" i="7" s="1"/>
  <c r="CH23" i="7" s="1"/>
  <c r="CI9" i="7"/>
  <c r="CI7" i="7" s="1"/>
  <c r="CI23" i="7" s="1"/>
  <c r="CJ9" i="7"/>
  <c r="CJ7" i="7" s="1"/>
  <c r="CJ23" i="7" s="1"/>
  <c r="CK9" i="7"/>
  <c r="CK7" i="7" s="1"/>
  <c r="CL9" i="7"/>
  <c r="CL7" i="7" s="1"/>
  <c r="CL23" i="7" s="1"/>
  <c r="CM9" i="7"/>
  <c r="CM7" i="7" s="1"/>
  <c r="CM23" i="7" s="1"/>
  <c r="CN9" i="7"/>
  <c r="CN7" i="7" s="1"/>
  <c r="CN23" i="7" s="1"/>
  <c r="CO9" i="7"/>
  <c r="CO7" i="7" s="1"/>
  <c r="CO23" i="7" s="1"/>
  <c r="CP9" i="7"/>
  <c r="CP7" i="7" s="1"/>
  <c r="CQ9" i="7"/>
  <c r="CQ7" i="7" s="1"/>
  <c r="CQ23" i="7" s="1"/>
  <c r="CR9" i="7"/>
  <c r="CR7" i="7" s="1"/>
  <c r="CR23" i="7" s="1"/>
  <c r="CS9" i="7"/>
  <c r="CS7" i="7" s="1"/>
  <c r="CT9" i="7"/>
  <c r="CT7" i="7" s="1"/>
  <c r="CT23" i="7" s="1"/>
  <c r="CU9" i="7"/>
  <c r="CU7" i="7" s="1"/>
  <c r="CU23" i="7" s="1"/>
  <c r="CV9" i="7"/>
  <c r="CV7" i="7" s="1"/>
  <c r="CV23" i="7" s="1"/>
  <c r="CW9" i="7"/>
  <c r="CW7" i="7" s="1"/>
  <c r="CW23" i="7" s="1"/>
  <c r="R9" i="7"/>
  <c r="R7" i="7" s="1"/>
  <c r="R23" i="7" s="1"/>
  <c r="S9" i="7"/>
  <c r="S7" i="7" s="1"/>
  <c r="S23" i="7" s="1"/>
  <c r="T9" i="7"/>
  <c r="T7" i="7" s="1"/>
  <c r="T23" i="7" s="1"/>
  <c r="U9" i="7"/>
  <c r="U7" i="7" s="1"/>
  <c r="U23" i="7" s="1"/>
  <c r="V9" i="7"/>
  <c r="V7" i="7" s="1"/>
  <c r="V23" i="7" s="1"/>
  <c r="W9" i="7"/>
  <c r="W7" i="7" s="1"/>
  <c r="W23" i="7" s="1"/>
  <c r="X9" i="7"/>
  <c r="X7" i="7" s="1"/>
  <c r="Y9" i="7"/>
  <c r="Y7" i="7" s="1"/>
  <c r="R141" i="7"/>
  <c r="S141" i="7"/>
  <c r="T141" i="7"/>
  <c r="V141" i="7"/>
  <c r="W141" i="7"/>
  <c r="X141" i="7"/>
  <c r="Y141" i="7"/>
  <c r="Z141" i="7"/>
  <c r="AA141" i="7"/>
  <c r="AB141" i="7"/>
  <c r="AC141" i="7"/>
  <c r="AD141" i="7"/>
  <c r="AE141" i="7"/>
  <c r="AF141" i="7"/>
  <c r="AG141" i="7"/>
  <c r="AH141" i="7"/>
  <c r="AI141" i="7"/>
  <c r="AJ141" i="7"/>
  <c r="AK141" i="7"/>
  <c r="AL141" i="7"/>
  <c r="AM141" i="7"/>
  <c r="AN141" i="7"/>
  <c r="AO141" i="7"/>
  <c r="AP141" i="7"/>
  <c r="AQ141" i="7"/>
  <c r="AR141" i="7"/>
  <c r="AS141" i="7"/>
  <c r="AT141" i="7"/>
  <c r="AU141" i="7"/>
  <c r="AV141" i="7"/>
  <c r="AW141" i="7"/>
  <c r="AX141" i="7"/>
  <c r="AY141" i="7"/>
  <c r="AZ141" i="7"/>
  <c r="BA141" i="7"/>
  <c r="BB141" i="7"/>
  <c r="BC141" i="7"/>
  <c r="BD141" i="7"/>
  <c r="BE141" i="7"/>
  <c r="BF141" i="7"/>
  <c r="BG141" i="7"/>
  <c r="BH141" i="7"/>
  <c r="BI141" i="7"/>
  <c r="BJ141" i="7"/>
  <c r="BK141" i="7"/>
  <c r="BL141" i="7"/>
  <c r="BM141" i="7"/>
  <c r="BN141" i="7"/>
  <c r="BO141" i="7"/>
  <c r="BP141" i="7"/>
  <c r="BQ141" i="7"/>
  <c r="BR141" i="7"/>
  <c r="BS141" i="7"/>
  <c r="BT141" i="7"/>
  <c r="BU141" i="7"/>
  <c r="BV141" i="7"/>
  <c r="BX141" i="7"/>
  <c r="BY141" i="7"/>
  <c r="BZ141" i="7"/>
  <c r="CA141" i="7"/>
  <c r="CB141" i="7"/>
  <c r="CC141" i="7"/>
  <c r="CD141" i="7"/>
  <c r="CE141" i="7"/>
  <c r="CF141" i="7"/>
  <c r="CG141" i="7"/>
  <c r="CH141" i="7"/>
  <c r="CI141" i="7"/>
  <c r="CJ141" i="7"/>
  <c r="CK141" i="7"/>
  <c r="CL141" i="7"/>
  <c r="CM141" i="7"/>
  <c r="CN141" i="7"/>
  <c r="CO141" i="7"/>
  <c r="CP141" i="7"/>
  <c r="CQ141" i="7"/>
  <c r="CR141" i="7"/>
  <c r="CS141" i="7"/>
  <c r="CT141" i="7"/>
  <c r="CU141" i="7"/>
  <c r="CW141" i="7"/>
  <c r="R140" i="7"/>
  <c r="S140" i="7"/>
  <c r="T140" i="7"/>
  <c r="V140" i="7"/>
  <c r="W140" i="7"/>
  <c r="X140" i="7"/>
  <c r="Y140" i="7"/>
  <c r="Z140" i="7"/>
  <c r="AA140" i="7"/>
  <c r="AB140" i="7"/>
  <c r="AC140" i="7"/>
  <c r="AD140" i="7"/>
  <c r="AE140" i="7"/>
  <c r="AF140" i="7"/>
  <c r="AG140" i="7"/>
  <c r="AH140" i="7"/>
  <c r="AI140" i="7"/>
  <c r="AJ140" i="7"/>
  <c r="AK140" i="7"/>
  <c r="AL140" i="7"/>
  <c r="AM140" i="7"/>
  <c r="AN140" i="7"/>
  <c r="AO140" i="7"/>
  <c r="AP140" i="7"/>
  <c r="AQ140" i="7"/>
  <c r="AR140" i="7"/>
  <c r="AS140" i="7"/>
  <c r="AT140" i="7"/>
  <c r="AU140" i="7"/>
  <c r="AV140" i="7"/>
  <c r="AW140" i="7"/>
  <c r="AX140" i="7"/>
  <c r="AY140" i="7"/>
  <c r="AZ140" i="7"/>
  <c r="BA140" i="7"/>
  <c r="BB140" i="7"/>
  <c r="BC140" i="7"/>
  <c r="BD140" i="7"/>
  <c r="BE140" i="7"/>
  <c r="BF140" i="7"/>
  <c r="BG140" i="7"/>
  <c r="BH140" i="7"/>
  <c r="BI140" i="7"/>
  <c r="BJ140" i="7"/>
  <c r="BK140" i="7"/>
  <c r="BL140" i="7"/>
  <c r="BM140" i="7"/>
  <c r="BN140" i="7"/>
  <c r="BO140" i="7"/>
  <c r="BP140" i="7"/>
  <c r="BQ140" i="7"/>
  <c r="BR140" i="7"/>
  <c r="BS140" i="7"/>
  <c r="BT140" i="7"/>
  <c r="BU140" i="7"/>
  <c r="BV140" i="7"/>
  <c r="BW140" i="7"/>
  <c r="BX140" i="7"/>
  <c r="BY140" i="7"/>
  <c r="BZ140" i="7"/>
  <c r="CA140" i="7"/>
  <c r="CB140" i="7"/>
  <c r="CC140" i="7"/>
  <c r="CD140" i="7"/>
  <c r="CE140" i="7"/>
  <c r="CF140" i="7"/>
  <c r="CG140" i="7"/>
  <c r="CH140" i="7"/>
  <c r="CI140" i="7"/>
  <c r="CJ140" i="7"/>
  <c r="CK140" i="7"/>
  <c r="CL140" i="7"/>
  <c r="CM140" i="7"/>
  <c r="CN140" i="7"/>
  <c r="CO140" i="7"/>
  <c r="CP140" i="7"/>
  <c r="CQ140" i="7"/>
  <c r="CR140" i="7"/>
  <c r="CS140" i="7"/>
  <c r="CT140" i="7"/>
  <c r="CU140" i="7"/>
  <c r="CW140" i="7"/>
  <c r="R139" i="7"/>
  <c r="S139" i="7"/>
  <c r="T139" i="7"/>
  <c r="V139" i="7"/>
  <c r="W139" i="7"/>
  <c r="X139" i="7"/>
  <c r="Y139" i="7"/>
  <c r="Z139" i="7"/>
  <c r="AA139" i="7"/>
  <c r="AB139" i="7"/>
  <c r="AC139" i="7"/>
  <c r="AD139" i="7"/>
  <c r="AE139" i="7"/>
  <c r="AF139" i="7"/>
  <c r="AG139" i="7"/>
  <c r="AH139" i="7"/>
  <c r="AI139" i="7"/>
  <c r="AJ139" i="7"/>
  <c r="AK139" i="7"/>
  <c r="AL139" i="7"/>
  <c r="AM139" i="7"/>
  <c r="AN139" i="7"/>
  <c r="AO139" i="7"/>
  <c r="AP139" i="7"/>
  <c r="AQ139" i="7"/>
  <c r="AR139" i="7"/>
  <c r="AS139" i="7"/>
  <c r="AT139" i="7"/>
  <c r="AU139" i="7"/>
  <c r="AV139" i="7"/>
  <c r="AW139" i="7"/>
  <c r="AX139" i="7"/>
  <c r="AY139" i="7"/>
  <c r="AZ139" i="7"/>
  <c r="BA139" i="7"/>
  <c r="BB139" i="7"/>
  <c r="BC139" i="7"/>
  <c r="BD139" i="7"/>
  <c r="BE139" i="7"/>
  <c r="BF139" i="7"/>
  <c r="BG139" i="7"/>
  <c r="BH139" i="7"/>
  <c r="BI139" i="7"/>
  <c r="BJ139" i="7"/>
  <c r="BK139" i="7"/>
  <c r="BL139" i="7"/>
  <c r="BM139" i="7"/>
  <c r="BN139" i="7"/>
  <c r="BO139" i="7"/>
  <c r="BP139" i="7"/>
  <c r="BQ139" i="7"/>
  <c r="BR139" i="7"/>
  <c r="BS139" i="7"/>
  <c r="BT139" i="7"/>
  <c r="BU139" i="7"/>
  <c r="BV139" i="7"/>
  <c r="BW139" i="7"/>
  <c r="BX139" i="7"/>
  <c r="BY139" i="7"/>
  <c r="BZ139" i="7"/>
  <c r="CA139" i="7"/>
  <c r="CB139" i="7"/>
  <c r="CC139" i="7"/>
  <c r="CD139" i="7"/>
  <c r="CE139" i="7"/>
  <c r="CF139" i="7"/>
  <c r="CG139" i="7"/>
  <c r="CH139" i="7"/>
  <c r="CI139" i="7"/>
  <c r="CJ139" i="7"/>
  <c r="CK139" i="7"/>
  <c r="CL139" i="7"/>
  <c r="CM139" i="7"/>
  <c r="CN139" i="7"/>
  <c r="CO139" i="7"/>
  <c r="CP139" i="7"/>
  <c r="CQ139" i="7"/>
  <c r="CR139" i="7"/>
  <c r="CS139" i="7"/>
  <c r="CT139" i="7"/>
  <c r="CU139" i="7"/>
  <c r="CW139" i="7"/>
  <c r="Q141" i="7"/>
  <c r="Q140" i="7"/>
  <c r="Q139" i="7"/>
  <c r="Q130" i="7"/>
  <c r="R92" i="7"/>
  <c r="S92" i="7"/>
  <c r="T92" i="7"/>
  <c r="U92" i="7"/>
  <c r="V92" i="7"/>
  <c r="W92" i="7"/>
  <c r="X92" i="7"/>
  <c r="Y92" i="7"/>
  <c r="Z92" i="7"/>
  <c r="AA92" i="7"/>
  <c r="AB92" i="7"/>
  <c r="AC92" i="7"/>
  <c r="AD92" i="7"/>
  <c r="AE92" i="7"/>
  <c r="AF92" i="7"/>
  <c r="AG92" i="7"/>
  <c r="AH92" i="7"/>
  <c r="AI92" i="7"/>
  <c r="AJ92" i="7"/>
  <c r="AK92" i="7"/>
  <c r="AL92" i="7"/>
  <c r="AM92" i="7"/>
  <c r="AN92" i="7"/>
  <c r="AO92" i="7"/>
  <c r="AP92" i="7"/>
  <c r="AQ92" i="7"/>
  <c r="AR92" i="7"/>
  <c r="AS92" i="7"/>
  <c r="AT92" i="7"/>
  <c r="AU92" i="7"/>
  <c r="AV92" i="7"/>
  <c r="AW92" i="7"/>
  <c r="AX92" i="7"/>
  <c r="AY92" i="7"/>
  <c r="AZ92" i="7"/>
  <c r="BA92" i="7"/>
  <c r="BB92" i="7"/>
  <c r="BC92" i="7"/>
  <c r="BD92" i="7"/>
  <c r="BE92" i="7"/>
  <c r="BF92" i="7"/>
  <c r="BG92" i="7"/>
  <c r="BH92" i="7"/>
  <c r="BI92" i="7"/>
  <c r="BK92" i="7"/>
  <c r="BL92" i="7"/>
  <c r="BM92" i="7"/>
  <c r="BN92" i="7"/>
  <c r="BO92" i="7"/>
  <c r="BP92" i="7"/>
  <c r="BQ92" i="7"/>
  <c r="BR92" i="7"/>
  <c r="BS92" i="7"/>
  <c r="BT92" i="7"/>
  <c r="BU92" i="7"/>
  <c r="BV92" i="7"/>
  <c r="BX92" i="7"/>
  <c r="BY92" i="7"/>
  <c r="BZ92" i="7"/>
  <c r="CA92" i="7"/>
  <c r="CB92" i="7"/>
  <c r="CC92" i="7"/>
  <c r="CD92" i="7"/>
  <c r="CE92" i="7"/>
  <c r="CF92" i="7"/>
  <c r="CG92" i="7"/>
  <c r="CH92" i="7"/>
  <c r="CI92" i="7"/>
  <c r="CJ92" i="7"/>
  <c r="CK92" i="7"/>
  <c r="CL92" i="7"/>
  <c r="CM92" i="7"/>
  <c r="CN92" i="7"/>
  <c r="CO92" i="7"/>
  <c r="CP92" i="7"/>
  <c r="CQ92" i="7"/>
  <c r="CR92" i="7"/>
  <c r="CS92" i="7"/>
  <c r="CT92" i="7"/>
  <c r="CU92" i="7"/>
  <c r="CV92" i="7"/>
  <c r="CW92" i="7"/>
  <c r="R94" i="7"/>
  <c r="S94" i="7"/>
  <c r="T94" i="7"/>
  <c r="U94" i="7"/>
  <c r="V94" i="7"/>
  <c r="W94" i="7"/>
  <c r="X94" i="7"/>
  <c r="Y94" i="7"/>
  <c r="Z94" i="7"/>
  <c r="AA94" i="7"/>
  <c r="AB94" i="7"/>
  <c r="AC94" i="7"/>
  <c r="AD94" i="7"/>
  <c r="AE94" i="7"/>
  <c r="AF94" i="7"/>
  <c r="AG94" i="7"/>
  <c r="AH94" i="7"/>
  <c r="AI94" i="7"/>
  <c r="AJ94" i="7"/>
  <c r="AK94" i="7"/>
  <c r="AL94" i="7"/>
  <c r="AM94" i="7"/>
  <c r="AN94" i="7"/>
  <c r="AO94" i="7"/>
  <c r="AP94" i="7"/>
  <c r="AQ94" i="7"/>
  <c r="AR94" i="7"/>
  <c r="AS94" i="7"/>
  <c r="AT94" i="7"/>
  <c r="AU94" i="7"/>
  <c r="AV94" i="7"/>
  <c r="AW94" i="7"/>
  <c r="AX94" i="7"/>
  <c r="AY94" i="7"/>
  <c r="AZ94" i="7"/>
  <c r="BA94" i="7"/>
  <c r="BB94" i="7"/>
  <c r="BC94" i="7"/>
  <c r="BD94" i="7"/>
  <c r="BE94" i="7"/>
  <c r="BF94" i="7"/>
  <c r="BG94" i="7"/>
  <c r="BH94" i="7"/>
  <c r="BI94" i="7"/>
  <c r="BJ94" i="7"/>
  <c r="BK94" i="7"/>
  <c r="BL94" i="7"/>
  <c r="BM94" i="7"/>
  <c r="BN94" i="7"/>
  <c r="BO94" i="7"/>
  <c r="BP94" i="7"/>
  <c r="BQ94" i="7"/>
  <c r="BR94" i="7"/>
  <c r="BS94" i="7"/>
  <c r="BT94" i="7"/>
  <c r="BU94" i="7"/>
  <c r="BV94" i="7"/>
  <c r="BW94" i="7"/>
  <c r="BX94" i="7"/>
  <c r="BY94" i="7"/>
  <c r="BZ94" i="7"/>
  <c r="CA94" i="7"/>
  <c r="CB94" i="7"/>
  <c r="CC94" i="7"/>
  <c r="CD94" i="7"/>
  <c r="CE94" i="7"/>
  <c r="CF94" i="7"/>
  <c r="CG94" i="7"/>
  <c r="CH94" i="7"/>
  <c r="CI94" i="7"/>
  <c r="CJ94" i="7"/>
  <c r="CK94" i="7"/>
  <c r="CL94" i="7"/>
  <c r="CM94" i="7"/>
  <c r="CN94" i="7"/>
  <c r="CO94" i="7"/>
  <c r="CP94" i="7"/>
  <c r="CQ94" i="7"/>
  <c r="CR94" i="7"/>
  <c r="CS94" i="7"/>
  <c r="CU94" i="7"/>
  <c r="CV94" i="7"/>
  <c r="CW94"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BA96" i="7"/>
  <c r="BB96" i="7"/>
  <c r="BC96" i="7"/>
  <c r="BD96" i="7"/>
  <c r="BE96" i="7"/>
  <c r="BF96" i="7"/>
  <c r="BG96" i="7"/>
  <c r="BH96" i="7"/>
  <c r="BI96" i="7"/>
  <c r="BJ96" i="7"/>
  <c r="BK96" i="7"/>
  <c r="BL96" i="7"/>
  <c r="BM96" i="7"/>
  <c r="BN96" i="7"/>
  <c r="BO96" i="7"/>
  <c r="BP96" i="7"/>
  <c r="BQ96" i="7"/>
  <c r="BR96" i="7"/>
  <c r="BS96" i="7"/>
  <c r="BT96" i="7"/>
  <c r="BU96" i="7"/>
  <c r="BV96" i="7"/>
  <c r="BW96" i="7"/>
  <c r="BX96" i="7"/>
  <c r="BY96" i="7"/>
  <c r="BZ96" i="7"/>
  <c r="CA96" i="7"/>
  <c r="CB96" i="7"/>
  <c r="CC96" i="7"/>
  <c r="CD96" i="7"/>
  <c r="CE96" i="7"/>
  <c r="CF96" i="7"/>
  <c r="CG96" i="7"/>
  <c r="CH96" i="7"/>
  <c r="CI96" i="7"/>
  <c r="CJ96" i="7"/>
  <c r="CK96" i="7"/>
  <c r="CL96" i="7"/>
  <c r="CM96" i="7"/>
  <c r="CN96" i="7"/>
  <c r="CO96" i="7"/>
  <c r="CP96" i="7"/>
  <c r="CQ96" i="7"/>
  <c r="CR96" i="7"/>
  <c r="CS96" i="7"/>
  <c r="CU96" i="7"/>
  <c r="CV96" i="7"/>
  <c r="CW96" i="7"/>
  <c r="R98" i="7"/>
  <c r="S98" i="7"/>
  <c r="T98" i="7"/>
  <c r="U98" i="7"/>
  <c r="V98" i="7"/>
  <c r="W98" i="7"/>
  <c r="X98" i="7"/>
  <c r="Y98" i="7"/>
  <c r="Z98" i="7"/>
  <c r="AA98" i="7"/>
  <c r="AB98" i="7"/>
  <c r="AC98" i="7"/>
  <c r="AD98" i="7"/>
  <c r="AE98" i="7"/>
  <c r="AF98" i="7"/>
  <c r="AG98" i="7"/>
  <c r="AH98" i="7"/>
  <c r="AI98" i="7"/>
  <c r="AJ98" i="7"/>
  <c r="AK98" i="7"/>
  <c r="AL98" i="7"/>
  <c r="AM98" i="7"/>
  <c r="AN98" i="7"/>
  <c r="AO98" i="7"/>
  <c r="AP98" i="7"/>
  <c r="AQ98" i="7"/>
  <c r="AR98" i="7"/>
  <c r="AS98" i="7"/>
  <c r="AT98" i="7"/>
  <c r="AU98" i="7"/>
  <c r="AV98" i="7"/>
  <c r="AW98" i="7"/>
  <c r="AX98" i="7"/>
  <c r="AY98" i="7"/>
  <c r="AZ98" i="7"/>
  <c r="BA98" i="7"/>
  <c r="BB98" i="7"/>
  <c r="BC98" i="7"/>
  <c r="BD98" i="7"/>
  <c r="BE98" i="7"/>
  <c r="BF98" i="7"/>
  <c r="BG98" i="7"/>
  <c r="BH98" i="7"/>
  <c r="BI98" i="7"/>
  <c r="BJ98" i="7"/>
  <c r="BK98" i="7"/>
  <c r="BL98" i="7"/>
  <c r="BM98" i="7"/>
  <c r="BN98" i="7"/>
  <c r="BO98" i="7"/>
  <c r="BP98" i="7"/>
  <c r="BQ98" i="7"/>
  <c r="BR98" i="7"/>
  <c r="BS98" i="7"/>
  <c r="BT98" i="7"/>
  <c r="BU98" i="7"/>
  <c r="BV98" i="7"/>
  <c r="BW98" i="7"/>
  <c r="BX98" i="7"/>
  <c r="BY98" i="7"/>
  <c r="BZ98" i="7"/>
  <c r="CA98" i="7"/>
  <c r="CB98" i="7"/>
  <c r="CC98" i="7"/>
  <c r="CD98" i="7"/>
  <c r="CE98" i="7"/>
  <c r="CF98" i="7"/>
  <c r="CG98" i="7"/>
  <c r="CH98" i="7"/>
  <c r="CI98" i="7"/>
  <c r="CJ98" i="7"/>
  <c r="CK98" i="7"/>
  <c r="CL98" i="7"/>
  <c r="CM98" i="7"/>
  <c r="CN98" i="7"/>
  <c r="CO98" i="7"/>
  <c r="CP98" i="7"/>
  <c r="CQ98" i="7"/>
  <c r="CR98" i="7"/>
  <c r="CS98" i="7"/>
  <c r="CT98" i="7"/>
  <c r="CU98" i="7"/>
  <c r="CV98" i="7"/>
  <c r="CW98"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R102" i="7"/>
  <c r="S102" i="7"/>
  <c r="T102" i="7"/>
  <c r="U102" i="7"/>
  <c r="V102" i="7"/>
  <c r="W102" i="7"/>
  <c r="X102" i="7"/>
  <c r="Y102" i="7"/>
  <c r="Z102" i="7"/>
  <c r="AA102" i="7"/>
  <c r="AB102" i="7"/>
  <c r="AC102" i="7"/>
  <c r="AD102" i="7"/>
  <c r="AE102" i="7"/>
  <c r="AF102" i="7"/>
  <c r="AG102" i="7"/>
  <c r="AH102" i="7"/>
  <c r="AI102" i="7"/>
  <c r="AJ102" i="7"/>
  <c r="AK102" i="7"/>
  <c r="AL102" i="7"/>
  <c r="AM102" i="7"/>
  <c r="AN102" i="7"/>
  <c r="AO102" i="7"/>
  <c r="AP102" i="7"/>
  <c r="AQ102" i="7"/>
  <c r="AR102" i="7"/>
  <c r="AS102" i="7"/>
  <c r="AT102" i="7"/>
  <c r="AU102" i="7"/>
  <c r="AV102" i="7"/>
  <c r="AW102" i="7"/>
  <c r="AX102" i="7"/>
  <c r="AY102" i="7"/>
  <c r="AZ102" i="7"/>
  <c r="BA102" i="7"/>
  <c r="BB102" i="7"/>
  <c r="BC102" i="7"/>
  <c r="BD102" i="7"/>
  <c r="BE102" i="7"/>
  <c r="BF102" i="7"/>
  <c r="BG102" i="7"/>
  <c r="BH102" i="7"/>
  <c r="BI102" i="7"/>
  <c r="BK102" i="7"/>
  <c r="BL102" i="7"/>
  <c r="BM102" i="7"/>
  <c r="BN102" i="7"/>
  <c r="BP102" i="7"/>
  <c r="BQ102" i="7"/>
  <c r="BR102" i="7"/>
  <c r="BS102" i="7"/>
  <c r="BT102" i="7"/>
  <c r="BU102" i="7"/>
  <c r="BV102" i="7"/>
  <c r="BX102" i="7"/>
  <c r="BY102" i="7"/>
  <c r="BZ102" i="7"/>
  <c r="CA102" i="7"/>
  <c r="CB102" i="7"/>
  <c r="CC102" i="7"/>
  <c r="CD102" i="7"/>
  <c r="CE102" i="7"/>
  <c r="CF102" i="7"/>
  <c r="CG102" i="7"/>
  <c r="CH102" i="7"/>
  <c r="CI102" i="7"/>
  <c r="CJ102" i="7"/>
  <c r="CK102" i="7"/>
  <c r="CL102" i="7"/>
  <c r="CM102" i="7"/>
  <c r="CN102" i="7"/>
  <c r="CO102" i="7"/>
  <c r="CP102" i="7"/>
  <c r="CQ102" i="7"/>
  <c r="CR102" i="7"/>
  <c r="CS102" i="7"/>
  <c r="CT102" i="7"/>
  <c r="CU102" i="7"/>
  <c r="CV102" i="7"/>
  <c r="CW102" i="7"/>
  <c r="R104" i="7"/>
  <c r="S104" i="7"/>
  <c r="T104" i="7"/>
  <c r="U104" i="7"/>
  <c r="V104" i="7"/>
  <c r="W104" i="7"/>
  <c r="X104" i="7"/>
  <c r="Y104" i="7"/>
  <c r="Z104" i="7"/>
  <c r="AA104" i="7"/>
  <c r="AB104" i="7"/>
  <c r="AC104" i="7"/>
  <c r="AD104" i="7"/>
  <c r="AE104" i="7"/>
  <c r="AF104" i="7"/>
  <c r="AG104" i="7"/>
  <c r="AH104" i="7"/>
  <c r="AI104" i="7"/>
  <c r="AJ104" i="7"/>
  <c r="AK104" i="7"/>
  <c r="AL104" i="7"/>
  <c r="AM104" i="7"/>
  <c r="AN104" i="7"/>
  <c r="AO104" i="7"/>
  <c r="AP104" i="7"/>
  <c r="AQ104" i="7"/>
  <c r="AR104" i="7"/>
  <c r="AS104" i="7"/>
  <c r="AT104" i="7"/>
  <c r="AU104" i="7"/>
  <c r="AV104" i="7"/>
  <c r="AW104" i="7"/>
  <c r="AX104" i="7"/>
  <c r="AY104" i="7"/>
  <c r="AZ104" i="7"/>
  <c r="BA104" i="7"/>
  <c r="BB104" i="7"/>
  <c r="BC104" i="7"/>
  <c r="BD104" i="7"/>
  <c r="BE104" i="7"/>
  <c r="BF104" i="7"/>
  <c r="BG104" i="7"/>
  <c r="BH104" i="7"/>
  <c r="BI104" i="7"/>
  <c r="BJ104" i="7"/>
  <c r="BK104" i="7"/>
  <c r="BL104" i="7"/>
  <c r="BM104" i="7"/>
  <c r="BN104" i="7"/>
  <c r="BP104" i="7"/>
  <c r="BQ104" i="7"/>
  <c r="BR104" i="7"/>
  <c r="BS104" i="7"/>
  <c r="BT104" i="7"/>
  <c r="BU104" i="7"/>
  <c r="BV104" i="7"/>
  <c r="BX104" i="7"/>
  <c r="BY104" i="7"/>
  <c r="BZ104" i="7"/>
  <c r="CA104" i="7"/>
  <c r="CB104" i="7"/>
  <c r="CC104" i="7"/>
  <c r="CD104" i="7"/>
  <c r="CE104" i="7"/>
  <c r="CF104" i="7"/>
  <c r="CG104" i="7"/>
  <c r="CH104" i="7"/>
  <c r="CI104" i="7"/>
  <c r="CJ104" i="7"/>
  <c r="CK104" i="7"/>
  <c r="CL104" i="7"/>
  <c r="CM104" i="7"/>
  <c r="CN104" i="7"/>
  <c r="CO104" i="7"/>
  <c r="CP104" i="7"/>
  <c r="CQ104" i="7"/>
  <c r="CR104" i="7"/>
  <c r="CS104" i="7"/>
  <c r="CT104" i="7"/>
  <c r="CU104" i="7"/>
  <c r="CV104" i="7"/>
  <c r="CW104"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K106" i="7"/>
  <c r="BL106" i="7"/>
  <c r="BM106" i="7"/>
  <c r="BN106" i="7"/>
  <c r="BO106" i="7"/>
  <c r="BP106" i="7"/>
  <c r="BQ106" i="7"/>
  <c r="BR106" i="7"/>
  <c r="BS106" i="7"/>
  <c r="BT106" i="7"/>
  <c r="BU106" i="7"/>
  <c r="BV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R108" i="7"/>
  <c r="S108" i="7"/>
  <c r="T108" i="7"/>
  <c r="U108" i="7"/>
  <c r="V108" i="7"/>
  <c r="W108" i="7"/>
  <c r="X108" i="7"/>
  <c r="Y108" i="7"/>
  <c r="Z108" i="7"/>
  <c r="AA108" i="7"/>
  <c r="AB108" i="7"/>
  <c r="AC108" i="7"/>
  <c r="AD108" i="7"/>
  <c r="AE108" i="7"/>
  <c r="AF108" i="7"/>
  <c r="AG108" i="7"/>
  <c r="AH108" i="7"/>
  <c r="AI108" i="7"/>
  <c r="AJ108" i="7"/>
  <c r="AK108" i="7"/>
  <c r="AL108" i="7"/>
  <c r="AM108" i="7"/>
  <c r="AN108" i="7"/>
  <c r="AO108" i="7"/>
  <c r="AP108" i="7"/>
  <c r="AQ108" i="7"/>
  <c r="AR108" i="7"/>
  <c r="AS108" i="7"/>
  <c r="AT108" i="7"/>
  <c r="AU108" i="7"/>
  <c r="AV108" i="7"/>
  <c r="AW108" i="7"/>
  <c r="AX108" i="7"/>
  <c r="AY108" i="7"/>
  <c r="AZ108" i="7"/>
  <c r="BA108" i="7"/>
  <c r="BB108" i="7"/>
  <c r="BC108" i="7"/>
  <c r="BD108" i="7"/>
  <c r="BE108" i="7"/>
  <c r="BF108" i="7"/>
  <c r="BG108" i="7"/>
  <c r="BH108" i="7"/>
  <c r="BI108" i="7"/>
  <c r="BJ108" i="7"/>
  <c r="BK108" i="7"/>
  <c r="BL108" i="7"/>
  <c r="BM108" i="7"/>
  <c r="BN108" i="7"/>
  <c r="BO108" i="7"/>
  <c r="BP108" i="7"/>
  <c r="BQ108" i="7"/>
  <c r="BR108" i="7"/>
  <c r="BS108" i="7"/>
  <c r="BT108" i="7"/>
  <c r="BU108" i="7"/>
  <c r="BV108" i="7"/>
  <c r="BW108" i="7"/>
  <c r="BX108" i="7"/>
  <c r="BY108" i="7"/>
  <c r="BZ108" i="7"/>
  <c r="CA108" i="7"/>
  <c r="CB108" i="7"/>
  <c r="CC108" i="7"/>
  <c r="CD108" i="7"/>
  <c r="CE108" i="7"/>
  <c r="CF108" i="7"/>
  <c r="CG108" i="7"/>
  <c r="CH108" i="7"/>
  <c r="CI108" i="7"/>
  <c r="CJ108" i="7"/>
  <c r="CK108" i="7"/>
  <c r="CL108" i="7"/>
  <c r="CM108" i="7"/>
  <c r="CN108" i="7"/>
  <c r="CO108" i="7"/>
  <c r="CP108" i="7"/>
  <c r="CR108" i="7"/>
  <c r="CS108" i="7"/>
  <c r="CT108" i="7"/>
  <c r="CU108" i="7"/>
  <c r="CV108" i="7"/>
  <c r="CW108" i="7"/>
  <c r="R110" i="7"/>
  <c r="S110" i="7"/>
  <c r="T110" i="7"/>
  <c r="U110" i="7"/>
  <c r="V110" i="7"/>
  <c r="W110" i="7"/>
  <c r="X110" i="7"/>
  <c r="Y110" i="7"/>
  <c r="Z110" i="7"/>
  <c r="AA110" i="7"/>
  <c r="AB110" i="7"/>
  <c r="AC110" i="7"/>
  <c r="AD110" i="7"/>
  <c r="AE110" i="7"/>
  <c r="AF110" i="7"/>
  <c r="AG110" i="7"/>
  <c r="AH110" i="7"/>
  <c r="AI110" i="7"/>
  <c r="AJ110" i="7"/>
  <c r="AK110" i="7"/>
  <c r="AL110" i="7"/>
  <c r="AM110" i="7"/>
  <c r="AN110" i="7"/>
  <c r="AO110" i="7"/>
  <c r="AP110" i="7"/>
  <c r="AQ110" i="7"/>
  <c r="AR110" i="7"/>
  <c r="AS110" i="7"/>
  <c r="AT110" i="7"/>
  <c r="AU110" i="7"/>
  <c r="AV110" i="7"/>
  <c r="AW110" i="7"/>
  <c r="AX110" i="7"/>
  <c r="AY110" i="7"/>
  <c r="AZ110" i="7"/>
  <c r="BA110" i="7"/>
  <c r="BB110" i="7"/>
  <c r="BC110" i="7"/>
  <c r="BD110" i="7"/>
  <c r="BE110" i="7"/>
  <c r="BF110" i="7"/>
  <c r="BG110" i="7"/>
  <c r="BH110" i="7"/>
  <c r="BI110" i="7"/>
  <c r="BJ110" i="7"/>
  <c r="BK110" i="7"/>
  <c r="BL110" i="7"/>
  <c r="BM110" i="7"/>
  <c r="BN110" i="7"/>
  <c r="BO110" i="7"/>
  <c r="BP110" i="7"/>
  <c r="BQ110" i="7"/>
  <c r="BR110" i="7"/>
  <c r="BS110" i="7"/>
  <c r="BT110" i="7"/>
  <c r="BU110" i="7"/>
  <c r="BV110" i="7"/>
  <c r="BX110" i="7"/>
  <c r="BY110" i="7"/>
  <c r="BZ110" i="7"/>
  <c r="CA110" i="7"/>
  <c r="CB110" i="7"/>
  <c r="CC110" i="7"/>
  <c r="CD110" i="7"/>
  <c r="CE110" i="7"/>
  <c r="CF110" i="7"/>
  <c r="CG110" i="7"/>
  <c r="CH110" i="7"/>
  <c r="CI110" i="7"/>
  <c r="CJ110" i="7"/>
  <c r="CK110" i="7"/>
  <c r="CL110" i="7"/>
  <c r="CM110" i="7"/>
  <c r="CN110" i="7"/>
  <c r="CO110" i="7"/>
  <c r="CP110" i="7"/>
  <c r="CQ110" i="7"/>
  <c r="CR110" i="7"/>
  <c r="CS110" i="7"/>
  <c r="CT110" i="7"/>
  <c r="CU110" i="7"/>
  <c r="CV110" i="7"/>
  <c r="CW110" i="7"/>
  <c r="R112" i="7"/>
  <c r="S112" i="7"/>
  <c r="T112" i="7"/>
  <c r="U112" i="7"/>
  <c r="V112" i="7"/>
  <c r="W112" i="7"/>
  <c r="X112" i="7"/>
  <c r="Y112" i="7"/>
  <c r="Z112" i="7"/>
  <c r="AA112" i="7"/>
  <c r="AB112" i="7"/>
  <c r="AC112" i="7"/>
  <c r="AD112" i="7"/>
  <c r="AE112" i="7"/>
  <c r="AF112" i="7"/>
  <c r="AG112" i="7"/>
  <c r="AH112" i="7"/>
  <c r="AI112" i="7"/>
  <c r="AJ112" i="7"/>
  <c r="AK112" i="7"/>
  <c r="AL112" i="7"/>
  <c r="AM112" i="7"/>
  <c r="AO112" i="7"/>
  <c r="AP112" i="7"/>
  <c r="AQ112" i="7"/>
  <c r="AR112" i="7"/>
  <c r="AS112" i="7"/>
  <c r="AT112" i="7"/>
  <c r="AU112" i="7"/>
  <c r="AV112" i="7"/>
  <c r="AW112" i="7"/>
  <c r="AX112" i="7"/>
  <c r="AY112" i="7"/>
  <c r="AZ112" i="7"/>
  <c r="BA112" i="7"/>
  <c r="BB112" i="7"/>
  <c r="BC112" i="7"/>
  <c r="BD112" i="7"/>
  <c r="BE112" i="7"/>
  <c r="BF112" i="7"/>
  <c r="BG112" i="7"/>
  <c r="BH112" i="7"/>
  <c r="BI112" i="7"/>
  <c r="BK112" i="7"/>
  <c r="BL112" i="7"/>
  <c r="BM112" i="7"/>
  <c r="BN112" i="7"/>
  <c r="BP112" i="7"/>
  <c r="BQ112" i="7"/>
  <c r="BR112" i="7"/>
  <c r="BS112" i="7"/>
  <c r="BT112" i="7"/>
  <c r="BU112" i="7"/>
  <c r="BV112" i="7"/>
  <c r="BX112" i="7"/>
  <c r="BY112" i="7"/>
  <c r="BZ112" i="7"/>
  <c r="CA112" i="7"/>
  <c r="CB112" i="7"/>
  <c r="CC112" i="7"/>
  <c r="CD112" i="7"/>
  <c r="CE112" i="7"/>
  <c r="CF112" i="7"/>
  <c r="CG112" i="7"/>
  <c r="CH112" i="7"/>
  <c r="CI112" i="7"/>
  <c r="CJ112" i="7"/>
  <c r="CK112" i="7"/>
  <c r="CL112" i="7"/>
  <c r="CM112" i="7"/>
  <c r="CN112" i="7"/>
  <c r="CO112" i="7"/>
  <c r="CP112" i="7"/>
  <c r="CR112" i="7"/>
  <c r="CS112" i="7"/>
  <c r="CT112" i="7"/>
  <c r="CU112" i="7"/>
  <c r="CV112" i="7"/>
  <c r="CW112" i="7"/>
  <c r="R114" i="7"/>
  <c r="S114" i="7"/>
  <c r="T114" i="7"/>
  <c r="U114" i="7"/>
  <c r="V114" i="7"/>
  <c r="W114" i="7"/>
  <c r="X114" i="7"/>
  <c r="Y114" i="7"/>
  <c r="Z114" i="7"/>
  <c r="AA114" i="7"/>
  <c r="AB114" i="7"/>
  <c r="AC114" i="7"/>
  <c r="AD114" i="7"/>
  <c r="AE114" i="7"/>
  <c r="AF114" i="7"/>
  <c r="AG114" i="7"/>
  <c r="AH114" i="7"/>
  <c r="AI114" i="7"/>
  <c r="AJ114" i="7"/>
  <c r="AK114" i="7"/>
  <c r="AL114" i="7"/>
  <c r="AM114" i="7"/>
  <c r="AN114" i="7"/>
  <c r="AO114" i="7"/>
  <c r="AP114" i="7"/>
  <c r="AQ114" i="7"/>
  <c r="AR114" i="7"/>
  <c r="AS114" i="7"/>
  <c r="AT114" i="7"/>
  <c r="AU114" i="7"/>
  <c r="AV114" i="7"/>
  <c r="AW114" i="7"/>
  <c r="AX114" i="7"/>
  <c r="AY114" i="7"/>
  <c r="AZ114" i="7"/>
  <c r="BA114" i="7"/>
  <c r="BB114" i="7"/>
  <c r="BC114" i="7"/>
  <c r="BD114" i="7"/>
  <c r="BE114" i="7"/>
  <c r="BF114" i="7"/>
  <c r="BG114" i="7"/>
  <c r="BH114" i="7"/>
  <c r="BI114" i="7"/>
  <c r="BJ114" i="7"/>
  <c r="BK114" i="7"/>
  <c r="BL114" i="7"/>
  <c r="BM114" i="7"/>
  <c r="BN114" i="7"/>
  <c r="BO114" i="7"/>
  <c r="BP114" i="7"/>
  <c r="BQ114" i="7"/>
  <c r="BR114" i="7"/>
  <c r="BS114" i="7"/>
  <c r="BT114" i="7"/>
  <c r="BU114" i="7"/>
  <c r="BV114" i="7"/>
  <c r="BW114" i="7"/>
  <c r="BX114" i="7"/>
  <c r="BY114" i="7"/>
  <c r="BZ114" i="7"/>
  <c r="CA114" i="7"/>
  <c r="CB114" i="7"/>
  <c r="CC114" i="7"/>
  <c r="CD114" i="7"/>
  <c r="CE114" i="7"/>
  <c r="CF114" i="7"/>
  <c r="CG114" i="7"/>
  <c r="CH114" i="7"/>
  <c r="CI114" i="7"/>
  <c r="CJ114" i="7"/>
  <c r="CK114" i="7"/>
  <c r="CL114" i="7"/>
  <c r="CM114" i="7"/>
  <c r="CN114" i="7"/>
  <c r="CO114" i="7"/>
  <c r="CP114" i="7"/>
  <c r="CQ114" i="7"/>
  <c r="CR114" i="7"/>
  <c r="CS114" i="7"/>
  <c r="CT114" i="7"/>
  <c r="CU114" i="7"/>
  <c r="CV114" i="7"/>
  <c r="CW114" i="7"/>
  <c r="R116" i="7"/>
  <c r="S116" i="7"/>
  <c r="T116" i="7"/>
  <c r="U116" i="7"/>
  <c r="V116" i="7"/>
  <c r="W116" i="7"/>
  <c r="X116" i="7"/>
  <c r="Y116" i="7"/>
  <c r="Z116" i="7"/>
  <c r="AA116" i="7"/>
  <c r="AB116" i="7"/>
  <c r="AC116" i="7"/>
  <c r="AD116" i="7"/>
  <c r="AE116" i="7"/>
  <c r="AF116" i="7"/>
  <c r="AG116" i="7"/>
  <c r="AH116" i="7"/>
  <c r="AI116" i="7"/>
  <c r="AJ116" i="7"/>
  <c r="AK116" i="7"/>
  <c r="AL116" i="7"/>
  <c r="AM116" i="7"/>
  <c r="AN116" i="7"/>
  <c r="AO116" i="7"/>
  <c r="AP116" i="7"/>
  <c r="AQ116" i="7"/>
  <c r="AR116" i="7"/>
  <c r="AS116" i="7"/>
  <c r="AT116" i="7"/>
  <c r="AU116" i="7"/>
  <c r="AV116" i="7"/>
  <c r="AW116" i="7"/>
  <c r="AX116" i="7"/>
  <c r="AY116" i="7"/>
  <c r="AZ116" i="7"/>
  <c r="BA116" i="7"/>
  <c r="BB116" i="7"/>
  <c r="BC116" i="7"/>
  <c r="BD116" i="7"/>
  <c r="BE116" i="7"/>
  <c r="BF116" i="7"/>
  <c r="BG116" i="7"/>
  <c r="BH116" i="7"/>
  <c r="BI116" i="7"/>
  <c r="BJ116" i="7"/>
  <c r="BK116" i="7"/>
  <c r="BL116" i="7"/>
  <c r="BM116" i="7"/>
  <c r="BN116" i="7"/>
  <c r="BO116" i="7"/>
  <c r="BP116" i="7"/>
  <c r="BQ116" i="7"/>
  <c r="BR116" i="7"/>
  <c r="BS116" i="7"/>
  <c r="BT116" i="7"/>
  <c r="BU116" i="7"/>
  <c r="BV116" i="7"/>
  <c r="BW116" i="7"/>
  <c r="BX116" i="7"/>
  <c r="BY116" i="7"/>
  <c r="BZ116" i="7"/>
  <c r="CA116" i="7"/>
  <c r="CB116" i="7"/>
  <c r="CC116" i="7"/>
  <c r="CD116" i="7"/>
  <c r="CE116" i="7"/>
  <c r="CF116" i="7"/>
  <c r="CG116" i="7"/>
  <c r="CH116" i="7"/>
  <c r="CI116" i="7"/>
  <c r="CJ116" i="7"/>
  <c r="CK116" i="7"/>
  <c r="CL116" i="7"/>
  <c r="CM116" i="7"/>
  <c r="CN116" i="7"/>
  <c r="CO116" i="7"/>
  <c r="CP116" i="7"/>
  <c r="CQ116" i="7"/>
  <c r="CR116" i="7"/>
  <c r="CS116" i="7"/>
  <c r="CU116" i="7"/>
  <c r="CV116" i="7"/>
  <c r="CW116" i="7"/>
  <c r="R118" i="7"/>
  <c r="S118" i="7"/>
  <c r="T118" i="7"/>
  <c r="U118" i="7"/>
  <c r="V118" i="7"/>
  <c r="W118" i="7"/>
  <c r="X118" i="7"/>
  <c r="Y118" i="7"/>
  <c r="Z118" i="7"/>
  <c r="AA118" i="7"/>
  <c r="AB118" i="7"/>
  <c r="AC118" i="7"/>
  <c r="AD118" i="7"/>
  <c r="AE118" i="7"/>
  <c r="AF118" i="7"/>
  <c r="AG118" i="7"/>
  <c r="AH118" i="7"/>
  <c r="AI118" i="7"/>
  <c r="AJ118" i="7"/>
  <c r="AK118" i="7"/>
  <c r="AL118" i="7"/>
  <c r="AM118" i="7"/>
  <c r="AN118" i="7"/>
  <c r="AO118" i="7"/>
  <c r="AP118" i="7"/>
  <c r="AQ118" i="7"/>
  <c r="AR118" i="7"/>
  <c r="AS118" i="7"/>
  <c r="AT118" i="7"/>
  <c r="AU118" i="7"/>
  <c r="AV118" i="7"/>
  <c r="AW118" i="7"/>
  <c r="AX118" i="7"/>
  <c r="AY118" i="7"/>
  <c r="AZ118" i="7"/>
  <c r="BA118" i="7"/>
  <c r="BB118" i="7"/>
  <c r="BC118" i="7"/>
  <c r="BD118" i="7"/>
  <c r="BE118" i="7"/>
  <c r="BF118" i="7"/>
  <c r="BG118" i="7"/>
  <c r="BH118" i="7"/>
  <c r="BI118" i="7"/>
  <c r="BJ118" i="7"/>
  <c r="BK118" i="7"/>
  <c r="BL118" i="7"/>
  <c r="BM118" i="7"/>
  <c r="BN118" i="7"/>
  <c r="BO118" i="7"/>
  <c r="BP118" i="7"/>
  <c r="BQ118" i="7"/>
  <c r="BR118" i="7"/>
  <c r="BS118" i="7"/>
  <c r="BT118" i="7"/>
  <c r="BU118" i="7"/>
  <c r="BV118" i="7"/>
  <c r="BW118" i="7"/>
  <c r="BX118" i="7"/>
  <c r="BY118" i="7"/>
  <c r="BZ118" i="7"/>
  <c r="CA118" i="7"/>
  <c r="CB118" i="7"/>
  <c r="CC118" i="7"/>
  <c r="CD118" i="7"/>
  <c r="CE118" i="7"/>
  <c r="CF118" i="7"/>
  <c r="CG118" i="7"/>
  <c r="CH118" i="7"/>
  <c r="CI118" i="7"/>
  <c r="CJ118" i="7"/>
  <c r="CK118" i="7"/>
  <c r="CL118" i="7"/>
  <c r="CM118" i="7"/>
  <c r="CN118" i="7"/>
  <c r="CO118" i="7"/>
  <c r="CP118" i="7"/>
  <c r="CQ118" i="7"/>
  <c r="CR118" i="7"/>
  <c r="CS118" i="7"/>
  <c r="CT118" i="7"/>
  <c r="CU118" i="7"/>
  <c r="CV118" i="7"/>
  <c r="CW118" i="7"/>
  <c r="R120" i="7"/>
  <c r="S120" i="7"/>
  <c r="T120" i="7"/>
  <c r="U120" i="7"/>
  <c r="V120" i="7"/>
  <c r="W120" i="7"/>
  <c r="X120" i="7"/>
  <c r="Y120" i="7"/>
  <c r="Z120" i="7"/>
  <c r="AA120" i="7"/>
  <c r="AB120" i="7"/>
  <c r="AC120" i="7"/>
  <c r="AD120" i="7"/>
  <c r="AE120" i="7"/>
  <c r="AF120" i="7"/>
  <c r="AG120" i="7"/>
  <c r="AH120" i="7"/>
  <c r="AI120" i="7"/>
  <c r="AJ120" i="7"/>
  <c r="AK120" i="7"/>
  <c r="AL120" i="7"/>
  <c r="AM120" i="7"/>
  <c r="AN120" i="7"/>
  <c r="AO120" i="7"/>
  <c r="AP120" i="7"/>
  <c r="AQ120" i="7"/>
  <c r="AR120" i="7"/>
  <c r="AS120" i="7"/>
  <c r="AT120" i="7"/>
  <c r="AU120" i="7"/>
  <c r="AV120" i="7"/>
  <c r="AW120" i="7"/>
  <c r="AX120" i="7"/>
  <c r="AY120" i="7"/>
  <c r="AZ120" i="7"/>
  <c r="BA120" i="7"/>
  <c r="BB120" i="7"/>
  <c r="BC120" i="7"/>
  <c r="BD120" i="7"/>
  <c r="BE120" i="7"/>
  <c r="BF120" i="7"/>
  <c r="BG120" i="7"/>
  <c r="BH120" i="7"/>
  <c r="BI120" i="7"/>
  <c r="BJ120" i="7"/>
  <c r="BK120" i="7"/>
  <c r="BL120" i="7"/>
  <c r="BM120" i="7"/>
  <c r="BN120" i="7"/>
  <c r="BO120" i="7"/>
  <c r="BP120" i="7"/>
  <c r="BQ120" i="7"/>
  <c r="BR120" i="7"/>
  <c r="BS120" i="7"/>
  <c r="BT120" i="7"/>
  <c r="BU120" i="7"/>
  <c r="BV120" i="7"/>
  <c r="BW120" i="7"/>
  <c r="BX120" i="7"/>
  <c r="BY120" i="7"/>
  <c r="BZ120" i="7"/>
  <c r="CA120" i="7"/>
  <c r="CB120" i="7"/>
  <c r="CC120" i="7"/>
  <c r="CD120" i="7"/>
  <c r="CE120" i="7"/>
  <c r="CF120" i="7"/>
  <c r="CG120" i="7"/>
  <c r="CH120" i="7"/>
  <c r="CI120" i="7"/>
  <c r="CJ120" i="7"/>
  <c r="CK120" i="7"/>
  <c r="CL120" i="7"/>
  <c r="CM120" i="7"/>
  <c r="CN120" i="7"/>
  <c r="CO120" i="7"/>
  <c r="CP120" i="7"/>
  <c r="CQ120" i="7"/>
  <c r="CR120" i="7"/>
  <c r="CS120" i="7"/>
  <c r="CT120" i="7"/>
  <c r="CU120" i="7"/>
  <c r="CV120" i="7"/>
  <c r="CW120" i="7"/>
  <c r="R122" i="7"/>
  <c r="S122" i="7"/>
  <c r="T122" i="7"/>
  <c r="U122" i="7"/>
  <c r="V122" i="7"/>
  <c r="W122" i="7"/>
  <c r="X122" i="7"/>
  <c r="Y122" i="7"/>
  <c r="Z122" i="7"/>
  <c r="AA122" i="7"/>
  <c r="AB122" i="7"/>
  <c r="AC122" i="7"/>
  <c r="AD122" i="7"/>
  <c r="AE122" i="7"/>
  <c r="AF122" i="7"/>
  <c r="AG122" i="7"/>
  <c r="AH122" i="7"/>
  <c r="AI122" i="7"/>
  <c r="AJ122" i="7"/>
  <c r="AK122" i="7"/>
  <c r="AL122" i="7"/>
  <c r="AM122" i="7"/>
  <c r="AN122" i="7"/>
  <c r="AO122" i="7"/>
  <c r="AP122" i="7"/>
  <c r="AQ122" i="7"/>
  <c r="AR122" i="7"/>
  <c r="AS122" i="7"/>
  <c r="AT122" i="7"/>
  <c r="AU122" i="7"/>
  <c r="AV122" i="7"/>
  <c r="AW122" i="7"/>
  <c r="AX122" i="7"/>
  <c r="AY122" i="7"/>
  <c r="AZ122" i="7"/>
  <c r="BA122" i="7"/>
  <c r="BB122" i="7"/>
  <c r="BC122" i="7"/>
  <c r="BD122" i="7"/>
  <c r="BE122" i="7"/>
  <c r="BF122" i="7"/>
  <c r="BG122" i="7"/>
  <c r="BH122" i="7"/>
  <c r="BI122" i="7"/>
  <c r="BJ122" i="7"/>
  <c r="BK122" i="7"/>
  <c r="BL122" i="7"/>
  <c r="BM122" i="7"/>
  <c r="BN122" i="7"/>
  <c r="BO122" i="7"/>
  <c r="BP122" i="7"/>
  <c r="BQ122" i="7"/>
  <c r="BR122" i="7"/>
  <c r="BS122" i="7"/>
  <c r="BT122" i="7"/>
  <c r="BU122" i="7"/>
  <c r="BV122" i="7"/>
  <c r="BW122" i="7"/>
  <c r="BX122" i="7"/>
  <c r="BY122" i="7"/>
  <c r="BZ122" i="7"/>
  <c r="CA122" i="7"/>
  <c r="CB122" i="7"/>
  <c r="CC122" i="7"/>
  <c r="CD122" i="7"/>
  <c r="CE122" i="7"/>
  <c r="CF122" i="7"/>
  <c r="CG122" i="7"/>
  <c r="CH122" i="7"/>
  <c r="CI122" i="7"/>
  <c r="CJ122" i="7"/>
  <c r="CK122" i="7"/>
  <c r="CL122" i="7"/>
  <c r="CM122" i="7"/>
  <c r="CN122" i="7"/>
  <c r="CO122" i="7"/>
  <c r="CP122" i="7"/>
  <c r="CQ122" i="7"/>
  <c r="CR122" i="7"/>
  <c r="CS122" i="7"/>
  <c r="CT122" i="7"/>
  <c r="CU122" i="7"/>
  <c r="CV122" i="7"/>
  <c r="CW122" i="7"/>
  <c r="R124" i="7"/>
  <c r="S124" i="7"/>
  <c r="T124" i="7"/>
  <c r="U124" i="7"/>
  <c r="V124" i="7"/>
  <c r="W124" i="7"/>
  <c r="X124" i="7"/>
  <c r="Y124" i="7"/>
  <c r="Z124" i="7"/>
  <c r="AA124" i="7"/>
  <c r="AB124" i="7"/>
  <c r="AC124" i="7"/>
  <c r="AD124" i="7"/>
  <c r="AE124" i="7"/>
  <c r="AF124" i="7"/>
  <c r="AG124" i="7"/>
  <c r="AH124" i="7"/>
  <c r="AI124" i="7"/>
  <c r="AJ124" i="7"/>
  <c r="AK124" i="7"/>
  <c r="AL124" i="7"/>
  <c r="AM124" i="7"/>
  <c r="AN124" i="7"/>
  <c r="AO124" i="7"/>
  <c r="AP124" i="7"/>
  <c r="AQ124" i="7"/>
  <c r="AR124" i="7"/>
  <c r="AS124" i="7"/>
  <c r="AT124" i="7"/>
  <c r="AU124" i="7"/>
  <c r="AV124" i="7"/>
  <c r="AW124" i="7"/>
  <c r="AX124" i="7"/>
  <c r="AY124" i="7"/>
  <c r="AZ124" i="7"/>
  <c r="BA124" i="7"/>
  <c r="BB124" i="7"/>
  <c r="BC124" i="7"/>
  <c r="BD124" i="7"/>
  <c r="BE124" i="7"/>
  <c r="BF124" i="7"/>
  <c r="BG124" i="7"/>
  <c r="BH124" i="7"/>
  <c r="BI124" i="7"/>
  <c r="BJ124" i="7"/>
  <c r="BK124" i="7"/>
  <c r="BL124" i="7"/>
  <c r="BM124" i="7"/>
  <c r="BN124" i="7"/>
  <c r="BO124" i="7"/>
  <c r="BP124" i="7"/>
  <c r="BQ124" i="7"/>
  <c r="BR124" i="7"/>
  <c r="BS124" i="7"/>
  <c r="BT124" i="7"/>
  <c r="BU124" i="7"/>
  <c r="BV124" i="7"/>
  <c r="BW124" i="7"/>
  <c r="BX124" i="7"/>
  <c r="BY124" i="7"/>
  <c r="BZ124" i="7"/>
  <c r="CA124" i="7"/>
  <c r="CB124" i="7"/>
  <c r="CC124" i="7"/>
  <c r="CD124" i="7"/>
  <c r="CE124" i="7"/>
  <c r="CF124" i="7"/>
  <c r="CG124" i="7"/>
  <c r="CH124" i="7"/>
  <c r="CI124" i="7"/>
  <c r="CJ124" i="7"/>
  <c r="CK124" i="7"/>
  <c r="CL124" i="7"/>
  <c r="CM124" i="7"/>
  <c r="CN124" i="7"/>
  <c r="CO124" i="7"/>
  <c r="CP124" i="7"/>
  <c r="CQ124" i="7"/>
  <c r="CR124" i="7"/>
  <c r="CS124" i="7"/>
  <c r="CT124" i="7"/>
  <c r="CU124" i="7"/>
  <c r="CV124" i="7"/>
  <c r="CW124" i="7"/>
  <c r="R126" i="7"/>
  <c r="S126" i="7"/>
  <c r="T126" i="7"/>
  <c r="U126" i="7"/>
  <c r="V126" i="7"/>
  <c r="W126" i="7"/>
  <c r="X126" i="7"/>
  <c r="Y126" i="7"/>
  <c r="Z126" i="7"/>
  <c r="AA126" i="7"/>
  <c r="AB126" i="7"/>
  <c r="AC126" i="7"/>
  <c r="AD126" i="7"/>
  <c r="AE126" i="7"/>
  <c r="AF126" i="7"/>
  <c r="AG126" i="7"/>
  <c r="AH126" i="7"/>
  <c r="AI126" i="7"/>
  <c r="AJ126" i="7"/>
  <c r="AK126" i="7"/>
  <c r="AL126" i="7"/>
  <c r="AM126" i="7"/>
  <c r="AN126" i="7"/>
  <c r="AO126" i="7"/>
  <c r="AP126" i="7"/>
  <c r="AQ126" i="7"/>
  <c r="AR126" i="7"/>
  <c r="AS126" i="7"/>
  <c r="AT126" i="7"/>
  <c r="AU126" i="7"/>
  <c r="AV126" i="7"/>
  <c r="AW126" i="7"/>
  <c r="AX126" i="7"/>
  <c r="AY126" i="7"/>
  <c r="AZ126" i="7"/>
  <c r="BA126" i="7"/>
  <c r="BB126" i="7"/>
  <c r="BC126" i="7"/>
  <c r="BD126" i="7"/>
  <c r="BE126" i="7"/>
  <c r="BF126" i="7"/>
  <c r="BG126" i="7"/>
  <c r="BH126" i="7"/>
  <c r="BI126" i="7"/>
  <c r="BJ126" i="7"/>
  <c r="BK126" i="7"/>
  <c r="BL126" i="7"/>
  <c r="BM126" i="7"/>
  <c r="BN126" i="7"/>
  <c r="BO126" i="7"/>
  <c r="BP126" i="7"/>
  <c r="BQ126" i="7"/>
  <c r="BR126" i="7"/>
  <c r="BS126" i="7"/>
  <c r="BT126" i="7"/>
  <c r="BU126" i="7"/>
  <c r="BV126" i="7"/>
  <c r="BX126" i="7"/>
  <c r="BY126" i="7"/>
  <c r="BZ126" i="7"/>
  <c r="CA126" i="7"/>
  <c r="CB126" i="7"/>
  <c r="CC126" i="7"/>
  <c r="CD126" i="7"/>
  <c r="CE126" i="7"/>
  <c r="CF126" i="7"/>
  <c r="CG126" i="7"/>
  <c r="CH126" i="7"/>
  <c r="CI126" i="7"/>
  <c r="CJ126" i="7"/>
  <c r="CK126" i="7"/>
  <c r="CL126" i="7"/>
  <c r="CM126" i="7"/>
  <c r="CN126" i="7"/>
  <c r="CO126" i="7"/>
  <c r="CP126" i="7"/>
  <c r="CQ126" i="7"/>
  <c r="CR126" i="7"/>
  <c r="CS126" i="7"/>
  <c r="CT126" i="7"/>
  <c r="CU126" i="7"/>
  <c r="CV126" i="7"/>
  <c r="CW126" i="7"/>
  <c r="R128" i="7"/>
  <c r="S128" i="7"/>
  <c r="T128" i="7"/>
  <c r="U128" i="7"/>
  <c r="V128" i="7"/>
  <c r="W128" i="7"/>
  <c r="X128" i="7"/>
  <c r="Y128" i="7"/>
  <c r="Z128" i="7"/>
  <c r="AA128" i="7"/>
  <c r="AB128" i="7"/>
  <c r="AC128" i="7"/>
  <c r="AD128" i="7"/>
  <c r="AE128" i="7"/>
  <c r="AF128" i="7"/>
  <c r="AG128" i="7"/>
  <c r="AH128" i="7"/>
  <c r="AI128" i="7"/>
  <c r="AJ128" i="7"/>
  <c r="AK128" i="7"/>
  <c r="AL128" i="7"/>
  <c r="AM128" i="7"/>
  <c r="AN128" i="7"/>
  <c r="AO128" i="7"/>
  <c r="AP128" i="7"/>
  <c r="AQ128" i="7"/>
  <c r="AR128" i="7"/>
  <c r="AS128" i="7"/>
  <c r="AT128" i="7"/>
  <c r="AU128" i="7"/>
  <c r="AV128" i="7"/>
  <c r="AW128" i="7"/>
  <c r="AX128" i="7"/>
  <c r="AY128" i="7"/>
  <c r="AZ128" i="7"/>
  <c r="BA128" i="7"/>
  <c r="BB128" i="7"/>
  <c r="BC128" i="7"/>
  <c r="BD128" i="7"/>
  <c r="BE128" i="7"/>
  <c r="BF128" i="7"/>
  <c r="BG128" i="7"/>
  <c r="BH128" i="7"/>
  <c r="BI128" i="7"/>
  <c r="BJ128" i="7"/>
  <c r="BK128" i="7"/>
  <c r="BL128" i="7"/>
  <c r="BM128" i="7"/>
  <c r="BN128" i="7"/>
  <c r="BO128" i="7"/>
  <c r="BP128" i="7"/>
  <c r="BQ128" i="7"/>
  <c r="BR128" i="7"/>
  <c r="BS128" i="7"/>
  <c r="BT128" i="7"/>
  <c r="BU128" i="7"/>
  <c r="BV128" i="7"/>
  <c r="BW128" i="7"/>
  <c r="BX128" i="7"/>
  <c r="BY128" i="7"/>
  <c r="BZ128" i="7"/>
  <c r="CA128" i="7"/>
  <c r="CB128" i="7"/>
  <c r="CC128" i="7"/>
  <c r="CD128" i="7"/>
  <c r="CE128" i="7"/>
  <c r="CF128" i="7"/>
  <c r="CG128" i="7"/>
  <c r="CH128" i="7"/>
  <c r="CI128" i="7"/>
  <c r="CJ128" i="7"/>
  <c r="CK128" i="7"/>
  <c r="CL128" i="7"/>
  <c r="CM128" i="7"/>
  <c r="CN128" i="7"/>
  <c r="CO128" i="7"/>
  <c r="CP128" i="7"/>
  <c r="CQ128" i="7"/>
  <c r="CR128" i="7"/>
  <c r="CS128" i="7"/>
  <c r="CT128" i="7"/>
  <c r="CU128" i="7"/>
  <c r="CV128" i="7"/>
  <c r="CW128" i="7"/>
  <c r="R130" i="7"/>
  <c r="S130" i="7"/>
  <c r="T130" i="7"/>
  <c r="U130" i="7"/>
  <c r="V130" i="7"/>
  <c r="W130" i="7"/>
  <c r="X130" i="7"/>
  <c r="Y130" i="7"/>
  <c r="Z130" i="7"/>
  <c r="AA130" i="7"/>
  <c r="AB130" i="7"/>
  <c r="AC130" i="7"/>
  <c r="AD130" i="7"/>
  <c r="AE130" i="7"/>
  <c r="AF130" i="7"/>
  <c r="AG130" i="7"/>
  <c r="AH130" i="7"/>
  <c r="AI130" i="7"/>
  <c r="AJ130" i="7"/>
  <c r="AK130" i="7"/>
  <c r="AL130" i="7"/>
  <c r="AM130" i="7"/>
  <c r="AN130" i="7"/>
  <c r="AO130" i="7"/>
  <c r="AP130" i="7"/>
  <c r="AQ130" i="7"/>
  <c r="AR130" i="7"/>
  <c r="AS130" i="7"/>
  <c r="AT130" i="7"/>
  <c r="AU130" i="7"/>
  <c r="AV130" i="7"/>
  <c r="AW130" i="7"/>
  <c r="AX130" i="7"/>
  <c r="AY130" i="7"/>
  <c r="AZ130" i="7"/>
  <c r="BA130" i="7"/>
  <c r="BB130" i="7"/>
  <c r="BC130" i="7"/>
  <c r="BD130" i="7"/>
  <c r="BE130" i="7"/>
  <c r="BF130" i="7"/>
  <c r="BG130" i="7"/>
  <c r="BH130" i="7"/>
  <c r="BI130" i="7"/>
  <c r="BJ130" i="7"/>
  <c r="BK130" i="7"/>
  <c r="BL130" i="7"/>
  <c r="BM130" i="7"/>
  <c r="BN130" i="7"/>
  <c r="BO130" i="7"/>
  <c r="BP130" i="7"/>
  <c r="BQ130" i="7"/>
  <c r="BR130" i="7"/>
  <c r="BS130" i="7"/>
  <c r="BT130" i="7"/>
  <c r="BU130" i="7"/>
  <c r="BV130" i="7"/>
  <c r="BX130" i="7"/>
  <c r="BY130" i="7"/>
  <c r="BZ130" i="7"/>
  <c r="CA130" i="7"/>
  <c r="CB130" i="7"/>
  <c r="CC130" i="7"/>
  <c r="CD130" i="7"/>
  <c r="CE130" i="7"/>
  <c r="CF130" i="7"/>
  <c r="CG130" i="7"/>
  <c r="CH130" i="7"/>
  <c r="CI130" i="7"/>
  <c r="CJ130" i="7"/>
  <c r="CK130" i="7"/>
  <c r="CL130" i="7"/>
  <c r="CM130" i="7"/>
  <c r="CN130" i="7"/>
  <c r="CO130" i="7"/>
  <c r="CP130" i="7"/>
  <c r="CQ130" i="7"/>
  <c r="CR130" i="7"/>
  <c r="CS130" i="7"/>
  <c r="CU130" i="7"/>
  <c r="CV130" i="7"/>
  <c r="CW130" i="7"/>
  <c r="Q128" i="7"/>
  <c r="Q126" i="7"/>
  <c r="Q124" i="7"/>
  <c r="Q122" i="7"/>
  <c r="Q120" i="7"/>
  <c r="Q118" i="7"/>
  <c r="P118" i="7" s="1"/>
  <c r="Q116" i="7"/>
  <c r="Q114" i="7"/>
  <c r="P114" i="7" s="1"/>
  <c r="Q112" i="7"/>
  <c r="Q110" i="7"/>
  <c r="Q108" i="7"/>
  <c r="Q106" i="7"/>
  <c r="Q104" i="7"/>
  <c r="Q102" i="7"/>
  <c r="Q100" i="7"/>
  <c r="Q98" i="7"/>
  <c r="P98" i="7" s="1"/>
  <c r="Q96" i="7"/>
  <c r="Q94" i="7"/>
  <c r="Q92" i="7"/>
  <c r="Q90" i="7"/>
  <c r="S90" i="7"/>
  <c r="S132" i="7" s="1"/>
  <c r="T90" i="7"/>
  <c r="T132" i="7" s="1"/>
  <c r="U90" i="7"/>
  <c r="V90" i="7"/>
  <c r="W90" i="7"/>
  <c r="W132" i="7" s="1"/>
  <c r="X90" i="7"/>
  <c r="X132" i="7" s="1"/>
  <c r="Y90" i="7"/>
  <c r="Y132" i="7" s="1"/>
  <c r="Z90" i="7"/>
  <c r="AA90" i="7"/>
  <c r="AA132" i="7" s="1"/>
  <c r="AB90" i="7"/>
  <c r="AB132" i="7" s="1"/>
  <c r="AC90" i="7"/>
  <c r="AC132" i="7" s="1"/>
  <c r="AD90" i="7"/>
  <c r="AE90" i="7"/>
  <c r="AE132" i="7" s="1"/>
  <c r="AF90" i="7"/>
  <c r="AF132" i="7" s="1"/>
  <c r="AG90" i="7"/>
  <c r="AG132" i="7" s="1"/>
  <c r="AH90" i="7"/>
  <c r="AI90" i="7"/>
  <c r="AI132" i="7" s="1"/>
  <c r="AJ90" i="7"/>
  <c r="AJ132" i="7" s="1"/>
  <c r="AK90" i="7"/>
  <c r="AK132" i="7" s="1"/>
  <c r="AL90" i="7"/>
  <c r="AM90" i="7"/>
  <c r="AM132" i="7" s="1"/>
  <c r="AN90" i="7"/>
  <c r="AO90" i="7"/>
  <c r="AO132" i="7" s="1"/>
  <c r="AP90" i="7"/>
  <c r="AQ90" i="7"/>
  <c r="AQ132" i="7" s="1"/>
  <c r="AR90" i="7"/>
  <c r="AR132" i="7" s="1"/>
  <c r="AS90" i="7"/>
  <c r="AS132" i="7" s="1"/>
  <c r="AT90" i="7"/>
  <c r="AU90" i="7"/>
  <c r="AU132" i="7" s="1"/>
  <c r="AV90" i="7"/>
  <c r="AV132" i="7" s="1"/>
  <c r="AW90" i="7"/>
  <c r="AW132" i="7" s="1"/>
  <c r="AX90" i="7"/>
  <c r="AY90" i="7"/>
  <c r="AY132" i="7" s="1"/>
  <c r="AZ90" i="7"/>
  <c r="AZ132" i="7" s="1"/>
  <c r="BA90" i="7"/>
  <c r="BA132" i="7" s="1"/>
  <c r="BB90" i="7"/>
  <c r="BC90" i="7"/>
  <c r="BC132" i="7" s="1"/>
  <c r="BD90" i="7"/>
  <c r="BD132" i="7" s="1"/>
  <c r="BE90" i="7"/>
  <c r="BE132" i="7" s="1"/>
  <c r="BF90" i="7"/>
  <c r="BG90" i="7"/>
  <c r="BG132" i="7" s="1"/>
  <c r="BH90" i="7"/>
  <c r="BH132" i="7" s="1"/>
  <c r="BI90" i="7"/>
  <c r="BI132" i="7" s="1"/>
  <c r="BK90" i="7"/>
  <c r="BK132" i="7" s="1"/>
  <c r="BL90" i="7"/>
  <c r="BL132" i="7" s="1"/>
  <c r="BM90" i="7"/>
  <c r="BM132" i="7" s="1"/>
  <c r="BN90" i="7"/>
  <c r="BN132" i="7" s="1"/>
  <c r="BO90" i="7"/>
  <c r="BP90" i="7"/>
  <c r="BP132" i="7" s="1"/>
  <c r="BQ90" i="7"/>
  <c r="BQ132" i="7" s="1"/>
  <c r="BR90" i="7"/>
  <c r="BR132" i="7" s="1"/>
  <c r="BS90" i="7"/>
  <c r="BS132" i="7" s="1"/>
  <c r="BT90" i="7"/>
  <c r="BT132" i="7" s="1"/>
  <c r="BU90" i="7"/>
  <c r="BU132" i="7" s="1"/>
  <c r="BV90" i="7"/>
  <c r="BV132" i="7" s="1"/>
  <c r="BW90" i="7"/>
  <c r="BX90" i="7"/>
  <c r="BX132" i="7" s="1"/>
  <c r="BY90" i="7"/>
  <c r="BY132" i="7" s="1"/>
  <c r="BZ90" i="7"/>
  <c r="BZ132" i="7" s="1"/>
  <c r="CA90" i="7"/>
  <c r="CB90" i="7"/>
  <c r="CB132" i="7" s="1"/>
  <c r="CC90" i="7"/>
  <c r="CC132" i="7" s="1"/>
  <c r="CD90" i="7"/>
  <c r="CD132" i="7" s="1"/>
  <c r="CE90" i="7"/>
  <c r="CF90" i="7"/>
  <c r="CF132" i="7" s="1"/>
  <c r="CG90" i="7"/>
  <c r="CG132" i="7" s="1"/>
  <c r="CH90" i="7"/>
  <c r="CH132" i="7" s="1"/>
  <c r="CI90" i="7"/>
  <c r="CJ90" i="7"/>
  <c r="CJ132" i="7" s="1"/>
  <c r="CK90" i="7"/>
  <c r="CK132" i="7" s="1"/>
  <c r="CL90" i="7"/>
  <c r="CL132" i="7" s="1"/>
  <c r="CM90" i="7"/>
  <c r="CN90" i="7"/>
  <c r="CN132" i="7" s="1"/>
  <c r="CO90" i="7"/>
  <c r="CO132" i="7" s="1"/>
  <c r="CP90" i="7"/>
  <c r="CP132" i="7" s="1"/>
  <c r="CQ90" i="7"/>
  <c r="CR90" i="7"/>
  <c r="CR132" i="7" s="1"/>
  <c r="CS90" i="7"/>
  <c r="CS132" i="7" s="1"/>
  <c r="CU90" i="7"/>
  <c r="CU132" i="7" s="1"/>
  <c r="CV90" i="7"/>
  <c r="CW90" i="7"/>
  <c r="CW132" i="7" s="1"/>
  <c r="R90" i="7"/>
  <c r="Q80" i="7"/>
  <c r="Q81" i="7" s="1"/>
  <c r="AP69" i="6"/>
  <c r="AV73" i="7" s="1"/>
  <c r="AN69" i="6"/>
  <c r="AR76" i="6"/>
  <c r="AX80" i="7" s="1"/>
  <c r="R80" i="7"/>
  <c r="S80" i="7"/>
  <c r="T80" i="7"/>
  <c r="U80" i="7"/>
  <c r="V80" i="7"/>
  <c r="W80" i="7"/>
  <c r="X80" i="7"/>
  <c r="Y80" i="7"/>
  <c r="Z80" i="7"/>
  <c r="AA80" i="7"/>
  <c r="AB80" i="7"/>
  <c r="AC80" i="7"/>
  <c r="AD80" i="7"/>
  <c r="AE80" i="7"/>
  <c r="AF80" i="7"/>
  <c r="AG80" i="7"/>
  <c r="AH80" i="7"/>
  <c r="AI80" i="7"/>
  <c r="AJ80" i="7"/>
  <c r="AK80" i="7"/>
  <c r="AL80" i="7"/>
  <c r="AM80" i="7"/>
  <c r="AN80" i="7"/>
  <c r="AO80" i="7"/>
  <c r="AP80" i="7"/>
  <c r="AQ80" i="7"/>
  <c r="AR80" i="7"/>
  <c r="AS80" i="7"/>
  <c r="AT80" i="7"/>
  <c r="AU80" i="7"/>
  <c r="AV80" i="7"/>
  <c r="AW80" i="7"/>
  <c r="AY80" i="7"/>
  <c r="AZ80" i="7"/>
  <c r="BA80" i="7"/>
  <c r="BB80" i="7"/>
  <c r="BC80" i="7"/>
  <c r="BD80" i="7"/>
  <c r="BE80" i="7"/>
  <c r="BF80" i="7"/>
  <c r="BG80" i="7"/>
  <c r="BH80" i="7"/>
  <c r="BI80" i="7"/>
  <c r="BJ80" i="7"/>
  <c r="BL80" i="7"/>
  <c r="BM80" i="7"/>
  <c r="BN80" i="7"/>
  <c r="BO80" i="7"/>
  <c r="BP80" i="7"/>
  <c r="BQ80" i="7"/>
  <c r="BR80" i="7"/>
  <c r="BS80" i="7"/>
  <c r="BT80" i="7"/>
  <c r="BU80" i="7"/>
  <c r="BV80" i="7"/>
  <c r="BW80" i="7"/>
  <c r="BY80" i="7"/>
  <c r="BZ80" i="7"/>
  <c r="CA80" i="7"/>
  <c r="CB80" i="7"/>
  <c r="CC80" i="7"/>
  <c r="CD80" i="7"/>
  <c r="CE80" i="7"/>
  <c r="CF80" i="7"/>
  <c r="CG80" i="7"/>
  <c r="CH80" i="7"/>
  <c r="CI80" i="7"/>
  <c r="CJ80" i="7"/>
  <c r="CK80" i="7"/>
  <c r="CL80" i="7"/>
  <c r="CM80" i="7"/>
  <c r="CN80" i="7"/>
  <c r="CO80" i="7"/>
  <c r="CP80" i="7"/>
  <c r="CQ80" i="7"/>
  <c r="CR80" i="7"/>
  <c r="CS80" i="7"/>
  <c r="CT80" i="7"/>
  <c r="CU80" i="7"/>
  <c r="CV80" i="7"/>
  <c r="CW80"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V73" i="7"/>
  <c r="BW73" i="7"/>
  <c r="BX73" i="7"/>
  <c r="BY73" i="7"/>
  <c r="BZ73" i="7"/>
  <c r="CA73" i="7"/>
  <c r="CB73" i="7"/>
  <c r="CC73" i="7"/>
  <c r="CD73" i="7"/>
  <c r="CE73" i="7"/>
  <c r="CF73" i="7"/>
  <c r="CG73" i="7"/>
  <c r="CI73" i="7"/>
  <c r="CJ73" i="7"/>
  <c r="CK73" i="7"/>
  <c r="CL73" i="7"/>
  <c r="CM73" i="7"/>
  <c r="CN73" i="7"/>
  <c r="CO73" i="7"/>
  <c r="CP73" i="7"/>
  <c r="CQ73" i="7"/>
  <c r="CR73" i="7"/>
  <c r="CS73" i="7"/>
  <c r="CT73" i="7"/>
  <c r="CU73" i="7"/>
  <c r="CV73" i="7"/>
  <c r="CW73" i="7"/>
  <c r="Q73" i="7"/>
  <c r="Q71" i="7"/>
  <c r="Q72" i="7" s="1"/>
  <c r="R71" i="7"/>
  <c r="S71" i="7"/>
  <c r="T71" i="7"/>
  <c r="U71" i="7"/>
  <c r="V71" i="7"/>
  <c r="W71" i="7"/>
  <c r="X71" i="7"/>
  <c r="Y71" i="7"/>
  <c r="Z71" i="7"/>
  <c r="AA71" i="7"/>
  <c r="AB71" i="7"/>
  <c r="AC71" i="7"/>
  <c r="AD71" i="7"/>
  <c r="AE71" i="7"/>
  <c r="AF71" i="7"/>
  <c r="AG71" i="7"/>
  <c r="AH71" i="7"/>
  <c r="AI71" i="7"/>
  <c r="AJ71" i="7"/>
  <c r="AK71" i="7"/>
  <c r="AL71" i="7"/>
  <c r="AM71" i="7"/>
  <c r="AN71" i="7"/>
  <c r="AO71" i="7"/>
  <c r="AP71" i="7"/>
  <c r="AQ71" i="7"/>
  <c r="AR71" i="7"/>
  <c r="AS71" i="7"/>
  <c r="AT71" i="7"/>
  <c r="AU71" i="7"/>
  <c r="AV71" i="7"/>
  <c r="AW71" i="7"/>
  <c r="AX71" i="7"/>
  <c r="AY71" i="7"/>
  <c r="AZ71" i="7"/>
  <c r="BA71" i="7"/>
  <c r="BB71" i="7"/>
  <c r="BC71" i="7"/>
  <c r="BD71" i="7"/>
  <c r="BE71" i="7"/>
  <c r="BF71" i="7"/>
  <c r="BG71" i="7"/>
  <c r="BH71" i="7"/>
  <c r="BI71" i="7"/>
  <c r="BJ71" i="7"/>
  <c r="BK71" i="7"/>
  <c r="BL71" i="7"/>
  <c r="BM71" i="7"/>
  <c r="BN71" i="7"/>
  <c r="BO71" i="7"/>
  <c r="BP71" i="7"/>
  <c r="BQ71" i="7"/>
  <c r="BR71" i="7"/>
  <c r="BS71" i="7"/>
  <c r="BT71" i="7"/>
  <c r="BU71" i="7"/>
  <c r="BV71" i="7"/>
  <c r="BW71" i="7"/>
  <c r="BX71" i="7"/>
  <c r="BY71" i="7"/>
  <c r="BZ71" i="7"/>
  <c r="CA71" i="7"/>
  <c r="CB71" i="7"/>
  <c r="CC71" i="7"/>
  <c r="CD71" i="7"/>
  <c r="CE71" i="7"/>
  <c r="CF71" i="7"/>
  <c r="CG71" i="7"/>
  <c r="CH71" i="7"/>
  <c r="CI71" i="7"/>
  <c r="CJ71" i="7"/>
  <c r="CK71" i="7"/>
  <c r="CL71" i="7"/>
  <c r="CM71" i="7"/>
  <c r="CN71" i="7"/>
  <c r="CO71" i="7"/>
  <c r="CP71" i="7"/>
  <c r="CR71" i="7"/>
  <c r="CS71" i="7"/>
  <c r="CU71" i="7"/>
  <c r="CV71" i="7"/>
  <c r="CW71" i="7"/>
  <c r="Q69" i="7"/>
  <c r="Q70" i="7" s="1"/>
  <c r="S69" i="7"/>
  <c r="T69" i="7"/>
  <c r="U69" i="7"/>
  <c r="V69" i="7"/>
  <c r="W69" i="7"/>
  <c r="X69" i="7"/>
  <c r="Y69" i="7"/>
  <c r="Z69" i="7"/>
  <c r="AA69" i="7"/>
  <c r="AB69" i="7"/>
  <c r="AC69" i="7"/>
  <c r="AD69" i="7"/>
  <c r="AE69" i="7"/>
  <c r="AF69" i="7"/>
  <c r="AG69" i="7"/>
  <c r="AH69" i="7"/>
  <c r="AI69" i="7"/>
  <c r="AJ69" i="7"/>
  <c r="AK69" i="7"/>
  <c r="AL69" i="7"/>
  <c r="AM69" i="7"/>
  <c r="AN69" i="7"/>
  <c r="AO69" i="7"/>
  <c r="AP69" i="7"/>
  <c r="AQ69" i="7"/>
  <c r="AR69" i="7"/>
  <c r="AS69" i="7"/>
  <c r="AT69" i="7"/>
  <c r="AU69" i="7"/>
  <c r="AV69" i="7"/>
  <c r="AW69" i="7"/>
  <c r="AY69" i="7"/>
  <c r="AZ69" i="7"/>
  <c r="BA69" i="7"/>
  <c r="BB69" i="7"/>
  <c r="BC69" i="7"/>
  <c r="BD69" i="7"/>
  <c r="BE69" i="7"/>
  <c r="BF69" i="7"/>
  <c r="BG69" i="7"/>
  <c r="BH69" i="7"/>
  <c r="BI69" i="7"/>
  <c r="BJ69" i="7"/>
  <c r="BK69" i="7"/>
  <c r="BL69" i="7"/>
  <c r="BM69" i="7"/>
  <c r="BN69" i="7"/>
  <c r="BO69" i="7"/>
  <c r="BP69" i="7"/>
  <c r="BQ69" i="7"/>
  <c r="BR69" i="7"/>
  <c r="BS69" i="7"/>
  <c r="BT69" i="7"/>
  <c r="BU69" i="7"/>
  <c r="BV69" i="7"/>
  <c r="BW69" i="7"/>
  <c r="BX69" i="7"/>
  <c r="BY69" i="7"/>
  <c r="BZ69" i="7"/>
  <c r="CA69" i="7"/>
  <c r="CB69" i="7"/>
  <c r="CC69" i="7"/>
  <c r="CD69" i="7"/>
  <c r="CE69" i="7"/>
  <c r="CF69" i="7"/>
  <c r="CG69" i="7"/>
  <c r="CH69" i="7"/>
  <c r="CI69" i="7"/>
  <c r="CJ69" i="7"/>
  <c r="CK69" i="7"/>
  <c r="CL69" i="7"/>
  <c r="CN69" i="7"/>
  <c r="CO69" i="7"/>
  <c r="CP69" i="7"/>
  <c r="CR69" i="7"/>
  <c r="CS69" i="7"/>
  <c r="CU69" i="7"/>
  <c r="CW69" i="7"/>
  <c r="S67" i="7"/>
  <c r="T67" i="7"/>
  <c r="U67" i="7"/>
  <c r="V67" i="7"/>
  <c r="W67" i="7"/>
  <c r="X67" i="7"/>
  <c r="X84" i="7" s="1"/>
  <c r="Y67" i="7"/>
  <c r="Z67" i="7"/>
  <c r="AA67" i="7"/>
  <c r="AB67" i="7"/>
  <c r="AC67" i="7"/>
  <c r="AD67" i="7"/>
  <c r="AE67" i="7"/>
  <c r="AF67" i="7"/>
  <c r="AG67" i="7"/>
  <c r="AH67" i="7"/>
  <c r="AI67" i="7"/>
  <c r="AJ67" i="7"/>
  <c r="AK67" i="7"/>
  <c r="AL67" i="7"/>
  <c r="AM67" i="7"/>
  <c r="AN67" i="7"/>
  <c r="AO67" i="7"/>
  <c r="AP67" i="7"/>
  <c r="AQ67" i="7"/>
  <c r="AR67" i="7"/>
  <c r="AS67" i="7"/>
  <c r="AT67" i="7"/>
  <c r="AU67" i="7"/>
  <c r="AV67" i="7"/>
  <c r="AW67" i="7"/>
  <c r="AY67" i="7"/>
  <c r="AZ67" i="7"/>
  <c r="BA67" i="7"/>
  <c r="BB67" i="7"/>
  <c r="BC67" i="7"/>
  <c r="BD67" i="7"/>
  <c r="BE67" i="7"/>
  <c r="BF67" i="7"/>
  <c r="BG67" i="7"/>
  <c r="BH67" i="7"/>
  <c r="BI67" i="7"/>
  <c r="BJ67" i="7"/>
  <c r="BK67" i="7"/>
  <c r="BL67" i="7"/>
  <c r="BM67" i="7"/>
  <c r="BN67" i="7"/>
  <c r="BO67" i="7"/>
  <c r="BP67" i="7"/>
  <c r="BQ67" i="7"/>
  <c r="BR67" i="7"/>
  <c r="BS67" i="7"/>
  <c r="BT67" i="7"/>
  <c r="BU67" i="7"/>
  <c r="BV67" i="7"/>
  <c r="BY67" i="7"/>
  <c r="BZ67" i="7"/>
  <c r="CA67" i="7"/>
  <c r="CB67" i="7"/>
  <c r="CC67" i="7"/>
  <c r="CD67" i="7"/>
  <c r="CE67" i="7"/>
  <c r="CF67" i="7"/>
  <c r="CG67" i="7"/>
  <c r="CH67" i="7"/>
  <c r="CI67" i="7"/>
  <c r="CJ67" i="7"/>
  <c r="CK67" i="7"/>
  <c r="CL67" i="7"/>
  <c r="CM67" i="7"/>
  <c r="CN67" i="7"/>
  <c r="CO67" i="7"/>
  <c r="CP67" i="7"/>
  <c r="CQ67" i="7"/>
  <c r="CR67" i="7"/>
  <c r="CS67" i="7"/>
  <c r="CU67" i="7"/>
  <c r="CV67" i="7"/>
  <c r="CW67" i="7"/>
  <c r="Q67" i="7"/>
  <c r="AM64" i="7"/>
  <c r="AM83" i="7" s="1"/>
  <c r="AN64" i="7"/>
  <c r="AN83" i="7" s="1"/>
  <c r="AO64" i="7"/>
  <c r="AO83" i="7" s="1"/>
  <c r="AP64" i="7"/>
  <c r="AP83" i="7" s="1"/>
  <c r="AQ64" i="7"/>
  <c r="AQ83" i="7" s="1"/>
  <c r="AR64" i="7"/>
  <c r="AR83" i="7" s="1"/>
  <c r="AS64" i="7"/>
  <c r="AS83" i="7" s="1"/>
  <c r="AT64" i="7"/>
  <c r="AT83" i="7" s="1"/>
  <c r="AV64" i="7"/>
  <c r="AV83" i="7" s="1"/>
  <c r="AW64" i="7"/>
  <c r="AW83" i="7" s="1"/>
  <c r="AY64" i="7"/>
  <c r="AY83" i="7" s="1"/>
  <c r="AZ64" i="7"/>
  <c r="AZ83" i="7" s="1"/>
  <c r="BA64" i="7"/>
  <c r="BA83" i="7" s="1"/>
  <c r="BB64" i="7"/>
  <c r="BB83" i="7" s="1"/>
  <c r="BC64" i="7"/>
  <c r="BC83" i="7" s="1"/>
  <c r="BD64" i="7"/>
  <c r="BD83" i="7" s="1"/>
  <c r="BE64" i="7"/>
  <c r="BE83" i="7" s="1"/>
  <c r="BF64" i="7"/>
  <c r="BF83" i="7" s="1"/>
  <c r="BG64" i="7"/>
  <c r="BG83" i="7" s="1"/>
  <c r="BH64" i="7"/>
  <c r="BH83" i="7" s="1"/>
  <c r="BI64" i="7"/>
  <c r="BI83" i="7" s="1"/>
  <c r="BJ64" i="7"/>
  <c r="BJ83" i="7" s="1"/>
  <c r="BK64" i="7"/>
  <c r="BK83" i="7" s="1"/>
  <c r="BL64" i="7"/>
  <c r="BL83" i="7" s="1"/>
  <c r="BM64" i="7"/>
  <c r="BM83" i="7" s="1"/>
  <c r="BN64" i="7"/>
  <c r="BN83" i="7" s="1"/>
  <c r="BO64" i="7"/>
  <c r="BO83" i="7" s="1"/>
  <c r="BP64" i="7"/>
  <c r="BP83" i="7" s="1"/>
  <c r="BQ64" i="7"/>
  <c r="BQ83" i="7" s="1"/>
  <c r="BR64" i="7"/>
  <c r="BR83" i="7" s="1"/>
  <c r="BT64" i="7"/>
  <c r="BT83" i="7" s="1"/>
  <c r="BU64" i="7"/>
  <c r="BU83" i="7" s="1"/>
  <c r="BV64" i="7"/>
  <c r="BV83" i="7" s="1"/>
  <c r="BW64" i="7"/>
  <c r="BW83" i="7" s="1"/>
  <c r="BY64" i="7"/>
  <c r="BY83" i="7" s="1"/>
  <c r="BZ64" i="7"/>
  <c r="BZ83" i="7" s="1"/>
  <c r="CA64" i="7"/>
  <c r="CA83" i="7" s="1"/>
  <c r="CB64" i="7"/>
  <c r="CB83" i="7" s="1"/>
  <c r="CC64" i="7"/>
  <c r="CC83" i="7" s="1"/>
  <c r="CD64" i="7"/>
  <c r="CD83" i="7" s="1"/>
  <c r="CE64" i="7"/>
  <c r="CE83" i="7" s="1"/>
  <c r="CF64" i="7"/>
  <c r="CF83" i="7" s="1"/>
  <c r="CG64" i="7"/>
  <c r="CG83" i="7" s="1"/>
  <c r="CH64" i="7"/>
  <c r="CH83" i="7" s="1"/>
  <c r="CI64" i="7"/>
  <c r="CI83" i="7" s="1"/>
  <c r="CJ64" i="7"/>
  <c r="CJ83" i="7" s="1"/>
  <c r="CK64" i="7"/>
  <c r="CK83" i="7" s="1"/>
  <c r="CL64" i="7"/>
  <c r="CL83" i="7" s="1"/>
  <c r="CM64" i="7"/>
  <c r="CM83" i="7" s="1"/>
  <c r="CN64" i="7"/>
  <c r="CN83" i="7" s="1"/>
  <c r="CO64" i="7"/>
  <c r="CO83" i="7" s="1"/>
  <c r="CP64" i="7"/>
  <c r="CP83" i="7" s="1"/>
  <c r="CR64" i="7"/>
  <c r="CR83" i="7" s="1"/>
  <c r="CS64" i="7"/>
  <c r="CS83" i="7" s="1"/>
  <c r="CU64" i="7"/>
  <c r="CU83" i="7" s="1"/>
  <c r="CV64" i="7"/>
  <c r="CV83" i="7" s="1"/>
  <c r="CW64" i="7"/>
  <c r="CW83" i="7" s="1"/>
  <c r="S64" i="7"/>
  <c r="S83" i="7" s="1"/>
  <c r="T64" i="7"/>
  <c r="T83" i="7" s="1"/>
  <c r="U64" i="7"/>
  <c r="U83" i="7" s="1"/>
  <c r="V64" i="7"/>
  <c r="V83" i="7" s="1"/>
  <c r="W64" i="7"/>
  <c r="W83" i="7" s="1"/>
  <c r="X64" i="7"/>
  <c r="X83" i="7" s="1"/>
  <c r="Y64" i="7"/>
  <c r="Y83" i="7" s="1"/>
  <c r="Z64" i="7"/>
  <c r="Z83" i="7" s="1"/>
  <c r="AA64" i="7"/>
  <c r="AA83" i="7" s="1"/>
  <c r="AB64" i="7"/>
  <c r="AB83" i="7" s="1"/>
  <c r="AC64" i="7"/>
  <c r="AC83" i="7" s="1"/>
  <c r="AD64" i="7"/>
  <c r="AD83" i="7" s="1"/>
  <c r="AE64" i="7"/>
  <c r="AE83" i="7" s="1"/>
  <c r="AF64" i="7"/>
  <c r="AF83" i="7" s="1"/>
  <c r="AG64" i="7"/>
  <c r="AG83" i="7" s="1"/>
  <c r="AH64" i="7"/>
  <c r="AH83" i="7" s="1"/>
  <c r="AI64" i="7"/>
  <c r="AI83" i="7" s="1"/>
  <c r="AJ64" i="7"/>
  <c r="AJ83" i="7" s="1"/>
  <c r="AK64" i="7"/>
  <c r="AK83" i="7" s="1"/>
  <c r="CA10" i="6"/>
  <c r="CB6" i="6"/>
  <c r="CB7" i="6"/>
  <c r="CB8" i="6"/>
  <c r="CC8" i="6" s="1"/>
  <c r="CB9" i="6"/>
  <c r="CB10" i="6"/>
  <c r="CB11" i="6"/>
  <c r="CB13" i="6"/>
  <c r="CB14" i="6"/>
  <c r="CC14" i="6" s="1"/>
  <c r="CB17" i="6"/>
  <c r="CB18" i="6"/>
  <c r="CB19" i="6"/>
  <c r="CB20" i="6"/>
  <c r="CC20" i="6" s="1"/>
  <c r="CB21" i="6"/>
  <c r="CB22" i="6"/>
  <c r="CB23" i="6"/>
  <c r="CB24" i="6"/>
  <c r="CC24" i="6" s="1"/>
  <c r="CB25" i="6"/>
  <c r="CB26" i="6"/>
  <c r="CB27" i="6"/>
  <c r="CB28" i="6"/>
  <c r="CB29" i="6"/>
  <c r="CB30" i="6"/>
  <c r="CB31" i="6"/>
  <c r="CB32" i="6"/>
  <c r="CC32" i="6" s="1"/>
  <c r="CB33" i="6"/>
  <c r="CB34" i="6"/>
  <c r="CB36" i="6"/>
  <c r="CB37" i="6"/>
  <c r="CB38" i="6"/>
  <c r="CC38" i="6" s="1"/>
  <c r="CB39" i="6"/>
  <c r="CB40" i="6"/>
  <c r="CB41" i="6"/>
  <c r="CB42" i="6"/>
  <c r="CB43" i="6"/>
  <c r="CB44" i="6"/>
  <c r="CB45" i="6"/>
  <c r="CB46" i="6"/>
  <c r="CB47" i="6"/>
  <c r="CB48" i="6"/>
  <c r="CB49" i="6"/>
  <c r="CB51" i="6"/>
  <c r="CB52" i="6"/>
  <c r="CC52" i="6" s="1"/>
  <c r="CB53" i="6"/>
  <c r="CB54" i="6"/>
  <c r="CB55" i="6"/>
  <c r="CC55" i="6" s="1"/>
  <c r="CB56" i="6"/>
  <c r="CC56" i="6" s="1"/>
  <c r="CB57" i="6"/>
  <c r="CB58" i="6"/>
  <c r="CB59" i="6"/>
  <c r="CB60" i="6"/>
  <c r="CC60" i="6" s="1"/>
  <c r="CB61" i="6"/>
  <c r="CC61" i="6" s="1"/>
  <c r="CB62" i="6"/>
  <c r="CC62" i="6" s="1"/>
  <c r="CB63" i="6"/>
  <c r="CB64" i="6"/>
  <c r="CB65" i="6"/>
  <c r="CB66" i="6"/>
  <c r="CB67" i="6"/>
  <c r="CB68" i="6"/>
  <c r="CB69" i="6"/>
  <c r="CB70" i="6"/>
  <c r="CB71" i="6"/>
  <c r="CC71" i="6" s="1"/>
  <c r="CB72" i="6"/>
  <c r="CB75" i="6"/>
  <c r="CB76" i="6"/>
  <c r="CB77" i="6"/>
  <c r="CB78" i="6"/>
  <c r="CB79" i="6"/>
  <c r="CC79" i="6" s="1"/>
  <c r="CB80" i="6"/>
  <c r="CB81" i="6"/>
  <c r="CB82" i="6"/>
  <c r="CB83" i="6"/>
  <c r="CB84" i="6"/>
  <c r="CB85" i="6"/>
  <c r="CC85" i="6" s="1"/>
  <c r="CB86" i="6"/>
  <c r="CB87" i="6"/>
  <c r="CB88" i="6"/>
  <c r="CC88" i="6" s="1"/>
  <c r="CB89" i="6"/>
  <c r="CC89" i="6" s="1"/>
  <c r="CB90" i="6"/>
  <c r="CB91" i="6"/>
  <c r="CB92" i="6"/>
  <c r="CB94" i="6"/>
  <c r="CB95" i="6"/>
  <c r="CB96" i="6"/>
  <c r="CB97" i="6"/>
  <c r="CB98" i="6"/>
  <c r="CB99" i="6"/>
  <c r="CB100" i="6"/>
  <c r="CB101" i="6"/>
  <c r="CB102" i="6"/>
  <c r="CB103" i="6"/>
  <c r="CB104" i="6"/>
  <c r="CB105" i="6"/>
  <c r="CB106" i="6"/>
  <c r="CB107" i="6"/>
  <c r="CB108" i="6"/>
  <c r="CB109" i="6"/>
  <c r="CC109" i="6" s="1"/>
  <c r="CB110" i="6"/>
  <c r="CB111" i="6"/>
  <c r="CB112" i="6"/>
  <c r="CB113" i="6"/>
  <c r="CB114" i="6"/>
  <c r="CB115" i="6"/>
  <c r="CB116" i="6"/>
  <c r="CB117" i="6"/>
  <c r="CB118" i="6"/>
  <c r="CB119" i="6"/>
  <c r="CB120" i="6"/>
  <c r="CB121" i="6"/>
  <c r="CB122" i="6"/>
  <c r="CB123" i="6"/>
  <c r="CB124" i="6"/>
  <c r="CB125" i="6"/>
  <c r="CB126" i="6"/>
  <c r="CB127" i="6"/>
  <c r="CB128" i="6"/>
  <c r="CB129" i="6"/>
  <c r="CB131" i="6"/>
  <c r="CC131" i="6" s="1"/>
  <c r="CB132" i="6"/>
  <c r="CB133" i="6"/>
  <c r="CB134" i="6"/>
  <c r="CC134" i="6" s="1"/>
  <c r="CB135" i="6"/>
  <c r="CB136" i="6"/>
  <c r="CB137" i="6"/>
  <c r="CB138" i="6"/>
  <c r="CB139" i="6"/>
  <c r="CB140" i="6"/>
  <c r="CC140" i="6" s="1"/>
  <c r="CB141" i="6"/>
  <c r="CB142" i="6"/>
  <c r="CB143" i="6"/>
  <c r="CB144" i="6"/>
  <c r="CB145" i="6"/>
  <c r="CB146" i="6"/>
  <c r="CB147" i="6"/>
  <c r="CB148" i="6"/>
  <c r="CB150" i="6"/>
  <c r="CB151" i="6"/>
  <c r="CB152" i="6"/>
  <c r="CB153" i="6"/>
  <c r="CB154" i="6"/>
  <c r="CB155" i="6"/>
  <c r="CB156" i="6"/>
  <c r="CB157" i="6"/>
  <c r="CB158" i="6"/>
  <c r="CB159" i="6"/>
  <c r="CB160" i="6"/>
  <c r="CB161" i="6"/>
  <c r="CB162" i="6"/>
  <c r="CB163" i="6"/>
  <c r="CB164" i="6"/>
  <c r="CC164" i="6" s="1"/>
  <c r="CB165" i="6"/>
  <c r="CB166" i="6"/>
  <c r="CB167" i="6"/>
  <c r="CC167" i="6" s="1"/>
  <c r="CB168" i="6"/>
  <c r="CB169" i="6"/>
  <c r="CB170" i="6"/>
  <c r="CB171" i="6"/>
  <c r="CB172" i="6"/>
  <c r="CB173" i="6"/>
  <c r="CB174" i="6"/>
  <c r="CB175" i="6"/>
  <c r="CB176" i="6"/>
  <c r="CB177" i="6"/>
  <c r="CB178" i="6"/>
  <c r="CB179" i="6"/>
  <c r="CB180" i="6"/>
  <c r="CB181" i="6"/>
  <c r="CB182" i="6"/>
  <c r="CC182" i="6" s="1"/>
  <c r="CB183" i="6"/>
  <c r="CB184" i="6"/>
  <c r="CB185" i="6"/>
  <c r="CB186" i="6"/>
  <c r="CB187" i="6"/>
  <c r="CB188" i="6"/>
  <c r="CB189" i="6"/>
  <c r="CB190" i="6"/>
  <c r="CB191" i="6"/>
  <c r="CB192" i="6"/>
  <c r="CB193" i="6"/>
  <c r="CB194" i="6"/>
  <c r="CB195" i="6"/>
  <c r="CB196" i="6"/>
  <c r="CB197" i="6"/>
  <c r="CB198" i="6"/>
  <c r="CB199" i="6"/>
  <c r="CB200" i="6"/>
  <c r="CB201"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C225" i="6" s="1"/>
  <c r="CB226" i="6"/>
  <c r="CB227" i="6"/>
  <c r="CB228" i="6"/>
  <c r="CC228" i="6" s="1"/>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C253" i="6" s="1"/>
  <c r="CB254" i="6"/>
  <c r="CB255" i="6"/>
  <c r="CB256" i="6"/>
  <c r="CB257" i="6"/>
  <c r="CB258" i="6"/>
  <c r="CB259" i="6"/>
  <c r="CB260" i="6"/>
  <c r="CB261" i="6"/>
  <c r="CB262" i="6"/>
  <c r="CB263" i="6"/>
  <c r="CB264" i="6"/>
  <c r="CC264" i="6" s="1"/>
  <c r="CB265" i="6"/>
  <c r="CB267" i="6"/>
  <c r="CB268" i="6"/>
  <c r="CB269" i="6"/>
  <c r="CB270" i="6"/>
  <c r="CB271" i="6"/>
  <c r="CB272" i="6"/>
  <c r="CB273" i="6"/>
  <c r="CB274" i="6"/>
  <c r="CB275" i="6"/>
  <c r="CC275" i="6" s="1"/>
  <c r="CB277" i="6"/>
  <c r="CB278" i="6"/>
  <c r="CB279" i="6"/>
  <c r="CB280" i="6"/>
  <c r="CC280" i="6" s="1"/>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C306" i="6" s="1"/>
  <c r="CB307" i="6"/>
  <c r="CC307" i="6" s="1"/>
  <c r="CB308" i="6"/>
  <c r="CC308" i="6" s="1"/>
  <c r="CB309" i="6"/>
  <c r="CC309" i="6" s="1"/>
  <c r="CB310" i="6"/>
  <c r="CB311" i="6"/>
  <c r="CB5" i="6"/>
  <c r="AE276" i="6"/>
  <c r="AE262" i="6"/>
  <c r="AE269" i="6"/>
  <c r="AE266" i="6"/>
  <c r="AF259" i="6"/>
  <c r="AG259" i="6" s="1"/>
  <c r="AF256" i="6"/>
  <c r="AG256" i="6" s="1"/>
  <c r="AF220" i="6"/>
  <c r="AG220" i="6" s="1"/>
  <c r="AF173" i="6"/>
  <c r="AG173" i="6" s="1"/>
  <c r="AF152" i="6"/>
  <c r="AG152" i="6" s="1"/>
  <c r="AF145" i="6"/>
  <c r="AG145" i="6" s="1"/>
  <c r="AF141" i="6"/>
  <c r="AG141" i="6" s="1"/>
  <c r="AF125" i="6"/>
  <c r="AG125" i="6" s="1"/>
  <c r="AF121" i="6"/>
  <c r="AG121" i="6" s="1"/>
  <c r="AF118" i="6"/>
  <c r="AG118" i="6" s="1"/>
  <c r="AF105" i="6"/>
  <c r="AG105" i="6" s="1"/>
  <c r="AF104" i="6"/>
  <c r="AG104" i="6" s="1"/>
  <c r="AF92" i="6"/>
  <c r="AG92" i="6" s="1"/>
  <c r="AF90" i="6"/>
  <c r="AG90" i="6" s="1"/>
  <c r="AF86" i="6"/>
  <c r="AG86" i="6" s="1"/>
  <c r="AF77" i="6"/>
  <c r="AG77" i="6" s="1"/>
  <c r="AF48" i="6"/>
  <c r="AG48" i="6" s="1"/>
  <c r="AF45" i="6"/>
  <c r="AG45" i="6" s="1"/>
  <c r="AF43" i="6"/>
  <c r="AG43" i="6" s="1"/>
  <c r="AF242" i="6"/>
  <c r="AG242" i="6" s="1"/>
  <c r="AF78" i="6"/>
  <c r="AG78" i="6" s="1"/>
  <c r="AF63" i="6"/>
  <c r="AG63" i="6" s="1"/>
  <c r="AF19" i="6"/>
  <c r="AG19" i="6" s="1"/>
  <c r="AF6" i="6"/>
  <c r="AF8" i="6"/>
  <c r="AG8" i="6" s="1"/>
  <c r="AF9" i="6"/>
  <c r="AG9" i="6" s="1"/>
  <c r="AF10" i="6"/>
  <c r="AG10" i="6" s="1"/>
  <c r="AF11" i="6"/>
  <c r="AG11" i="6" s="1"/>
  <c r="AF13" i="6"/>
  <c r="AG13" i="6" s="1"/>
  <c r="AF14" i="6"/>
  <c r="AG14" i="6" s="1"/>
  <c r="AF17" i="6"/>
  <c r="AG17" i="6" s="1"/>
  <c r="AF18" i="6"/>
  <c r="AG18" i="6" s="1"/>
  <c r="AF20" i="6"/>
  <c r="AG20" i="6" s="1"/>
  <c r="AF21" i="6"/>
  <c r="AG21" i="6" s="1"/>
  <c r="AF22" i="6"/>
  <c r="AG22" i="6" s="1"/>
  <c r="AF23" i="6"/>
  <c r="AG23" i="6" s="1"/>
  <c r="AF24" i="6"/>
  <c r="AG24" i="6" s="1"/>
  <c r="AF25" i="6"/>
  <c r="AG25" i="6" s="1"/>
  <c r="AF26" i="6"/>
  <c r="AG26" i="6" s="1"/>
  <c r="AF27" i="6"/>
  <c r="AG27" i="6" s="1"/>
  <c r="AF28" i="6"/>
  <c r="AG28" i="6" s="1"/>
  <c r="AF29" i="6"/>
  <c r="AG29" i="6" s="1"/>
  <c r="AF30" i="6"/>
  <c r="AG30" i="6" s="1"/>
  <c r="AF31" i="6"/>
  <c r="AG31" i="6" s="1"/>
  <c r="AF32" i="6"/>
  <c r="AG32" i="6" s="1"/>
  <c r="AF34" i="6"/>
  <c r="AG34" i="6" s="1"/>
  <c r="AF36" i="6"/>
  <c r="AG36" i="6" s="1"/>
  <c r="AF37" i="6"/>
  <c r="AG37" i="6" s="1"/>
  <c r="AF38" i="6"/>
  <c r="AG38" i="6" s="1"/>
  <c r="AF39" i="6"/>
  <c r="AG39" i="6" s="1"/>
  <c r="AF40" i="6"/>
  <c r="AG40" i="6" s="1"/>
  <c r="AF41" i="6"/>
  <c r="AG41" i="6" s="1"/>
  <c r="AF42" i="6"/>
  <c r="AG42" i="6" s="1"/>
  <c r="AF44" i="6"/>
  <c r="AG44" i="6" s="1"/>
  <c r="AF46" i="6"/>
  <c r="AG46" i="6" s="1"/>
  <c r="AF47" i="6"/>
  <c r="AF49" i="6"/>
  <c r="AG49" i="6" s="1"/>
  <c r="AF50" i="6"/>
  <c r="AG50" i="6" s="1"/>
  <c r="AF51" i="6"/>
  <c r="AG51" i="6" s="1"/>
  <c r="AF52" i="6"/>
  <c r="AG52" i="6" s="1"/>
  <c r="AF53" i="6"/>
  <c r="AG53" i="6" s="1"/>
  <c r="AF54" i="6"/>
  <c r="AG54" i="6" s="1"/>
  <c r="AF55" i="6"/>
  <c r="AG55" i="6" s="1"/>
  <c r="AF56" i="6"/>
  <c r="AG56" i="6" s="1"/>
  <c r="AF57" i="6"/>
  <c r="AG57" i="6" s="1"/>
  <c r="AF58" i="6"/>
  <c r="AG58" i="6" s="1"/>
  <c r="AF59" i="6"/>
  <c r="AG59" i="6" s="1"/>
  <c r="AF60" i="6"/>
  <c r="AG60" i="6" s="1"/>
  <c r="AF61" i="6"/>
  <c r="AG61" i="6" s="1"/>
  <c r="AF62" i="6"/>
  <c r="AG62" i="6" s="1"/>
  <c r="AF64" i="6"/>
  <c r="AG64" i="6" s="1"/>
  <c r="AF65" i="6"/>
  <c r="AG65" i="6" s="1"/>
  <c r="AF66" i="6"/>
  <c r="AF67" i="6"/>
  <c r="AG67" i="6" s="1"/>
  <c r="AF68" i="6"/>
  <c r="AG68" i="6" s="1"/>
  <c r="AF70" i="6"/>
  <c r="AG70" i="6" s="1"/>
  <c r="AF71" i="6"/>
  <c r="AG71" i="6" s="1"/>
  <c r="AF72" i="6"/>
  <c r="AG72" i="6" s="1"/>
  <c r="AF75" i="6"/>
  <c r="AF79" i="6"/>
  <c r="AG79" i="6" s="1"/>
  <c r="AF80" i="6"/>
  <c r="AG80" i="6" s="1"/>
  <c r="AF81" i="6"/>
  <c r="AG81" i="6" s="1"/>
  <c r="AF82" i="6"/>
  <c r="AG82" i="6" s="1"/>
  <c r="AF83" i="6"/>
  <c r="AG83" i="6" s="1"/>
  <c r="AF84" i="6"/>
  <c r="AG84" i="6" s="1"/>
  <c r="AF85" i="6"/>
  <c r="AG85" i="6" s="1"/>
  <c r="AF87" i="6"/>
  <c r="AG87" i="6" s="1"/>
  <c r="AF88" i="6"/>
  <c r="AG88" i="6" s="1"/>
  <c r="AF89" i="6"/>
  <c r="AG89" i="6" s="1"/>
  <c r="AF91" i="6"/>
  <c r="AG91" i="6" s="1"/>
  <c r="AF93" i="6"/>
  <c r="AG93" i="6" s="1"/>
  <c r="AF94" i="6"/>
  <c r="AG94" i="6" s="1"/>
  <c r="AF95" i="6"/>
  <c r="AG95" i="6" s="1"/>
  <c r="AF96" i="6"/>
  <c r="AG96" i="6" s="1"/>
  <c r="AF97" i="6"/>
  <c r="AG97" i="6" s="1"/>
  <c r="AF98" i="6"/>
  <c r="AG98" i="6" s="1"/>
  <c r="AF99" i="6"/>
  <c r="AG99" i="6" s="1"/>
  <c r="AF100" i="6"/>
  <c r="AG100" i="6" s="1"/>
  <c r="AF101" i="6"/>
  <c r="AG101" i="6" s="1"/>
  <c r="AF103" i="6"/>
  <c r="AG103" i="6" s="1"/>
  <c r="AF106" i="6"/>
  <c r="AG106" i="6" s="1"/>
  <c r="AF107" i="6"/>
  <c r="AG107" i="6" s="1"/>
  <c r="AF108" i="6"/>
  <c r="AG108" i="6" s="1"/>
  <c r="AF109" i="6"/>
  <c r="AG109" i="6" s="1"/>
  <c r="AF110" i="6"/>
  <c r="AG110" i="6" s="1"/>
  <c r="AF111" i="6"/>
  <c r="AG111" i="6" s="1"/>
  <c r="AF112" i="6"/>
  <c r="AG112" i="6" s="1"/>
  <c r="AF113" i="6"/>
  <c r="AG113" i="6" s="1"/>
  <c r="AF114" i="6"/>
  <c r="AG114" i="6" s="1"/>
  <c r="AF115" i="6"/>
  <c r="AG115" i="6" s="1"/>
  <c r="AF116" i="6"/>
  <c r="AG116" i="6" s="1"/>
  <c r="AF117" i="6"/>
  <c r="AG117" i="6" s="1"/>
  <c r="AF119" i="6"/>
  <c r="AG119" i="6" s="1"/>
  <c r="AF120" i="6"/>
  <c r="AG120" i="6" s="1"/>
  <c r="AF122" i="6"/>
  <c r="AG122" i="6" s="1"/>
  <c r="AF123" i="6"/>
  <c r="AG123" i="6" s="1"/>
  <c r="AF124" i="6"/>
  <c r="AG124" i="6" s="1"/>
  <c r="AF126" i="6"/>
  <c r="AG126" i="6" s="1"/>
  <c r="AF127" i="6"/>
  <c r="AG127" i="6" s="1"/>
  <c r="AF128" i="6"/>
  <c r="AG128" i="6" s="1"/>
  <c r="AF129" i="6"/>
  <c r="AG129" i="6" s="1"/>
  <c r="AF130" i="6"/>
  <c r="AG130" i="6" s="1"/>
  <c r="AF131" i="6"/>
  <c r="AG131" i="6" s="1"/>
  <c r="AF132" i="6"/>
  <c r="AG132" i="6" s="1"/>
  <c r="AF133" i="6"/>
  <c r="AG133" i="6" s="1"/>
  <c r="AF134" i="6"/>
  <c r="AG134" i="6" s="1"/>
  <c r="AF135" i="6"/>
  <c r="AF136" i="6"/>
  <c r="AG136" i="6" s="1"/>
  <c r="AF137" i="6"/>
  <c r="AG137" i="6" s="1"/>
  <c r="AF138" i="6"/>
  <c r="AG138" i="6" s="1"/>
  <c r="AF139" i="6"/>
  <c r="AG139" i="6" s="1"/>
  <c r="AF140" i="6"/>
  <c r="AG140" i="6" s="1"/>
  <c r="AF142" i="6"/>
  <c r="AG142" i="6" s="1"/>
  <c r="AF143" i="6"/>
  <c r="AG143" i="6" s="1"/>
  <c r="AF144" i="6"/>
  <c r="AG144" i="6" s="1"/>
  <c r="AF146" i="6"/>
  <c r="AG146" i="6" s="1"/>
  <c r="AF147" i="6"/>
  <c r="AG147" i="6" s="1"/>
  <c r="AF150" i="6"/>
  <c r="AG150" i="6" s="1"/>
  <c r="AF153" i="6"/>
  <c r="AG153" i="6" s="1"/>
  <c r="AF154" i="6"/>
  <c r="AG154" i="6" s="1"/>
  <c r="AF155" i="6"/>
  <c r="AG155" i="6" s="1"/>
  <c r="AF156" i="6"/>
  <c r="AG156" i="6" s="1"/>
  <c r="AF157" i="6"/>
  <c r="AG157" i="6" s="1"/>
  <c r="AF158" i="6"/>
  <c r="AG158" i="6" s="1"/>
  <c r="AF159" i="6"/>
  <c r="AG159" i="6" s="1"/>
  <c r="AF160" i="6"/>
  <c r="AG160" i="6" s="1"/>
  <c r="AF161" i="6"/>
  <c r="AG161" i="6" s="1"/>
  <c r="AF162" i="6"/>
  <c r="AG162" i="6" s="1"/>
  <c r="AF163" i="6"/>
  <c r="AG163" i="6" s="1"/>
  <c r="AF164" i="6"/>
  <c r="AG164" i="6" s="1"/>
  <c r="AF165" i="6"/>
  <c r="AG165" i="6" s="1"/>
  <c r="AF166" i="6"/>
  <c r="AG166" i="6" s="1"/>
  <c r="AF167" i="6"/>
  <c r="AG167" i="6" s="1"/>
  <c r="AF168" i="6"/>
  <c r="AG168" i="6" s="1"/>
  <c r="AF169" i="6"/>
  <c r="AG169" i="6" s="1"/>
  <c r="AF171" i="6"/>
  <c r="AG171" i="6" s="1"/>
  <c r="AF172" i="6"/>
  <c r="AG172" i="6" s="1"/>
  <c r="AF174" i="6"/>
  <c r="AG174" i="6" s="1"/>
  <c r="AF175" i="6"/>
  <c r="AG175" i="6" s="1"/>
  <c r="AF176" i="6"/>
  <c r="AG176" i="6" s="1"/>
  <c r="AF177" i="6"/>
  <c r="AG177" i="6" s="1"/>
  <c r="AF178" i="6"/>
  <c r="AG178" i="6" s="1"/>
  <c r="AF180" i="6"/>
  <c r="AG180" i="6" s="1"/>
  <c r="AF181" i="6"/>
  <c r="AG181" i="6" s="1"/>
  <c r="AF182" i="6"/>
  <c r="AG182" i="6" s="1"/>
  <c r="AF183" i="6"/>
  <c r="AG183" i="6" s="1"/>
  <c r="AF184" i="6"/>
  <c r="AG184" i="6" s="1"/>
  <c r="AF185" i="6"/>
  <c r="AG185" i="6" s="1"/>
  <c r="AF186" i="6"/>
  <c r="AG186" i="6" s="1"/>
  <c r="AF187" i="6"/>
  <c r="AG187" i="6" s="1"/>
  <c r="AF188" i="6"/>
  <c r="AG188" i="6" s="1"/>
  <c r="AF189" i="6"/>
  <c r="AG189" i="6" s="1"/>
  <c r="AF191" i="6"/>
  <c r="AG191" i="6" s="1"/>
  <c r="AF192" i="6"/>
  <c r="AG192" i="6" s="1"/>
  <c r="AF193" i="6"/>
  <c r="AG193" i="6" s="1"/>
  <c r="AF194" i="6"/>
  <c r="AG194" i="6" s="1"/>
  <c r="AF195" i="6"/>
  <c r="AG195" i="6" s="1"/>
  <c r="AF196" i="6"/>
  <c r="AG196" i="6" s="1"/>
  <c r="AF197" i="6"/>
  <c r="AG197" i="6" s="1"/>
  <c r="AF198" i="6"/>
  <c r="AG198" i="6" s="1"/>
  <c r="AF199" i="6"/>
  <c r="AG199" i="6" s="1"/>
  <c r="AF200" i="6"/>
  <c r="AG200" i="6" s="1"/>
  <c r="AF201" i="6"/>
  <c r="AG201" i="6" s="1"/>
  <c r="AF202" i="6"/>
  <c r="AG202" i="6" s="1"/>
  <c r="AF203" i="6"/>
  <c r="AG203" i="6" s="1"/>
  <c r="AF204" i="6"/>
  <c r="AG204" i="6" s="1"/>
  <c r="AF205" i="6"/>
  <c r="AG205" i="6" s="1"/>
  <c r="AF206" i="6"/>
  <c r="AG206" i="6" s="1"/>
  <c r="AF207" i="6"/>
  <c r="AG207" i="6" s="1"/>
  <c r="AF208" i="6"/>
  <c r="AG208" i="6" s="1"/>
  <c r="AF209" i="6"/>
  <c r="AG209" i="6" s="1"/>
  <c r="AF210" i="6"/>
  <c r="AG210" i="6" s="1"/>
  <c r="AF211" i="6"/>
  <c r="AG211" i="6" s="1"/>
  <c r="AF212" i="6"/>
  <c r="AG212" i="6" s="1"/>
  <c r="AF213" i="6"/>
  <c r="AG213" i="6" s="1"/>
  <c r="AF214" i="6"/>
  <c r="AG214" i="6" s="1"/>
  <c r="AF215" i="6"/>
  <c r="AG215" i="6" s="1"/>
  <c r="AF216" i="6"/>
  <c r="AG216" i="6" s="1"/>
  <c r="AF217" i="6"/>
  <c r="AG217" i="6" s="1"/>
  <c r="AF218" i="6"/>
  <c r="AG218" i="6" s="1"/>
  <c r="AF219" i="6"/>
  <c r="AG219" i="6" s="1"/>
  <c r="AF221" i="6"/>
  <c r="AG221" i="6" s="1"/>
  <c r="AF222" i="6"/>
  <c r="AG222" i="6" s="1"/>
  <c r="AF223" i="6"/>
  <c r="AG223" i="6" s="1"/>
  <c r="AF224" i="6"/>
  <c r="AG224" i="6" s="1"/>
  <c r="AF225" i="6"/>
  <c r="AG225" i="6" s="1"/>
  <c r="AF226" i="6"/>
  <c r="AG226" i="6" s="1"/>
  <c r="AF228" i="6"/>
  <c r="AG228" i="6" s="1"/>
  <c r="AF229" i="6"/>
  <c r="AF230" i="6"/>
  <c r="AG230" i="6" s="1"/>
  <c r="AF232" i="6"/>
  <c r="AG232" i="6" s="1"/>
  <c r="AF233" i="6"/>
  <c r="AG233" i="6" s="1"/>
  <c r="AF234" i="6"/>
  <c r="AG234" i="6" s="1"/>
  <c r="AF235" i="6"/>
  <c r="AG235" i="6" s="1"/>
  <c r="AF236" i="6"/>
  <c r="AG236" i="6" s="1"/>
  <c r="AF237" i="6"/>
  <c r="AG237" i="6" s="1"/>
  <c r="AF238" i="6"/>
  <c r="AG238" i="6" s="1"/>
  <c r="AF239" i="6"/>
  <c r="AG239" i="6" s="1"/>
  <c r="AF241" i="6"/>
  <c r="AG241" i="6" s="1"/>
  <c r="AF243" i="6"/>
  <c r="AG243" i="6" s="1"/>
  <c r="AF244" i="6"/>
  <c r="AG244" i="6" s="1"/>
  <c r="AF245" i="6"/>
  <c r="AG245" i="6" s="1"/>
  <c r="AF246" i="6"/>
  <c r="AG246" i="6" s="1"/>
  <c r="AF247" i="6"/>
  <c r="AG247" i="6" s="1"/>
  <c r="AF248" i="6"/>
  <c r="AG248" i="6" s="1"/>
  <c r="AF249" i="6"/>
  <c r="AG249" i="6" s="1"/>
  <c r="AF250" i="6"/>
  <c r="AG250" i="6" s="1"/>
  <c r="AF251" i="6"/>
  <c r="AG251" i="6" s="1"/>
  <c r="AF252" i="6"/>
  <c r="AG252" i="6" s="1"/>
  <c r="AF253" i="6"/>
  <c r="AG253" i="6" s="1"/>
  <c r="AF254" i="6"/>
  <c r="AG254" i="6" s="1"/>
  <c r="AF255" i="6"/>
  <c r="AG255" i="6" s="1"/>
  <c r="AF257" i="6"/>
  <c r="AG257" i="6" s="1"/>
  <c r="AF258" i="6"/>
  <c r="AG258" i="6" s="1"/>
  <c r="AF260" i="6"/>
  <c r="AG260" i="6" s="1"/>
  <c r="AF261" i="6"/>
  <c r="AG261" i="6" s="1"/>
  <c r="AF262" i="6"/>
  <c r="AF264" i="6"/>
  <c r="AG264" i="6" s="1"/>
  <c r="AF265" i="6"/>
  <c r="AG265" i="6" s="1"/>
  <c r="AF273" i="6"/>
  <c r="AG273" i="6" s="1"/>
  <c r="AF274" i="6"/>
  <c r="AG274" i="6" s="1"/>
  <c r="AF275" i="6"/>
  <c r="AG275" i="6" s="1"/>
  <c r="AF277" i="6"/>
  <c r="AG277" i="6" s="1"/>
  <c r="AF278" i="6"/>
  <c r="AG278" i="6" s="1"/>
  <c r="AF279" i="6"/>
  <c r="AG279" i="6" s="1"/>
  <c r="AF280" i="6"/>
  <c r="AG280" i="6" s="1"/>
  <c r="AF281" i="6"/>
  <c r="AG281" i="6" s="1"/>
  <c r="AF282" i="6"/>
  <c r="AG282" i="6" s="1"/>
  <c r="AF284" i="6"/>
  <c r="AG284" i="6" s="1"/>
  <c r="AF285" i="6"/>
  <c r="AG285" i="6" s="1"/>
  <c r="AF286" i="6"/>
  <c r="AG286" i="6" s="1"/>
  <c r="AF287" i="6"/>
  <c r="AG287" i="6" s="1"/>
  <c r="AF288" i="6"/>
  <c r="AG288" i="6" s="1"/>
  <c r="AF289" i="6"/>
  <c r="AG289" i="6" s="1"/>
  <c r="AF290" i="6"/>
  <c r="AG290" i="6" s="1"/>
  <c r="AF291" i="6"/>
  <c r="AG291" i="6" s="1"/>
  <c r="AF292" i="6"/>
  <c r="AG292" i="6" s="1"/>
  <c r="AF293" i="6"/>
  <c r="AG293" i="6" s="1"/>
  <c r="AF294" i="6"/>
  <c r="AG294" i="6" s="1"/>
  <c r="AF295" i="6"/>
  <c r="AG295" i="6" s="1"/>
  <c r="AF296" i="6"/>
  <c r="AG296" i="6" s="1"/>
  <c r="AF297" i="6"/>
  <c r="AG297" i="6" s="1"/>
  <c r="AF298" i="6"/>
  <c r="AG298" i="6" s="1"/>
  <c r="AF299" i="6"/>
  <c r="AG299" i="6" s="1"/>
  <c r="AF300" i="6"/>
  <c r="AG300" i="6" s="1"/>
  <c r="AF301" i="6"/>
  <c r="AG301" i="6" s="1"/>
  <c r="AF302" i="6"/>
  <c r="AG302" i="6" s="1"/>
  <c r="AF303" i="6"/>
  <c r="AG303" i="6" s="1"/>
  <c r="AF304" i="6"/>
  <c r="AG304" i="6" s="1"/>
  <c r="AF305" i="6"/>
  <c r="AG305" i="6" s="1"/>
  <c r="AF306" i="6"/>
  <c r="AG306" i="6" s="1"/>
  <c r="AF307" i="6"/>
  <c r="AG307" i="6" s="1"/>
  <c r="AF308" i="6"/>
  <c r="AG308" i="6" s="1"/>
  <c r="AF309" i="6"/>
  <c r="AG309" i="6" s="1"/>
  <c r="AF310" i="6"/>
  <c r="AG310" i="6" s="1"/>
  <c r="AF311" i="6"/>
  <c r="AG311" i="6" s="1"/>
  <c r="AF5" i="6"/>
  <c r="AG5" i="6" s="1"/>
  <c r="CV132" i="7" l="1"/>
  <c r="CM132" i="7"/>
  <c r="CI132" i="7"/>
  <c r="CE132" i="7"/>
  <c r="CA132" i="7"/>
  <c r="BF132" i="7"/>
  <c r="BB132" i="7"/>
  <c r="AX132" i="7"/>
  <c r="AT132" i="7"/>
  <c r="AP132" i="7"/>
  <c r="AL132" i="7"/>
  <c r="AH132" i="7"/>
  <c r="AD132" i="7"/>
  <c r="Z132" i="7"/>
  <c r="V132" i="7"/>
  <c r="R132" i="7"/>
  <c r="P122" i="7"/>
  <c r="P120" i="7"/>
  <c r="CT64" i="7"/>
  <c r="CT83" i="7" s="1"/>
  <c r="CT65" i="7"/>
  <c r="Q84" i="7"/>
  <c r="Q68" i="7"/>
  <c r="CS84" i="7"/>
  <c r="CS68" i="7"/>
  <c r="CO84" i="7"/>
  <c r="CO68" i="7"/>
  <c r="CK84" i="7"/>
  <c r="CK68" i="7"/>
  <c r="CG84" i="7"/>
  <c r="CG68" i="7"/>
  <c r="CC84" i="7"/>
  <c r="CC68" i="7"/>
  <c r="BY84" i="7"/>
  <c r="BY68" i="7"/>
  <c r="BS84" i="7"/>
  <c r="BO84" i="7"/>
  <c r="BO68" i="7"/>
  <c r="BK84" i="7"/>
  <c r="BK68" i="7"/>
  <c r="BG84" i="7"/>
  <c r="BG68" i="7"/>
  <c r="BC84" i="7"/>
  <c r="BC68" i="7"/>
  <c r="AY84" i="7"/>
  <c r="AY68" i="7"/>
  <c r="AT84" i="7"/>
  <c r="AT68" i="7"/>
  <c r="AP84" i="7"/>
  <c r="AP68" i="7"/>
  <c r="AL84" i="7"/>
  <c r="AH84" i="7"/>
  <c r="AH68" i="7"/>
  <c r="AD84" i="7"/>
  <c r="AD68" i="7"/>
  <c r="Z84" i="7"/>
  <c r="Z68" i="7"/>
  <c r="V84" i="7"/>
  <c r="V68" i="7"/>
  <c r="CW70" i="7"/>
  <c r="CP70" i="7"/>
  <c r="CK70" i="7"/>
  <c r="CG70" i="7"/>
  <c r="CC70" i="7"/>
  <c r="BY70" i="7"/>
  <c r="BU70" i="7"/>
  <c r="BQ70" i="7"/>
  <c r="BM70" i="7"/>
  <c r="BI70" i="7"/>
  <c r="BE70" i="7"/>
  <c r="BA70" i="7"/>
  <c r="AV70" i="7"/>
  <c r="AR70" i="7"/>
  <c r="AN70" i="7"/>
  <c r="AJ70" i="7"/>
  <c r="AF70" i="7"/>
  <c r="AB70" i="7"/>
  <c r="X70" i="7"/>
  <c r="T70" i="7"/>
  <c r="CV72" i="7"/>
  <c r="CP72" i="7"/>
  <c r="CL72" i="7"/>
  <c r="CH72" i="7"/>
  <c r="CD72" i="7"/>
  <c r="BZ72" i="7"/>
  <c r="BV72" i="7"/>
  <c r="BR72" i="7"/>
  <c r="BN72" i="7"/>
  <c r="BJ72" i="7"/>
  <c r="BF72" i="7"/>
  <c r="BB72" i="7"/>
  <c r="AT72" i="7"/>
  <c r="AP72" i="7"/>
  <c r="AH72" i="7"/>
  <c r="AD72" i="7"/>
  <c r="Z72" i="7"/>
  <c r="V72" i="7"/>
  <c r="CV77" i="7"/>
  <c r="CV74" i="7"/>
  <c r="CR77" i="7"/>
  <c r="CR74" i="7"/>
  <c r="CN77" i="7"/>
  <c r="CN74" i="7"/>
  <c r="CJ77" i="7"/>
  <c r="CJ74" i="7"/>
  <c r="CE77" i="7"/>
  <c r="CE74" i="7"/>
  <c r="CA77" i="7"/>
  <c r="CA74" i="7"/>
  <c r="BW77" i="7"/>
  <c r="BW74" i="7"/>
  <c r="BS77" i="7"/>
  <c r="BO77" i="7"/>
  <c r="BO74" i="7"/>
  <c r="BK77" i="7"/>
  <c r="BK74" i="7"/>
  <c r="BG77" i="7"/>
  <c r="BG74" i="7"/>
  <c r="BC77" i="7"/>
  <c r="BC74" i="7"/>
  <c r="AY77" i="7"/>
  <c r="AY74" i="7"/>
  <c r="AT74" i="7"/>
  <c r="AT77" i="7"/>
  <c r="AP74" i="7"/>
  <c r="AP77" i="7"/>
  <c r="AL77" i="7"/>
  <c r="AH74" i="7"/>
  <c r="AH77" i="7"/>
  <c r="AD74" i="7"/>
  <c r="AD77" i="7"/>
  <c r="Z74" i="7"/>
  <c r="Z77" i="7"/>
  <c r="V74" i="7"/>
  <c r="V77" i="7"/>
  <c r="R77" i="7"/>
  <c r="CP81" i="7"/>
  <c r="CL81" i="7"/>
  <c r="CH81" i="7"/>
  <c r="CD81" i="7"/>
  <c r="BZ81" i="7"/>
  <c r="BU81" i="7"/>
  <c r="BQ81" i="7"/>
  <c r="BM81" i="7"/>
  <c r="BH81" i="7"/>
  <c r="BD81" i="7"/>
  <c r="AZ81" i="7"/>
  <c r="AQ81" i="7"/>
  <c r="AM81" i="7"/>
  <c r="AI81" i="7"/>
  <c r="AE81" i="7"/>
  <c r="AA81" i="7"/>
  <c r="W81" i="7"/>
  <c r="S81" i="7"/>
  <c r="AV77" i="7"/>
  <c r="AV74" i="7"/>
  <c r="CR84" i="7"/>
  <c r="CR68" i="7"/>
  <c r="CN84" i="7"/>
  <c r="CN68" i="7"/>
  <c r="CJ84" i="7"/>
  <c r="CJ68" i="7"/>
  <c r="CF84" i="7"/>
  <c r="CF68" i="7"/>
  <c r="CB84" i="7"/>
  <c r="CB68" i="7"/>
  <c r="BV84" i="7"/>
  <c r="BV68" i="7"/>
  <c r="BR84" i="7"/>
  <c r="BR68" i="7"/>
  <c r="BN84" i="7"/>
  <c r="BN68" i="7"/>
  <c r="BJ84" i="7"/>
  <c r="BJ68" i="7"/>
  <c r="BF84" i="7"/>
  <c r="BF68" i="7"/>
  <c r="BB84" i="7"/>
  <c r="BB68" i="7"/>
  <c r="AW84" i="7"/>
  <c r="AW68" i="7"/>
  <c r="AS84" i="7"/>
  <c r="AS68" i="7"/>
  <c r="AO84" i="7"/>
  <c r="AO68" i="7"/>
  <c r="AK84" i="7"/>
  <c r="AK68" i="7"/>
  <c r="AG84" i="7"/>
  <c r="AG68" i="7"/>
  <c r="AC84" i="7"/>
  <c r="AC68" i="7"/>
  <c r="Y84" i="7"/>
  <c r="Y68" i="7"/>
  <c r="U84" i="7"/>
  <c r="U68" i="7"/>
  <c r="CU70" i="7"/>
  <c r="CO70" i="7"/>
  <c r="CJ70" i="7"/>
  <c r="CF70" i="7"/>
  <c r="CB70" i="7"/>
  <c r="BT70" i="7"/>
  <c r="BP70" i="7"/>
  <c r="BL70" i="7"/>
  <c r="BH70" i="7"/>
  <c r="BD70" i="7"/>
  <c r="AZ70" i="7"/>
  <c r="AQ70" i="7"/>
  <c r="AM70" i="7"/>
  <c r="AI70" i="7"/>
  <c r="AE70" i="7"/>
  <c r="AA70" i="7"/>
  <c r="W70" i="7"/>
  <c r="S70" i="7"/>
  <c r="CU72" i="7"/>
  <c r="CO72" i="7"/>
  <c r="CK72" i="7"/>
  <c r="CG72" i="7"/>
  <c r="CC72" i="7"/>
  <c r="BY72" i="7"/>
  <c r="BU72" i="7"/>
  <c r="BQ72" i="7"/>
  <c r="BM72" i="7"/>
  <c r="BI72" i="7"/>
  <c r="BE72" i="7"/>
  <c r="BA72" i="7"/>
  <c r="AW72" i="7"/>
  <c r="AS72" i="7"/>
  <c r="AO72" i="7"/>
  <c r="AK72" i="7"/>
  <c r="AG72" i="7"/>
  <c r="AC72" i="7"/>
  <c r="Y72" i="7"/>
  <c r="U72" i="7"/>
  <c r="CU77" i="7"/>
  <c r="CU74" i="7"/>
  <c r="CM77" i="7"/>
  <c r="CM74" i="7"/>
  <c r="CI77" i="7"/>
  <c r="CI74" i="7"/>
  <c r="CD74" i="7"/>
  <c r="CD77" i="7"/>
  <c r="BZ74" i="7"/>
  <c r="BZ77" i="7"/>
  <c r="BV74" i="7"/>
  <c r="BV77" i="7"/>
  <c r="BR74" i="7"/>
  <c r="BR77" i="7"/>
  <c r="BN74" i="7"/>
  <c r="BN77" i="7"/>
  <c r="BJ74" i="7"/>
  <c r="BJ77" i="7"/>
  <c r="BF74" i="7"/>
  <c r="BF77" i="7"/>
  <c r="BB74" i="7"/>
  <c r="BB77" i="7"/>
  <c r="AX77" i="7"/>
  <c r="AS74" i="7"/>
  <c r="AS77" i="7"/>
  <c r="AO74" i="7"/>
  <c r="AO77" i="7"/>
  <c r="AK74" i="7"/>
  <c r="AK77" i="7"/>
  <c r="AG74" i="7"/>
  <c r="AG77" i="7"/>
  <c r="AC74" i="7"/>
  <c r="AC77" i="7"/>
  <c r="Y74" i="7"/>
  <c r="Y77" i="7"/>
  <c r="U74" i="7"/>
  <c r="U77" i="7"/>
  <c r="CW81" i="7"/>
  <c r="CS81" i="7"/>
  <c r="CO81" i="7"/>
  <c r="CK81" i="7"/>
  <c r="CG81" i="7"/>
  <c r="CC81" i="7"/>
  <c r="BY81" i="7"/>
  <c r="BT81" i="7"/>
  <c r="BP81" i="7"/>
  <c r="BL81" i="7"/>
  <c r="BG81" i="7"/>
  <c r="BC81" i="7"/>
  <c r="AY81" i="7"/>
  <c r="AT81" i="7"/>
  <c r="AP81" i="7"/>
  <c r="AH81" i="7"/>
  <c r="AD81" i="7"/>
  <c r="Z81" i="7"/>
  <c r="V81" i="7"/>
  <c r="CV84" i="7"/>
  <c r="CV68" i="7"/>
  <c r="CQ84" i="7"/>
  <c r="CM84" i="7"/>
  <c r="CM68" i="7"/>
  <c r="CI84" i="7"/>
  <c r="CI68" i="7"/>
  <c r="CE84" i="7"/>
  <c r="CE68" i="7"/>
  <c r="CA84" i="7"/>
  <c r="CA68" i="7"/>
  <c r="BU84" i="7"/>
  <c r="BU68" i="7"/>
  <c r="BQ84" i="7"/>
  <c r="BQ68" i="7"/>
  <c r="BM84" i="7"/>
  <c r="BM68" i="7"/>
  <c r="BI84" i="7"/>
  <c r="BI68" i="7"/>
  <c r="BE84" i="7"/>
  <c r="BE68" i="7"/>
  <c r="BA84" i="7"/>
  <c r="BA68" i="7"/>
  <c r="AV84" i="7"/>
  <c r="AV68" i="7"/>
  <c r="AR84" i="7"/>
  <c r="AR68" i="7"/>
  <c r="AN84" i="7"/>
  <c r="AN68" i="7"/>
  <c r="AJ84" i="7"/>
  <c r="AJ68" i="7"/>
  <c r="AF84" i="7"/>
  <c r="AF68" i="7"/>
  <c r="AB84" i="7"/>
  <c r="AB68" i="7"/>
  <c r="T84" i="7"/>
  <c r="T68" i="7"/>
  <c r="CS70" i="7"/>
  <c r="CN70" i="7"/>
  <c r="CI70" i="7"/>
  <c r="CE70" i="7"/>
  <c r="CA70" i="7"/>
  <c r="BW70" i="7"/>
  <c r="BO70" i="7"/>
  <c r="BK70" i="7"/>
  <c r="BG70" i="7"/>
  <c r="BC70" i="7"/>
  <c r="AY70" i="7"/>
  <c r="AT70" i="7"/>
  <c r="AP70" i="7"/>
  <c r="AH70" i="7"/>
  <c r="AD70" i="7"/>
  <c r="Z70" i="7"/>
  <c r="V70" i="7"/>
  <c r="CS72" i="7"/>
  <c r="CN72" i="7"/>
  <c r="CJ72" i="7"/>
  <c r="CF72" i="7"/>
  <c r="CB72" i="7"/>
  <c r="BT72" i="7"/>
  <c r="BP72" i="7"/>
  <c r="BL72" i="7"/>
  <c r="BH72" i="7"/>
  <c r="BD72" i="7"/>
  <c r="AZ72" i="7"/>
  <c r="AV72" i="7"/>
  <c r="AR72" i="7"/>
  <c r="AN72" i="7"/>
  <c r="AJ72" i="7"/>
  <c r="AF72" i="7"/>
  <c r="AB72" i="7"/>
  <c r="X72" i="7"/>
  <c r="T72" i="7"/>
  <c r="Q74" i="7"/>
  <c r="Q77" i="7"/>
  <c r="CP74" i="7"/>
  <c r="CP77" i="7"/>
  <c r="CL74" i="7"/>
  <c r="CL77" i="7"/>
  <c r="CG74" i="7"/>
  <c r="CG77" i="7"/>
  <c r="CC74" i="7"/>
  <c r="CC77" i="7"/>
  <c r="BY74" i="7"/>
  <c r="BY77" i="7"/>
  <c r="BU74" i="7"/>
  <c r="BU77" i="7"/>
  <c r="BQ74" i="7"/>
  <c r="BQ77" i="7"/>
  <c r="BM74" i="7"/>
  <c r="BM77" i="7"/>
  <c r="BI74" i="7"/>
  <c r="BI77" i="7"/>
  <c r="BE74" i="7"/>
  <c r="BE77" i="7"/>
  <c r="BA74" i="7"/>
  <c r="BA77" i="7"/>
  <c r="AW74" i="7"/>
  <c r="AW77" i="7"/>
  <c r="AR77" i="7"/>
  <c r="AR74" i="7"/>
  <c r="AN77" i="7"/>
  <c r="AN74" i="7"/>
  <c r="AJ77" i="7"/>
  <c r="AJ74" i="7"/>
  <c r="AF77" i="7"/>
  <c r="AF74" i="7"/>
  <c r="AB77" i="7"/>
  <c r="AB74" i="7"/>
  <c r="X77" i="7"/>
  <c r="X74" i="7"/>
  <c r="T77" i="7"/>
  <c r="T74" i="7"/>
  <c r="CV81" i="7"/>
  <c r="CR81" i="7"/>
  <c r="CN81" i="7"/>
  <c r="CJ81" i="7"/>
  <c r="CF81" i="7"/>
  <c r="CB81" i="7"/>
  <c r="BW81" i="7"/>
  <c r="BO81" i="7"/>
  <c r="BJ81" i="7"/>
  <c r="BF81" i="7"/>
  <c r="BB81" i="7"/>
  <c r="AW81" i="7"/>
  <c r="AS81" i="7"/>
  <c r="AO81" i="7"/>
  <c r="AK81" i="7"/>
  <c r="AG81" i="7"/>
  <c r="AC81" i="7"/>
  <c r="Y81" i="7"/>
  <c r="U81" i="7"/>
  <c r="CW84" i="7"/>
  <c r="CW68" i="7"/>
  <c r="CU84" i="7"/>
  <c r="CU68" i="7"/>
  <c r="CP84" i="7"/>
  <c r="CP68" i="7"/>
  <c r="CL84" i="7"/>
  <c r="CL68" i="7"/>
  <c r="CH84" i="7"/>
  <c r="CH68" i="7"/>
  <c r="CD84" i="7"/>
  <c r="CD68" i="7"/>
  <c r="BZ84" i="7"/>
  <c r="BZ68" i="7"/>
  <c r="BT84" i="7"/>
  <c r="BT68" i="7"/>
  <c r="BP84" i="7"/>
  <c r="BP68" i="7"/>
  <c r="BL84" i="7"/>
  <c r="BL68" i="7"/>
  <c r="BH84" i="7"/>
  <c r="BH68" i="7"/>
  <c r="BD84" i="7"/>
  <c r="BD68" i="7"/>
  <c r="AZ84" i="7"/>
  <c r="AZ68" i="7"/>
  <c r="AU84" i="7"/>
  <c r="AQ84" i="7"/>
  <c r="AQ68" i="7"/>
  <c r="AM84" i="7"/>
  <c r="AM68" i="7"/>
  <c r="AI84" i="7"/>
  <c r="AI68" i="7"/>
  <c r="AE84" i="7"/>
  <c r="AE68" i="7"/>
  <c r="AA84" i="7"/>
  <c r="AA68" i="7"/>
  <c r="W84" i="7"/>
  <c r="W68" i="7"/>
  <c r="S84" i="7"/>
  <c r="S68" i="7"/>
  <c r="CR70" i="7"/>
  <c r="CL70" i="7"/>
  <c r="CH70" i="7"/>
  <c r="CD70" i="7"/>
  <c r="BZ70" i="7"/>
  <c r="BV70" i="7"/>
  <c r="BR70" i="7"/>
  <c r="BN70" i="7"/>
  <c r="BJ70" i="7"/>
  <c r="BF70" i="7"/>
  <c r="BB70" i="7"/>
  <c r="AW70" i="7"/>
  <c r="AS70" i="7"/>
  <c r="AO70" i="7"/>
  <c r="AK70" i="7"/>
  <c r="AG70" i="7"/>
  <c r="AC70" i="7"/>
  <c r="Y70" i="7"/>
  <c r="U70" i="7"/>
  <c r="CW72" i="7"/>
  <c r="CR72" i="7"/>
  <c r="CM72" i="7"/>
  <c r="CI72" i="7"/>
  <c r="CE72" i="7"/>
  <c r="CA72" i="7"/>
  <c r="BW72" i="7"/>
  <c r="BO72" i="7"/>
  <c r="BK72" i="7"/>
  <c r="BG72" i="7"/>
  <c r="BC72" i="7"/>
  <c r="AY72" i="7"/>
  <c r="AQ72" i="7"/>
  <c r="AM72" i="7"/>
  <c r="AI72" i="7"/>
  <c r="AE72" i="7"/>
  <c r="AA72" i="7"/>
  <c r="W72" i="7"/>
  <c r="S72" i="7"/>
  <c r="CW74" i="7"/>
  <c r="CW77" i="7"/>
  <c r="CS74" i="7"/>
  <c r="CS77" i="7"/>
  <c r="CO74" i="7"/>
  <c r="CO77" i="7"/>
  <c r="CK74" i="7"/>
  <c r="CK77" i="7"/>
  <c r="CF77" i="7"/>
  <c r="CF74" i="7"/>
  <c r="CB77" i="7"/>
  <c r="CB74" i="7"/>
  <c r="BX77" i="7"/>
  <c r="BT77" i="7"/>
  <c r="BT74" i="7"/>
  <c r="BP77" i="7"/>
  <c r="BP74" i="7"/>
  <c r="BL77" i="7"/>
  <c r="BL74" i="7"/>
  <c r="BH77" i="7"/>
  <c r="BH74" i="7"/>
  <c r="BD77" i="7"/>
  <c r="BD74" i="7"/>
  <c r="AZ77" i="7"/>
  <c r="AZ74" i="7"/>
  <c r="AU77" i="7"/>
  <c r="AQ77" i="7"/>
  <c r="AQ74" i="7"/>
  <c r="AM77" i="7"/>
  <c r="AM74" i="7"/>
  <c r="AI77" i="7"/>
  <c r="AI74" i="7"/>
  <c r="AE77" i="7"/>
  <c r="AE74" i="7"/>
  <c r="AA77" i="7"/>
  <c r="AA74" i="7"/>
  <c r="W77" i="7"/>
  <c r="W74" i="7"/>
  <c r="S77" i="7"/>
  <c r="S74" i="7"/>
  <c r="CU81" i="7"/>
  <c r="CM81" i="7"/>
  <c r="CI81" i="7"/>
  <c r="CE81" i="7"/>
  <c r="CA81" i="7"/>
  <c r="BV81" i="7"/>
  <c r="BR81" i="7"/>
  <c r="BN81" i="7"/>
  <c r="BI81" i="7"/>
  <c r="BE81" i="7"/>
  <c r="BA81" i="7"/>
  <c r="AV81" i="7"/>
  <c r="AR81" i="7"/>
  <c r="AN81" i="7"/>
  <c r="AJ81" i="7"/>
  <c r="AF81" i="7"/>
  <c r="AB81" i="7"/>
  <c r="X81" i="7"/>
  <c r="T81" i="7"/>
  <c r="P124" i="7"/>
  <c r="AG262" i="6"/>
  <c r="P128" i="7"/>
  <c r="P11" i="7"/>
  <c r="P9" i="7"/>
  <c r="Q7" i="7"/>
  <c r="Q23" i="7" s="1"/>
  <c r="P23" i="7" s="1"/>
  <c r="P7" i="7" l="1"/>
  <c r="CT74" i="7"/>
  <c r="CT81" i="7"/>
  <c r="AE79" i="7"/>
  <c r="AE78" i="7"/>
  <c r="AU79" i="7"/>
  <c r="BT79" i="7"/>
  <c r="BT78" i="7"/>
  <c r="BE78" i="7"/>
  <c r="BE79" i="7"/>
  <c r="BU78" i="7"/>
  <c r="BU79" i="7"/>
  <c r="CL78" i="7"/>
  <c r="CL79" i="7"/>
  <c r="CI79" i="7"/>
  <c r="CI78" i="7"/>
  <c r="AY79" i="7"/>
  <c r="AY78" i="7"/>
  <c r="BO79" i="7"/>
  <c r="BO78" i="7"/>
  <c r="CN79" i="7"/>
  <c r="CN78" i="7"/>
  <c r="S79" i="7"/>
  <c r="S78" i="7"/>
  <c r="AA79" i="7"/>
  <c r="AA78" i="7"/>
  <c r="AI79" i="7"/>
  <c r="AI78" i="7"/>
  <c r="AQ79" i="7"/>
  <c r="AQ78" i="7"/>
  <c r="AZ79" i="7"/>
  <c r="AZ78" i="7"/>
  <c r="BH79" i="7"/>
  <c r="BH78" i="7"/>
  <c r="BP79" i="7"/>
  <c r="BP78" i="7"/>
  <c r="CF79" i="7"/>
  <c r="CF78" i="7"/>
  <c r="BA78" i="7"/>
  <c r="BA79" i="7"/>
  <c r="BI78" i="7"/>
  <c r="BI79" i="7"/>
  <c r="BQ78" i="7"/>
  <c r="BQ79" i="7"/>
  <c r="BY78" i="7"/>
  <c r="BY79" i="7"/>
  <c r="CG78" i="7"/>
  <c r="CG79" i="7"/>
  <c r="CP78" i="7"/>
  <c r="CP79" i="7"/>
  <c r="Q79" i="7"/>
  <c r="Q78" i="7"/>
  <c r="CM79" i="7"/>
  <c r="CM78" i="7"/>
  <c r="CU79" i="7"/>
  <c r="CU78" i="7"/>
  <c r="AV79" i="7"/>
  <c r="AV78" i="7"/>
  <c r="BC79" i="7"/>
  <c r="BC78" i="7"/>
  <c r="BK79" i="7"/>
  <c r="BK78" i="7"/>
  <c r="BS79" i="7"/>
  <c r="CA79" i="7"/>
  <c r="CA78" i="7"/>
  <c r="CJ79" i="7"/>
  <c r="CJ78" i="7"/>
  <c r="CR79" i="7"/>
  <c r="CR78" i="7"/>
  <c r="CK78" i="7"/>
  <c r="CK79" i="7"/>
  <c r="CS78" i="7"/>
  <c r="CS79" i="7"/>
  <c r="T79" i="7"/>
  <c r="T78" i="7"/>
  <c r="AB79" i="7"/>
  <c r="AB78" i="7"/>
  <c r="AJ79" i="7"/>
  <c r="AJ78" i="7"/>
  <c r="AR79" i="7"/>
  <c r="AR78" i="7"/>
  <c r="U78" i="7"/>
  <c r="U79" i="7"/>
  <c r="AC78" i="7"/>
  <c r="AC79" i="7"/>
  <c r="AK78" i="7"/>
  <c r="AK79" i="7"/>
  <c r="AS78" i="7"/>
  <c r="AS79" i="7"/>
  <c r="BB79" i="7"/>
  <c r="BB78" i="7"/>
  <c r="BJ79" i="7"/>
  <c r="BJ78" i="7"/>
  <c r="BR79" i="7"/>
  <c r="BR78" i="7"/>
  <c r="BZ79" i="7"/>
  <c r="BZ78" i="7"/>
  <c r="Z79" i="7"/>
  <c r="Z78" i="7"/>
  <c r="AH79" i="7"/>
  <c r="AH78" i="7"/>
  <c r="AP79" i="7"/>
  <c r="AP78" i="7"/>
  <c r="W79" i="7"/>
  <c r="W78" i="7"/>
  <c r="AM79" i="7"/>
  <c r="AM78" i="7"/>
  <c r="BD79" i="7"/>
  <c r="BD78" i="7"/>
  <c r="BL79" i="7"/>
  <c r="BL78" i="7"/>
  <c r="CB79" i="7"/>
  <c r="CB78" i="7"/>
  <c r="AW78" i="7"/>
  <c r="AW79" i="7"/>
  <c r="BM78" i="7"/>
  <c r="BM79" i="7"/>
  <c r="CC78" i="7"/>
  <c r="CC79" i="7"/>
  <c r="BG79" i="7"/>
  <c r="BG78" i="7"/>
  <c r="BW78" i="7"/>
  <c r="CE79" i="7"/>
  <c r="CE78" i="7"/>
  <c r="CV79" i="7"/>
  <c r="CV78" i="7"/>
  <c r="CO78" i="7"/>
  <c r="CO79" i="7"/>
  <c r="CW78" i="7"/>
  <c r="CW79" i="7"/>
  <c r="X79" i="7"/>
  <c r="X78" i="7"/>
  <c r="AF79" i="7"/>
  <c r="AF78" i="7"/>
  <c r="AN79" i="7"/>
  <c r="AN78" i="7"/>
  <c r="Y78" i="7"/>
  <c r="Y79" i="7"/>
  <c r="AG79" i="7"/>
  <c r="AG78" i="7"/>
  <c r="AO78" i="7"/>
  <c r="AO79" i="7"/>
  <c r="BF79" i="7"/>
  <c r="BF78" i="7"/>
  <c r="BN79" i="7"/>
  <c r="BN78" i="7"/>
  <c r="BV79" i="7"/>
  <c r="BV78" i="7"/>
  <c r="CD79" i="7"/>
  <c r="CD78" i="7"/>
  <c r="V79" i="7"/>
  <c r="V78" i="7"/>
  <c r="AD79" i="7"/>
  <c r="AD78" i="7"/>
  <c r="AL79" i="7"/>
  <c r="AT79" i="7"/>
  <c r="AT78" i="7"/>
  <c r="CA310" i="6" l="1"/>
  <c r="CC310" i="6" s="1"/>
  <c r="AM310" i="6"/>
  <c r="AM309" i="6"/>
  <c r="AM308" i="6"/>
  <c r="AM306" i="6"/>
  <c r="CG305" i="6"/>
  <c r="CA305" i="6"/>
  <c r="CC305" i="6" s="1"/>
  <c r="AM305" i="6"/>
  <c r="AL305" i="6"/>
  <c r="CG304" i="6"/>
  <c r="CA304" i="6"/>
  <c r="CC304" i="6" s="1"/>
  <c r="AO304" i="6"/>
  <c r="AM304" i="6"/>
  <c r="AL304" i="6"/>
  <c r="CG303" i="6"/>
  <c r="CA303" i="6"/>
  <c r="CC303" i="6" s="1"/>
  <c r="BE303" i="6"/>
  <c r="CV141" i="7" s="1"/>
  <c r="BD303" i="6"/>
  <c r="CV140" i="7" s="1"/>
  <c r="BC303" i="6"/>
  <c r="CV139" i="7" s="1"/>
  <c r="BB303" i="6"/>
  <c r="AZ303" i="6"/>
  <c r="AO303" i="6"/>
  <c r="AM303" i="6"/>
  <c r="AL303" i="6"/>
  <c r="CG302" i="6"/>
  <c r="CA302" i="6"/>
  <c r="CC302" i="6" s="1"/>
  <c r="CA301" i="6"/>
  <c r="CC301" i="6" s="1"/>
  <c r="CA300" i="6"/>
  <c r="CC300" i="6" s="1"/>
  <c r="CA299" i="6"/>
  <c r="CC299" i="6" s="1"/>
  <c r="AO299" i="6"/>
  <c r="AL299" i="6"/>
  <c r="CA298" i="6"/>
  <c r="CC298" i="6" s="1"/>
  <c r="CA297" i="6"/>
  <c r="CC297" i="6" s="1"/>
  <c r="CA296" i="6"/>
  <c r="CC296" i="6" s="1"/>
  <c r="CA295" i="6"/>
  <c r="CC295" i="6" s="1"/>
  <c r="AO295" i="6"/>
  <c r="AL295" i="6"/>
  <c r="CA294" i="6"/>
  <c r="CC294" i="6" s="1"/>
  <c r="AO294" i="6"/>
  <c r="AL294" i="6"/>
  <c r="CA293" i="6"/>
  <c r="CC293" i="6" s="1"/>
  <c r="CA292" i="6"/>
  <c r="CC292" i="6" s="1"/>
  <c r="CA291" i="6"/>
  <c r="CC291" i="6" s="1"/>
  <c r="BA291" i="6"/>
  <c r="AO291" i="6"/>
  <c r="AL291" i="6"/>
  <c r="CA290" i="6"/>
  <c r="CC290" i="6" s="1"/>
  <c r="CA289" i="6"/>
  <c r="CC289" i="6" s="1"/>
  <c r="CA288" i="6"/>
  <c r="CC288" i="6" s="1"/>
  <c r="AM288" i="6"/>
  <c r="CA287" i="6"/>
  <c r="CC287" i="6" s="1"/>
  <c r="BB287" i="6"/>
  <c r="AM287" i="6"/>
  <c r="CA286" i="6"/>
  <c r="CC286" i="6" s="1"/>
  <c r="AL286" i="6"/>
  <c r="CA285" i="6"/>
  <c r="CC285" i="6" s="1"/>
  <c r="BB285" i="6"/>
  <c r="AZ285" i="6"/>
  <c r="AM285" i="6"/>
  <c r="AL285" i="6"/>
  <c r="CA284" i="6"/>
  <c r="CC284" i="6" s="1"/>
  <c r="CA283" i="6"/>
  <c r="CC283" i="6" s="1"/>
  <c r="BA283" i="6"/>
  <c r="AK283" i="6"/>
  <c r="CR282" i="6"/>
  <c r="CV38" i="7" s="1"/>
  <c r="CV46" i="7" s="1"/>
  <c r="CG282" i="6"/>
  <c r="CA282" i="6"/>
  <c r="CC282" i="6" s="1"/>
  <c r="CA281" i="6"/>
  <c r="CC281" i="6" s="1"/>
  <c r="CA279" i="6"/>
  <c r="CC279" i="6" s="1"/>
  <c r="CG277" i="6"/>
  <c r="CA277" i="6"/>
  <c r="CC277" i="6" s="1"/>
  <c r="BB277" i="6"/>
  <c r="AO277" i="6"/>
  <c r="AL277" i="6"/>
  <c r="CA274" i="6"/>
  <c r="CC274" i="6" s="1"/>
  <c r="CH272" i="6"/>
  <c r="CA272" i="6"/>
  <c r="CC272" i="6" s="1"/>
  <c r="BA272" i="6"/>
  <c r="BB272" i="6" s="1"/>
  <c r="AN272" i="6"/>
  <c r="AK272" i="6"/>
  <c r="AE272" i="6"/>
  <c r="CH271" i="6"/>
  <c r="CA271" i="6"/>
  <c r="CC271" i="6" s="1"/>
  <c r="BA271" i="6"/>
  <c r="BB271" i="6" s="1"/>
  <c r="AE271" i="6"/>
  <c r="AK271" i="6" s="1"/>
  <c r="AF271" i="6" s="1"/>
  <c r="AG271" i="6" s="1"/>
  <c r="CH270" i="6"/>
  <c r="CA270" i="6"/>
  <c r="CC270" i="6" s="1"/>
  <c r="BA270" i="6"/>
  <c r="BB270" i="6" s="1"/>
  <c r="AK270" i="6"/>
  <c r="AE270" i="6"/>
  <c r="CH269" i="6"/>
  <c r="CA269" i="6"/>
  <c r="CC269" i="6" s="1"/>
  <c r="BA269" i="6"/>
  <c r="BB269" i="6" s="1"/>
  <c r="AN269" i="6"/>
  <c r="AK269" i="6"/>
  <c r="CH268" i="6"/>
  <c r="CA268" i="6"/>
  <c r="CC268" i="6" s="1"/>
  <c r="BA268" i="6"/>
  <c r="BB268" i="6" s="1"/>
  <c r="AN268" i="6"/>
  <c r="AK268" i="6"/>
  <c r="AE268" i="6"/>
  <c r="CH267" i="6"/>
  <c r="CA267" i="6"/>
  <c r="CC267" i="6" s="1"/>
  <c r="BA267" i="6"/>
  <c r="BB267" i="6" s="1"/>
  <c r="AN267" i="6"/>
  <c r="AO267" i="6" s="1"/>
  <c r="AK267" i="6"/>
  <c r="CH266" i="6"/>
  <c r="BQ266" i="6"/>
  <c r="CQ112" i="7" s="1"/>
  <c r="BO266" i="6"/>
  <c r="BB266" i="6"/>
  <c r="AK266" i="6"/>
  <c r="CA265" i="6"/>
  <c r="CC265" i="6" s="1"/>
  <c r="CA263" i="6"/>
  <c r="CC263" i="6" s="1"/>
  <c r="BB263" i="6"/>
  <c r="AM263" i="6"/>
  <c r="AK263" i="6"/>
  <c r="CA262" i="6"/>
  <c r="CC262" i="6" s="1"/>
  <c r="AQ262" i="6"/>
  <c r="CA261" i="6"/>
  <c r="CC261" i="6" s="1"/>
  <c r="CA260" i="6"/>
  <c r="CC260" i="6" s="1"/>
  <c r="CA259" i="6"/>
  <c r="CC259" i="6" s="1"/>
  <c r="CD258" i="6"/>
  <c r="CA258" i="6"/>
  <c r="CC258" i="6" s="1"/>
  <c r="AO258" i="6"/>
  <c r="AL258" i="6"/>
  <c r="CA257" i="6"/>
  <c r="CC257" i="6" s="1"/>
  <c r="CA256" i="6"/>
  <c r="CC256" i="6" s="1"/>
  <c r="CA255" i="6"/>
  <c r="CC255" i="6" s="1"/>
  <c r="BB255" i="6"/>
  <c r="AZ255" i="6"/>
  <c r="AQ255" i="6"/>
  <c r="AM255" i="6"/>
  <c r="AL255" i="6"/>
  <c r="CA254" i="6"/>
  <c r="CC254" i="6" s="1"/>
  <c r="CA252" i="6"/>
  <c r="CC252" i="6" s="1"/>
  <c r="AQ252" i="6"/>
  <c r="AO252" i="6"/>
  <c r="AL252" i="6"/>
  <c r="CA251" i="6"/>
  <c r="CC251" i="6" s="1"/>
  <c r="AQ251" i="6"/>
  <c r="AO251" i="6"/>
  <c r="AL251" i="6"/>
  <c r="CA250" i="6"/>
  <c r="CC250" i="6" s="1"/>
  <c r="AO250" i="6"/>
  <c r="AM250" i="6"/>
  <c r="AL250" i="6"/>
  <c r="CA249" i="6"/>
  <c r="CC249" i="6" s="1"/>
  <c r="AQ249" i="6"/>
  <c r="AO249" i="6"/>
  <c r="AM249" i="6"/>
  <c r="CA248" i="6"/>
  <c r="CC248" i="6" s="1"/>
  <c r="AQ248" i="6"/>
  <c r="AO248" i="6"/>
  <c r="AM248" i="6"/>
  <c r="AL248" i="6"/>
  <c r="CA247" i="6"/>
  <c r="CC247" i="6" s="1"/>
  <c r="AQ247" i="6"/>
  <c r="AO247" i="6"/>
  <c r="AM247" i="6"/>
  <c r="AL247" i="6"/>
  <c r="AD247" i="6"/>
  <c r="AB247" i="6"/>
  <c r="CA246" i="6"/>
  <c r="CC246" i="6" s="1"/>
  <c r="AQ246" i="6"/>
  <c r="AO246" i="6"/>
  <c r="AM246" i="6"/>
  <c r="AL246" i="6"/>
  <c r="CA245" i="6"/>
  <c r="CC245" i="6" s="1"/>
  <c r="CA244" i="6"/>
  <c r="CC244" i="6" s="1"/>
  <c r="CA243" i="6"/>
  <c r="CC243" i="6" s="1"/>
  <c r="CA242" i="6"/>
  <c r="CC242" i="6" s="1"/>
  <c r="CG241" i="6"/>
  <c r="CA241" i="6"/>
  <c r="CC241" i="6" s="1"/>
  <c r="AQ241" i="6"/>
  <c r="AO241" i="6"/>
  <c r="AL241" i="6"/>
  <c r="DS240" i="6"/>
  <c r="CQ56" i="7" s="1"/>
  <c r="DP240" i="6"/>
  <c r="CQ55" i="7" s="1"/>
  <c r="CU240" i="6"/>
  <c r="CQ39" i="7" s="1"/>
  <c r="CQ46" i="7" s="1"/>
  <c r="CO240" i="6"/>
  <c r="CG240" i="6"/>
  <c r="CA240" i="6"/>
  <c r="CC240" i="6" s="1"/>
  <c r="BB240" i="6"/>
  <c r="AZ240" i="6"/>
  <c r="AY240" i="6"/>
  <c r="AQ240" i="6"/>
  <c r="AN240" i="6"/>
  <c r="AM240" i="6"/>
  <c r="AK240" i="6"/>
  <c r="CA239" i="6"/>
  <c r="CC239" i="6" s="1"/>
  <c r="CA238" i="6"/>
  <c r="CC238" i="6" s="1"/>
  <c r="CA237" i="6"/>
  <c r="CC237" i="6" s="1"/>
  <c r="CA236" i="6"/>
  <c r="CC236" i="6" s="1"/>
  <c r="CA235" i="6"/>
  <c r="CC235" i="6" s="1"/>
  <c r="BB235" i="6"/>
  <c r="AO235" i="6"/>
  <c r="AM235" i="6"/>
  <c r="AL235" i="6"/>
  <c r="CA234" i="6"/>
  <c r="CC234" i="6" s="1"/>
  <c r="CA233" i="6"/>
  <c r="CC233" i="6" s="1"/>
  <c r="CG232" i="6"/>
  <c r="CA232" i="6"/>
  <c r="CC232" i="6" s="1"/>
  <c r="BB232" i="6"/>
  <c r="AZ232" i="6"/>
  <c r="AQ232" i="6"/>
  <c r="AM232" i="6"/>
  <c r="AL232" i="6"/>
  <c r="CA231" i="6"/>
  <c r="CC231" i="6" s="1"/>
  <c r="AK231" i="6"/>
  <c r="CA230" i="6"/>
  <c r="CC230" i="6" s="1"/>
  <c r="CA229" i="6"/>
  <c r="CC229" i="6" s="1"/>
  <c r="BB229" i="6"/>
  <c r="AM229" i="6"/>
  <c r="AE229" i="6"/>
  <c r="CA227" i="6"/>
  <c r="CC227" i="6" s="1"/>
  <c r="AK227" i="6"/>
  <c r="AF227" i="6" s="1"/>
  <c r="AE227" i="6"/>
  <c r="AM227" i="6" s="1"/>
  <c r="CA311" i="6"/>
  <c r="CC311" i="6" s="1"/>
  <c r="EE278" i="6"/>
  <c r="CU60" i="7" s="1"/>
  <c r="CA278" i="6"/>
  <c r="CC278" i="6" s="1"/>
  <c r="CU276" i="6"/>
  <c r="CT39" i="7" s="1"/>
  <c r="CT46" i="7" s="1"/>
  <c r="CD276" i="6"/>
  <c r="BZ276" i="6"/>
  <c r="CT130" i="7" s="1"/>
  <c r="BS276" i="6"/>
  <c r="CT116" i="7" s="1"/>
  <c r="P116" i="7" s="1"/>
  <c r="BI276" i="6"/>
  <c r="CT96" i="7" s="1"/>
  <c r="P96" i="7" s="1"/>
  <c r="BH276" i="6"/>
  <c r="CT94" i="7" s="1"/>
  <c r="P94" i="7" s="1"/>
  <c r="BF276" i="6"/>
  <c r="BA276" i="6"/>
  <c r="BB276" i="6" s="1"/>
  <c r="AN276" i="6"/>
  <c r="CT71" i="7" s="1"/>
  <c r="AK276" i="6"/>
  <c r="CT69" i="7" s="1"/>
  <c r="CT70" i="7" s="1"/>
  <c r="AH276" i="6"/>
  <c r="CT67" i="7" s="1"/>
  <c r="AQ276" i="6"/>
  <c r="CA273" i="6"/>
  <c r="CC273" i="6" s="1"/>
  <c r="CA224" i="6"/>
  <c r="CC224" i="6" s="1"/>
  <c r="CA223" i="6"/>
  <c r="CC223" i="6" s="1"/>
  <c r="AO223" i="6"/>
  <c r="AL223" i="6"/>
  <c r="CA219" i="6"/>
  <c r="CC219" i="6" s="1"/>
  <c r="CA218" i="6"/>
  <c r="CC218" i="6" s="1"/>
  <c r="CA217" i="6"/>
  <c r="CC217" i="6" s="1"/>
  <c r="CA216" i="6"/>
  <c r="CC216" i="6" s="1"/>
  <c r="CA215" i="6"/>
  <c r="CC215" i="6" s="1"/>
  <c r="CA214" i="6"/>
  <c r="CC214" i="6" s="1"/>
  <c r="CA213" i="6"/>
  <c r="CC213" i="6" s="1"/>
  <c r="CA212" i="6"/>
  <c r="CC212" i="6" s="1"/>
  <c r="CA211" i="6"/>
  <c r="CC211" i="6" s="1"/>
  <c r="CA210" i="6"/>
  <c r="CC210" i="6" s="1"/>
  <c r="CG209" i="6"/>
  <c r="CA209" i="6"/>
  <c r="CC209" i="6" s="1"/>
  <c r="CA208" i="6"/>
  <c r="CC208" i="6" s="1"/>
  <c r="CA207" i="6"/>
  <c r="CC207" i="6" s="1"/>
  <c r="CA206" i="6"/>
  <c r="CC206" i="6" s="1"/>
  <c r="CA205" i="6"/>
  <c r="CC205" i="6" s="1"/>
  <c r="CA204" i="6"/>
  <c r="CC204" i="6" s="1"/>
  <c r="CA203" i="6"/>
  <c r="CC203" i="6" s="1"/>
  <c r="BB203" i="6"/>
  <c r="AM203" i="6"/>
  <c r="CA202" i="6"/>
  <c r="CC202" i="6" s="1"/>
  <c r="CA201" i="6"/>
  <c r="CC201" i="6" s="1"/>
  <c r="CA200" i="6"/>
  <c r="CC200" i="6" s="1"/>
  <c r="CA199" i="6"/>
  <c r="CC199" i="6" s="1"/>
  <c r="CA198" i="6"/>
  <c r="CC198" i="6" s="1"/>
  <c r="CA197" i="6"/>
  <c r="CC197" i="6" s="1"/>
  <c r="CA196" i="6"/>
  <c r="CC196" i="6" s="1"/>
  <c r="CA192" i="6"/>
  <c r="CC192" i="6" s="1"/>
  <c r="CA191" i="6"/>
  <c r="CC191" i="6" s="1"/>
  <c r="CG190" i="6"/>
  <c r="CA190" i="6"/>
  <c r="CC190" i="6" s="1"/>
  <c r="AQ190" i="6"/>
  <c r="AO190" i="6"/>
  <c r="AK190" i="6"/>
  <c r="CM69" i="7" s="1"/>
  <c r="CM70" i="7" s="1"/>
  <c r="CA189" i="6"/>
  <c r="CC189" i="6" s="1"/>
  <c r="CG186" i="6"/>
  <c r="CA186" i="6"/>
  <c r="CC186" i="6" s="1"/>
  <c r="CA185" i="6"/>
  <c r="CC185" i="6" s="1"/>
  <c r="CA172" i="6"/>
  <c r="CC172" i="6" s="1"/>
  <c r="CA171" i="6"/>
  <c r="CC171" i="6" s="1"/>
  <c r="CC170" i="6"/>
  <c r="BB170" i="6"/>
  <c r="CG165" i="6"/>
  <c r="CA165" i="6"/>
  <c r="CC165" i="6" s="1"/>
  <c r="AQ165" i="6"/>
  <c r="AO165" i="6"/>
  <c r="AL165" i="6"/>
  <c r="CA163" i="6"/>
  <c r="CC163" i="6" s="1"/>
  <c r="CG162" i="6"/>
  <c r="CA162" i="6"/>
  <c r="CC162" i="6" s="1"/>
  <c r="AO162" i="6"/>
  <c r="AL162" i="6"/>
  <c r="CG161" i="6"/>
  <c r="CA161" i="6"/>
  <c r="CC161" i="6" s="1"/>
  <c r="CA160" i="6"/>
  <c r="CC160" i="6" s="1"/>
  <c r="CG159" i="6"/>
  <c r="CA159" i="6"/>
  <c r="CC159" i="6" s="1"/>
  <c r="AQ159" i="6"/>
  <c r="AO159" i="6"/>
  <c r="AL159" i="6"/>
  <c r="CA147" i="6"/>
  <c r="CC147" i="6" s="1"/>
  <c r="CA146" i="6"/>
  <c r="CC146" i="6" s="1"/>
  <c r="CA145" i="6"/>
  <c r="CC145" i="6" s="1"/>
  <c r="CA144" i="6"/>
  <c r="CC144" i="6" s="1"/>
  <c r="CA143" i="6"/>
  <c r="CC143" i="6" s="1"/>
  <c r="BB143" i="6"/>
  <c r="BA143" i="6"/>
  <c r="CA142" i="6"/>
  <c r="CC142" i="6" s="1"/>
  <c r="CA141" i="6"/>
  <c r="CC141" i="6" s="1"/>
  <c r="CA137" i="6"/>
  <c r="CC137" i="6" s="1"/>
  <c r="AQ137" i="6"/>
  <c r="AO137" i="6"/>
  <c r="CA132" i="6"/>
  <c r="CC132" i="6" s="1"/>
  <c r="CA127" i="6"/>
  <c r="CC127" i="6" s="1"/>
  <c r="CA126" i="6"/>
  <c r="CC126" i="6" s="1"/>
  <c r="CA125" i="6"/>
  <c r="CC125" i="6" s="1"/>
  <c r="CA124" i="6"/>
  <c r="CC124" i="6" s="1"/>
  <c r="CA123" i="6"/>
  <c r="CC123" i="6" s="1"/>
  <c r="CA122" i="6"/>
  <c r="CC122" i="6" s="1"/>
  <c r="BB122" i="6"/>
  <c r="AQ122" i="6"/>
  <c r="AO122" i="6"/>
  <c r="AM122" i="6"/>
  <c r="AL122" i="6"/>
  <c r="CA121" i="6"/>
  <c r="CC121" i="6" s="1"/>
  <c r="CA120" i="6"/>
  <c r="CC120" i="6" s="1"/>
  <c r="CA119" i="6"/>
  <c r="CC119" i="6" s="1"/>
  <c r="CA118" i="6"/>
  <c r="CC118" i="6" s="1"/>
  <c r="CA117" i="6"/>
  <c r="CC117" i="6" s="1"/>
  <c r="CA116" i="6"/>
  <c r="CC116" i="6" s="1"/>
  <c r="CA115" i="6"/>
  <c r="CC115" i="6" s="1"/>
  <c r="CA114" i="6"/>
  <c r="CC114" i="6" s="1"/>
  <c r="CA113" i="6"/>
  <c r="CC113" i="6" s="1"/>
  <c r="CA111" i="6"/>
  <c r="CC111" i="6" s="1"/>
  <c r="CG108" i="6"/>
  <c r="CA108" i="6"/>
  <c r="CC108" i="6" s="1"/>
  <c r="AL108" i="6"/>
  <c r="CG107" i="6"/>
  <c r="CA107" i="6"/>
  <c r="CC107" i="6" s="1"/>
  <c r="CG106" i="6"/>
  <c r="CA106" i="6"/>
  <c r="CC106" i="6" s="1"/>
  <c r="BB106" i="6"/>
  <c r="AM106" i="6"/>
  <c r="CG105" i="6"/>
  <c r="CA105" i="6"/>
  <c r="CC105" i="6" s="1"/>
  <c r="AM105" i="6"/>
  <c r="AL105" i="6"/>
  <c r="CA104" i="6"/>
  <c r="CC104" i="6" s="1"/>
  <c r="AL104" i="6"/>
  <c r="CA103" i="6"/>
  <c r="CC103" i="6" s="1"/>
  <c r="AQ103" i="6"/>
  <c r="AM103" i="6"/>
  <c r="AL103" i="6"/>
  <c r="CA95" i="6"/>
  <c r="CC95" i="6" s="1"/>
  <c r="CA81" i="6"/>
  <c r="CC81" i="6" s="1"/>
  <c r="CA80" i="6"/>
  <c r="CC80" i="6" s="1"/>
  <c r="CA77" i="6"/>
  <c r="CC77" i="6" s="1"/>
  <c r="CA72" i="6"/>
  <c r="CC72" i="6" s="1"/>
  <c r="CA70" i="6"/>
  <c r="CC70" i="6" s="1"/>
  <c r="DS69" i="6"/>
  <c r="AV56" i="7" s="1"/>
  <c r="AV63" i="7" s="1"/>
  <c r="CU69" i="6"/>
  <c r="AV39" i="7" s="1"/>
  <c r="AV46" i="7" s="1"/>
  <c r="CA69" i="6"/>
  <c r="CC69" i="6" s="1"/>
  <c r="AQ69" i="6"/>
  <c r="AO69" i="6"/>
  <c r="CA54" i="6"/>
  <c r="CC54" i="6" s="1"/>
  <c r="CD53" i="6"/>
  <c r="AN145" i="7" s="1"/>
  <c r="AN146" i="7" s="1"/>
  <c r="CA53" i="6"/>
  <c r="CC53" i="6" s="1"/>
  <c r="CA51" i="6"/>
  <c r="CC51" i="6" s="1"/>
  <c r="CG47" i="6"/>
  <c r="CA47" i="6"/>
  <c r="CC47" i="6" s="1"/>
  <c r="BB47" i="6"/>
  <c r="AE47" i="6"/>
  <c r="CA46" i="6"/>
  <c r="CC46" i="6" s="1"/>
  <c r="AL46" i="6"/>
  <c r="CA30" i="6"/>
  <c r="CC30" i="6" s="1"/>
  <c r="CA23" i="6"/>
  <c r="CC23" i="6" s="1"/>
  <c r="CA22" i="6"/>
  <c r="CC22" i="6" s="1"/>
  <c r="CA21" i="6"/>
  <c r="CC21" i="6" s="1"/>
  <c r="CA13" i="6"/>
  <c r="CC13" i="6" s="1"/>
  <c r="BE13" i="6"/>
  <c r="U141" i="7" s="1"/>
  <c r="BD13" i="6"/>
  <c r="U140" i="7" s="1"/>
  <c r="BC13" i="6"/>
  <c r="U139" i="7" s="1"/>
  <c r="CQ71" i="7" l="1"/>
  <c r="CQ77" i="7" s="1"/>
  <c r="CQ66" i="7"/>
  <c r="P60" i="7"/>
  <c r="CU63" i="7"/>
  <c r="CG276" i="6"/>
  <c r="CT145" i="7"/>
  <c r="CT146" i="7" s="1"/>
  <c r="CQ63" i="7"/>
  <c r="P55" i="7"/>
  <c r="CT72" i="7"/>
  <c r="CT77" i="7"/>
  <c r="CT84" i="7"/>
  <c r="CT68" i="7"/>
  <c r="AL64" i="7"/>
  <c r="AL66" i="7"/>
  <c r="P140" i="7"/>
  <c r="K88" i="8" s="1"/>
  <c r="P139" i="7"/>
  <c r="K87" i="8" s="1"/>
  <c r="AF283" i="6"/>
  <c r="AG283" i="6" s="1"/>
  <c r="CV69" i="7"/>
  <c r="CV70" i="7" s="1"/>
  <c r="CQ64" i="7"/>
  <c r="CB276" i="6"/>
  <c r="CT90" i="7"/>
  <c r="CT132" i="7" s="1"/>
  <c r="CQ69" i="7"/>
  <c r="CQ108" i="7"/>
  <c r="CQ132" i="7" s="1"/>
  <c r="CB266" i="6"/>
  <c r="AF276" i="6"/>
  <c r="AG276" i="6" s="1"/>
  <c r="AM269" i="6"/>
  <c r="AF269" i="6"/>
  <c r="AG269" i="6" s="1"/>
  <c r="AG227" i="6"/>
  <c r="AL263" i="6"/>
  <c r="AF263" i="6"/>
  <c r="AG263" i="6" s="1"/>
  <c r="AM268" i="6"/>
  <c r="AF268" i="6"/>
  <c r="AG268" i="6" s="1"/>
  <c r="AM272" i="6"/>
  <c r="AF272" i="6"/>
  <c r="AG272" i="6" s="1"/>
  <c r="AL190" i="6"/>
  <c r="AF190" i="6"/>
  <c r="AG190" i="6" s="1"/>
  <c r="AL267" i="6"/>
  <c r="AF267" i="6"/>
  <c r="AG267" i="6" s="1"/>
  <c r="AL69" i="6"/>
  <c r="AF69" i="6"/>
  <c r="AG69" i="6" s="1"/>
  <c r="AM266" i="6"/>
  <c r="AF266" i="6"/>
  <c r="AG266" i="6" s="1"/>
  <c r="AF240" i="6"/>
  <c r="AG240" i="6" s="1"/>
  <c r="AM270" i="6"/>
  <c r="AF270" i="6"/>
  <c r="AG270" i="6" s="1"/>
  <c r="AZ231" i="6"/>
  <c r="AF231" i="6"/>
  <c r="AL47" i="6"/>
  <c r="AG47" i="6"/>
  <c r="AQ229" i="6"/>
  <c r="AG229" i="6"/>
  <c r="CA266" i="6"/>
  <c r="CC266" i="6" s="1"/>
  <c r="AO240" i="6"/>
  <c r="AO272" i="6"/>
  <c r="AL262" i="6"/>
  <c r="AO268" i="6"/>
  <c r="AL269" i="6"/>
  <c r="AM262" i="6"/>
  <c r="AM267" i="6"/>
  <c r="AO262" i="6"/>
  <c r="AL227" i="6"/>
  <c r="AL240" i="6"/>
  <c r="AL270" i="6"/>
  <c r="AL268" i="6"/>
  <c r="AO269" i="6"/>
  <c r="AL272" i="6"/>
  <c r="AL271" i="6"/>
  <c r="AM271" i="6"/>
  <c r="AL229" i="6"/>
  <c r="AL231" i="6"/>
  <c r="AL276" i="6"/>
  <c r="AO276" i="6"/>
  <c r="CA276" i="6"/>
  <c r="AI276" i="6"/>
  <c r="AJ276" i="6"/>
  <c r="CT82" i="7" s="1"/>
  <c r="AO47" i="6"/>
  <c r="CD130" i="6"/>
  <c r="BQ130" i="6"/>
  <c r="BO112" i="7" s="1"/>
  <c r="BM130" i="6"/>
  <c r="BO104" i="7" s="1"/>
  <c r="BL130" i="6"/>
  <c r="BB130" i="6"/>
  <c r="AQ130" i="6"/>
  <c r="AO130" i="6"/>
  <c r="AL130" i="6"/>
  <c r="AJ130" i="6"/>
  <c r="AI130" i="6"/>
  <c r="P71" i="7" l="1"/>
  <c r="CG130" i="6"/>
  <c r="BO145" i="7"/>
  <c r="CQ83" i="7"/>
  <c r="CQ68" i="7"/>
  <c r="CQ74" i="7"/>
  <c r="CQ81" i="7"/>
  <c r="CQ79" i="7"/>
  <c r="CQ78" i="7"/>
  <c r="CT78" i="7"/>
  <c r="CT79" i="7"/>
  <c r="AL83" i="7"/>
  <c r="AL81" i="7"/>
  <c r="AL68" i="7"/>
  <c r="AL72" i="7"/>
  <c r="AL74" i="7"/>
  <c r="AL70" i="7"/>
  <c r="AL78" i="7"/>
  <c r="CQ70" i="7"/>
  <c r="CQ72" i="7"/>
  <c r="P66" i="7"/>
  <c r="CC276" i="6"/>
  <c r="P108" i="7"/>
  <c r="BO102" i="7"/>
  <c r="BO132" i="7" s="1"/>
  <c r="CB130" i="6"/>
  <c r="AO231" i="6"/>
  <c r="AG231" i="6"/>
  <c r="CA130" i="6"/>
  <c r="CG129" i="6"/>
  <c r="CA129" i="6"/>
  <c r="CC129" i="6" s="1"/>
  <c r="BB129" i="6"/>
  <c r="AS129" i="6"/>
  <c r="AQ129" i="6"/>
  <c r="AO129" i="6"/>
  <c r="AL129" i="6"/>
  <c r="AJ129" i="6"/>
  <c r="AI129" i="6"/>
  <c r="CC130" i="6" l="1"/>
  <c r="CG128" i="6"/>
  <c r="CA128" i="6"/>
  <c r="CC128" i="6" s="1"/>
  <c r="BB128" i="6"/>
  <c r="AS128" i="6"/>
  <c r="AL128" i="6"/>
  <c r="AJ128" i="6"/>
  <c r="BO82" i="7" s="1"/>
  <c r="AI128" i="6"/>
  <c r="CA92" i="6" l="1"/>
  <c r="CC92" i="6" s="1"/>
  <c r="CA100" i="6"/>
  <c r="CC100" i="6" s="1"/>
  <c r="CG226" i="6"/>
  <c r="CA226" i="6"/>
  <c r="CC226" i="6" s="1"/>
  <c r="CA222" i="6"/>
  <c r="CC222" i="6" s="1"/>
  <c r="AZ222" i="6"/>
  <c r="AS222" i="6"/>
  <c r="AQ222" i="6"/>
  <c r="AO222" i="6"/>
  <c r="AL222" i="6"/>
  <c r="AI222" i="6"/>
  <c r="CA221" i="6"/>
  <c r="CC221" i="6" s="1"/>
  <c r="CA220" i="6"/>
  <c r="CC220" i="6" s="1"/>
  <c r="ED195" i="6"/>
  <c r="CF195" i="6"/>
  <c r="CA195" i="6"/>
  <c r="CC195" i="6" s="1"/>
  <c r="CA194" i="6"/>
  <c r="CC194" i="6" s="1"/>
  <c r="CA193" i="6"/>
  <c r="CC193" i="6" s="1"/>
  <c r="CA188" i="6"/>
  <c r="CC188" i="6" s="1"/>
  <c r="CA187" i="6"/>
  <c r="CC187" i="6" s="1"/>
  <c r="CG184" i="6"/>
  <c r="CA184" i="6"/>
  <c r="CC184" i="6" s="1"/>
  <c r="CG183" i="6"/>
  <c r="CA183" i="6"/>
  <c r="CC183" i="6" s="1"/>
  <c r="BB183" i="6"/>
  <c r="AZ183" i="6"/>
  <c r="AS183" i="6"/>
  <c r="AO183" i="6"/>
  <c r="AL183" i="6"/>
  <c r="AI183" i="6"/>
  <c r="CA181" i="6"/>
  <c r="CC181" i="6" s="1"/>
  <c r="CG180" i="6"/>
  <c r="CA180" i="6"/>
  <c r="CC180" i="6" s="1"/>
  <c r="AQ180" i="6"/>
  <c r="AO180" i="6"/>
  <c r="AL180" i="6"/>
  <c r="AI180" i="6"/>
  <c r="CH179" i="6"/>
  <c r="CA179" i="6"/>
  <c r="CC179" i="6" s="1"/>
  <c r="AP179" i="6"/>
  <c r="CH73" i="7" s="1"/>
  <c r="AO179" i="6"/>
  <c r="AL179" i="6"/>
  <c r="AI179" i="6"/>
  <c r="CA178" i="6"/>
  <c r="CC178" i="6" s="1"/>
  <c r="CA177" i="6"/>
  <c r="CC177" i="6" s="1"/>
  <c r="CA176" i="6"/>
  <c r="CC176" i="6" s="1"/>
  <c r="CA175" i="6"/>
  <c r="CC175" i="6" s="1"/>
  <c r="CA174" i="6"/>
  <c r="CC174" i="6" s="1"/>
  <c r="CA173" i="6"/>
  <c r="CC173" i="6" s="1"/>
  <c r="CG169" i="6"/>
  <c r="CA169" i="6"/>
  <c r="CC169" i="6" s="1"/>
  <c r="BB169" i="6"/>
  <c r="AZ169" i="6"/>
  <c r="AO169" i="6"/>
  <c r="AL169" i="6"/>
  <c r="AJ169" i="6"/>
  <c r="CE82" i="7" s="1"/>
  <c r="AI169" i="6"/>
  <c r="CA168" i="6"/>
  <c r="CC168" i="6" s="1"/>
  <c r="CA166" i="6"/>
  <c r="CC166" i="6" s="1"/>
  <c r="CG158" i="6"/>
  <c r="CA158" i="6"/>
  <c r="CC158" i="6" s="1"/>
  <c r="BB158" i="6"/>
  <c r="AS158" i="6"/>
  <c r="AQ158" i="6"/>
  <c r="AL158" i="6"/>
  <c r="AJ158" i="6"/>
  <c r="AI158" i="6"/>
  <c r="DM157" i="6"/>
  <c r="CA45" i="7" s="1"/>
  <c r="CU157" i="6"/>
  <c r="CA39" i="7" s="1"/>
  <c r="CR157" i="6"/>
  <c r="CA38" i="7" s="1"/>
  <c r="CG157" i="6"/>
  <c r="CA157" i="6"/>
  <c r="CC157" i="6" s="1"/>
  <c r="BB157" i="6"/>
  <c r="AS157" i="6"/>
  <c r="AQ157" i="6"/>
  <c r="AO157" i="6"/>
  <c r="AL157" i="6"/>
  <c r="AJ157" i="6"/>
  <c r="AI157" i="6"/>
  <c r="CG156" i="6"/>
  <c r="CA156" i="6"/>
  <c r="CC156" i="6" s="1"/>
  <c r="BB156" i="6"/>
  <c r="AQ156" i="6"/>
  <c r="AO156" i="6"/>
  <c r="AL156" i="6"/>
  <c r="AJ156" i="6"/>
  <c r="CA82" i="7" s="1"/>
  <c r="AI156" i="6"/>
  <c r="CA155" i="6"/>
  <c r="CC155" i="6" s="1"/>
  <c r="CA154" i="6"/>
  <c r="CC154" i="6" s="1"/>
  <c r="CA153" i="6"/>
  <c r="CC153" i="6" s="1"/>
  <c r="CA152" i="6"/>
  <c r="CC152" i="6" s="1"/>
  <c r="CA151" i="6"/>
  <c r="CC151" i="6" s="1"/>
  <c r="AY151" i="6"/>
  <c r="AR151" i="6"/>
  <c r="BX80" i="7" s="1"/>
  <c r="AH151" i="6"/>
  <c r="AE151" i="6"/>
  <c r="CG150" i="6"/>
  <c r="CA150" i="6"/>
  <c r="CC150" i="6" s="1"/>
  <c r="BB150" i="6"/>
  <c r="AJ150" i="6"/>
  <c r="EB149" i="6"/>
  <c r="BW59" i="7" s="1"/>
  <c r="CH149" i="6"/>
  <c r="CD149" i="6"/>
  <c r="BZ149" i="6"/>
  <c r="BW130" i="7" s="1"/>
  <c r="P130" i="7" s="1"/>
  <c r="BX149" i="6"/>
  <c r="BW126" i="7" s="1"/>
  <c r="P126" i="7" s="1"/>
  <c r="BQ149" i="6"/>
  <c r="BW112" i="7" s="1"/>
  <c r="BP149" i="6"/>
  <c r="BW110" i="7" s="1"/>
  <c r="P110" i="7" s="1"/>
  <c r="BN149" i="6"/>
  <c r="BW106" i="7" s="1"/>
  <c r="BM149" i="6"/>
  <c r="BW104" i="7" s="1"/>
  <c r="P104" i="7" s="1"/>
  <c r="BL149" i="6"/>
  <c r="BW102" i="7" s="1"/>
  <c r="BK149" i="6"/>
  <c r="BW100" i="7" s="1"/>
  <c r="P100" i="7" s="1"/>
  <c r="BG149" i="6"/>
  <c r="BE149" i="6"/>
  <c r="BW141" i="7" s="1"/>
  <c r="P141" i="7" s="1"/>
  <c r="K89" i="8" s="1"/>
  <c r="BB149" i="6"/>
  <c r="AJ149" i="6"/>
  <c r="AH149" i="6"/>
  <c r="AF149" i="6" s="1"/>
  <c r="AG149" i="6" s="1"/>
  <c r="ES148" i="6"/>
  <c r="CI148" i="6"/>
  <c r="CH148" i="6"/>
  <c r="CF148" i="6"/>
  <c r="CE148" i="6"/>
  <c r="CD148" i="6"/>
  <c r="CA148" i="6"/>
  <c r="CC148" i="6" s="1"/>
  <c r="AJ148" i="6"/>
  <c r="AH148" i="6"/>
  <c r="AD148" i="6"/>
  <c r="AB148" i="6"/>
  <c r="P148" i="6"/>
  <c r="CA139" i="6"/>
  <c r="CC139" i="6" s="1"/>
  <c r="BB139" i="6"/>
  <c r="AJ139" i="6"/>
  <c r="BU82" i="7" s="1"/>
  <c r="CA138" i="6"/>
  <c r="CC138" i="6" s="1"/>
  <c r="AZ138" i="6"/>
  <c r="CA136" i="6"/>
  <c r="CC136" i="6" s="1"/>
  <c r="CG135" i="6"/>
  <c r="CA135" i="6"/>
  <c r="CC135" i="6" s="1"/>
  <c r="BB135" i="6"/>
  <c r="AJ135" i="6"/>
  <c r="BS82" i="7" s="1"/>
  <c r="AE135" i="6"/>
  <c r="CA133" i="6"/>
  <c r="CC133" i="6" s="1"/>
  <c r="BB133" i="6"/>
  <c r="AQ133" i="6"/>
  <c r="AO133" i="6"/>
  <c r="AL133" i="6"/>
  <c r="AJ133" i="6"/>
  <c r="BQ82" i="7" s="1"/>
  <c r="AI133" i="6"/>
  <c r="CG112" i="6"/>
  <c r="CA112" i="6"/>
  <c r="CC112" i="6" s="1"/>
  <c r="BB112" i="6"/>
  <c r="AQ112" i="6"/>
  <c r="AO112" i="6"/>
  <c r="AL112" i="6"/>
  <c r="AJ112" i="6"/>
  <c r="BN82" i="7" s="1"/>
  <c r="AI112" i="6"/>
  <c r="CA110" i="6"/>
  <c r="CC110" i="6" s="1"/>
  <c r="AS110" i="6"/>
  <c r="AQ110" i="6"/>
  <c r="AL110" i="6"/>
  <c r="AJ110" i="6"/>
  <c r="BM82" i="7" s="1"/>
  <c r="AI110" i="6"/>
  <c r="CA102" i="6"/>
  <c r="CC102" i="6" s="1"/>
  <c r="AR102" i="6"/>
  <c r="BK80" i="7" s="1"/>
  <c r="BK81" i="7" s="1"/>
  <c r="AO102" i="6"/>
  <c r="AL102" i="6"/>
  <c r="AI102" i="6"/>
  <c r="CA101" i="6"/>
  <c r="CC101" i="6" s="1"/>
  <c r="BB101" i="6"/>
  <c r="AJ101" i="6"/>
  <c r="CA99" i="6"/>
  <c r="CC99" i="6" s="1"/>
  <c r="CA98" i="6"/>
  <c r="CC98" i="6" s="1"/>
  <c r="AJ98" i="6"/>
  <c r="CA97" i="6"/>
  <c r="CC97" i="6" s="1"/>
  <c r="BB97" i="6"/>
  <c r="AJ97" i="6"/>
  <c r="CA96" i="6"/>
  <c r="CC96" i="6" s="1"/>
  <c r="CA94" i="6"/>
  <c r="CC94" i="6" s="1"/>
  <c r="BQ93" i="6"/>
  <c r="BJ112" i="7" s="1"/>
  <c r="BN93" i="6"/>
  <c r="BJ106" i="7" s="1"/>
  <c r="BL93" i="6"/>
  <c r="BJ102" i="7" s="1"/>
  <c r="BG93" i="6"/>
  <c r="BJ92" i="7" s="1"/>
  <c r="BF93" i="6"/>
  <c r="CA91" i="6"/>
  <c r="CC91" i="6" s="1"/>
  <c r="BB91" i="6"/>
  <c r="AJ91" i="6"/>
  <c r="BH82" i="7" s="1"/>
  <c r="CA90" i="6"/>
  <c r="CC90" i="6" s="1"/>
  <c r="CG87" i="6"/>
  <c r="CA87" i="6"/>
  <c r="CC87" i="6" s="1"/>
  <c r="BB87" i="6"/>
  <c r="AJ87" i="6"/>
  <c r="EX86" i="6"/>
  <c r="CG86" i="6"/>
  <c r="CA86" i="6"/>
  <c r="CC86" i="6" s="1"/>
  <c r="BA86" i="6"/>
  <c r="BB86" i="6" s="1"/>
  <c r="AS86" i="6"/>
  <c r="AO86" i="6"/>
  <c r="AL86" i="6"/>
  <c r="AJ86" i="6"/>
  <c r="BD82" i="7" s="1"/>
  <c r="AI86" i="6"/>
  <c r="CA84" i="6"/>
  <c r="CC84" i="6" s="1"/>
  <c r="CA83" i="6"/>
  <c r="CC83" i="6" s="1"/>
  <c r="CA82" i="6"/>
  <c r="CC82" i="6" s="1"/>
  <c r="CA78" i="6"/>
  <c r="CC78" i="6" s="1"/>
  <c r="CA76" i="6"/>
  <c r="CC76" i="6" s="1"/>
  <c r="BA76" i="6"/>
  <c r="AY76" i="6"/>
  <c r="AK76" i="6"/>
  <c r="AX69" i="7" s="1"/>
  <c r="AH76" i="6"/>
  <c r="CA75" i="6"/>
  <c r="CC75" i="6" s="1"/>
  <c r="AE75" i="6"/>
  <c r="CA68" i="6"/>
  <c r="CC68" i="6" s="1"/>
  <c r="CG67" i="6"/>
  <c r="CA67" i="6"/>
  <c r="CC67" i="6" s="1"/>
  <c r="BB67" i="6"/>
  <c r="AO67" i="6"/>
  <c r="AL67" i="6"/>
  <c r="AJ67" i="6"/>
  <c r="AI67" i="6"/>
  <c r="CG66" i="6"/>
  <c r="CA66" i="6"/>
  <c r="CC66" i="6" s="1"/>
  <c r="BB66" i="6"/>
  <c r="AJ66" i="6"/>
  <c r="AE66" i="6"/>
  <c r="CA65" i="6"/>
  <c r="CC65" i="6" s="1"/>
  <c r="BB65" i="6"/>
  <c r="AO65" i="6"/>
  <c r="AL65" i="6"/>
  <c r="AJ65" i="6"/>
  <c r="AI65" i="6"/>
  <c r="CG64" i="6"/>
  <c r="CA64" i="6"/>
  <c r="CC64" i="6" s="1"/>
  <c r="BB64" i="6"/>
  <c r="AS64" i="6"/>
  <c r="AQ64" i="6"/>
  <c r="AL64" i="6"/>
  <c r="AJ64" i="6"/>
  <c r="AI64" i="6"/>
  <c r="CA63" i="6"/>
  <c r="CC63" i="6" s="1"/>
  <c r="CA59" i="6"/>
  <c r="CC59" i="6" s="1"/>
  <c r="CG58" i="6"/>
  <c r="CA58" i="6"/>
  <c r="CC58" i="6" s="1"/>
  <c r="AQ58" i="6"/>
  <c r="AO58" i="6"/>
  <c r="AL58" i="6"/>
  <c r="AI58" i="6"/>
  <c r="CG57" i="6"/>
  <c r="CA57" i="6"/>
  <c r="CC57" i="6" s="1"/>
  <c r="AO57" i="6"/>
  <c r="AL57" i="6"/>
  <c r="AI57" i="6"/>
  <c r="BQ50" i="6"/>
  <c r="AQ50" i="6"/>
  <c r="AO50" i="6"/>
  <c r="AL50" i="6"/>
  <c r="AI50" i="6"/>
  <c r="CG49" i="6"/>
  <c r="CA49" i="6"/>
  <c r="CC49" i="6" s="1"/>
  <c r="BB49" i="6"/>
  <c r="AZ49" i="6"/>
  <c r="AQ49" i="6"/>
  <c r="AO49" i="6"/>
  <c r="AL49" i="6"/>
  <c r="AJ49" i="6"/>
  <c r="AI49" i="6"/>
  <c r="CG48" i="6"/>
  <c r="CA48" i="6"/>
  <c r="CC48" i="6" s="1"/>
  <c r="BB48" i="6"/>
  <c r="AZ48" i="6"/>
  <c r="AS48" i="6"/>
  <c r="AQ48" i="6"/>
  <c r="AO48" i="6"/>
  <c r="AL48" i="6"/>
  <c r="AJ48" i="6"/>
  <c r="AI48" i="6"/>
  <c r="DM45" i="6"/>
  <c r="AL45" i="7" s="1"/>
  <c r="CG45" i="6"/>
  <c r="CA45" i="6"/>
  <c r="CC45" i="6" s="1"/>
  <c r="AS45" i="6"/>
  <c r="AO45" i="6"/>
  <c r="AL45" i="6"/>
  <c r="AI45" i="6"/>
  <c r="CG44" i="6"/>
  <c r="CA44" i="6"/>
  <c r="CC44" i="6" s="1"/>
  <c r="CG43" i="6"/>
  <c r="CA43" i="6"/>
  <c r="CC43" i="6" s="1"/>
  <c r="AS43" i="6"/>
  <c r="AO43" i="6"/>
  <c r="AL43" i="6"/>
  <c r="AJ43" i="6"/>
  <c r="AK82" i="7" s="1"/>
  <c r="AI43" i="6"/>
  <c r="CA42" i="6"/>
  <c r="CC42" i="6" s="1"/>
  <c r="CA41" i="6"/>
  <c r="CC41" i="6" s="1"/>
  <c r="CA40" i="6"/>
  <c r="CC40" i="6" s="1"/>
  <c r="AQ40" i="6"/>
  <c r="AO40" i="6"/>
  <c r="AL40" i="6"/>
  <c r="AI40" i="6"/>
  <c r="DS39" i="6"/>
  <c r="AG56" i="7" s="1"/>
  <c r="CU39" i="6"/>
  <c r="AG39" i="7" s="1"/>
  <c r="P39" i="7" s="1"/>
  <c r="CR39" i="6"/>
  <c r="AG38" i="7" s="1"/>
  <c r="CA39" i="6"/>
  <c r="CC39" i="6" s="1"/>
  <c r="AY39" i="6"/>
  <c r="CA37" i="6"/>
  <c r="CC37" i="6" s="1"/>
  <c r="CA36" i="6"/>
  <c r="CC36" i="6" s="1"/>
  <c r="AQ36" i="6"/>
  <c r="AL36" i="6"/>
  <c r="AI36" i="6"/>
  <c r="CA34" i="6"/>
  <c r="CC34" i="6" s="1"/>
  <c r="AJ34" i="6"/>
  <c r="CD33" i="6"/>
  <c r="CA33" i="6"/>
  <c r="CC33" i="6" s="1"/>
  <c r="BB33" i="6"/>
  <c r="AZ33" i="6"/>
  <c r="AQ33" i="6"/>
  <c r="AO33" i="6"/>
  <c r="AJ33" i="6"/>
  <c r="AI33" i="6"/>
  <c r="CG31" i="6"/>
  <c r="CA31" i="6"/>
  <c r="CC31" i="6" s="1"/>
  <c r="BB31" i="6"/>
  <c r="AQ31" i="6"/>
  <c r="AO31" i="6"/>
  <c r="AL31" i="6"/>
  <c r="AJ31" i="6"/>
  <c r="AB82" i="7" s="1"/>
  <c r="AI31" i="6"/>
  <c r="CA29" i="6"/>
  <c r="CC29" i="6" s="1"/>
  <c r="CG28" i="6"/>
  <c r="CA28" i="6"/>
  <c r="CC28" i="6" s="1"/>
  <c r="AS28" i="6"/>
  <c r="AQ28" i="6"/>
  <c r="AO28" i="6"/>
  <c r="AL28" i="6"/>
  <c r="AI28" i="6"/>
  <c r="CA27" i="6"/>
  <c r="CC27" i="6" s="1"/>
  <c r="AS27" i="6"/>
  <c r="AO27" i="6"/>
  <c r="AL27" i="6"/>
  <c r="AI27" i="6"/>
  <c r="CA26" i="6"/>
  <c r="CC26" i="6" s="1"/>
  <c r="CA25" i="6"/>
  <c r="CC25" i="6" s="1"/>
  <c r="CA19" i="6"/>
  <c r="CC19" i="6" s="1"/>
  <c r="CA18" i="6"/>
  <c r="CC18" i="6" s="1"/>
  <c r="CA17" i="6"/>
  <c r="CC17" i="6" s="1"/>
  <c r="CA11" i="6"/>
  <c r="CC11" i="6" s="1"/>
  <c r="CG10" i="6"/>
  <c r="CC10" i="6"/>
  <c r="BB10" i="6"/>
  <c r="AQ10" i="6"/>
  <c r="AO10" i="6"/>
  <c r="AL10" i="6"/>
  <c r="AI10" i="6"/>
  <c r="CA9" i="6"/>
  <c r="CC9" i="6" s="1"/>
  <c r="CG8" i="6"/>
  <c r="BB8" i="6"/>
  <c r="AZ8" i="6"/>
  <c r="AS8" i="6"/>
  <c r="AQ8" i="6"/>
  <c r="AO8" i="6"/>
  <c r="AL8" i="6"/>
  <c r="AJ8" i="6"/>
  <c r="AI8" i="6"/>
  <c r="CG7" i="6"/>
  <c r="CA7" i="6"/>
  <c r="CC7" i="6" s="1"/>
  <c r="BA7" i="6"/>
  <c r="BB7" i="6" s="1"/>
  <c r="AK7" i="6"/>
  <c r="R69" i="7" s="1"/>
  <c r="AH7" i="6"/>
  <c r="R67" i="7" s="1"/>
  <c r="CG6" i="6"/>
  <c r="CA6" i="6"/>
  <c r="CC6" i="6" s="1"/>
  <c r="BA6" i="6"/>
  <c r="BB6" i="6" s="1"/>
  <c r="AS6" i="6"/>
  <c r="AQ6" i="6"/>
  <c r="AO6" i="6"/>
  <c r="AL6" i="6"/>
  <c r="AJ6" i="6"/>
  <c r="AI6" i="6"/>
  <c r="AE6" i="6"/>
  <c r="CA5" i="6"/>
  <c r="CC5" i="6" s="1"/>
  <c r="BW145" i="7" l="1"/>
  <c r="BW146" i="7" s="1"/>
  <c r="BK82" i="7"/>
  <c r="BW82" i="7"/>
  <c r="AL46" i="7"/>
  <c r="P45" i="7"/>
  <c r="CG33" i="6"/>
  <c r="AD145" i="7"/>
  <c r="AG63" i="7"/>
  <c r="P56" i="7"/>
  <c r="BX64" i="7"/>
  <c r="BX74" i="7" s="1"/>
  <c r="BX65" i="7"/>
  <c r="P38" i="7"/>
  <c r="AG46" i="7"/>
  <c r="CA46" i="7"/>
  <c r="P59" i="7"/>
  <c r="BW63" i="7"/>
  <c r="AD82" i="7"/>
  <c r="P73" i="7"/>
  <c r="CH74" i="7"/>
  <c r="CH77" i="7"/>
  <c r="AM82" i="7"/>
  <c r="R84" i="7"/>
  <c r="R79" i="7"/>
  <c r="AU82" i="7"/>
  <c r="AU64" i="7"/>
  <c r="AU65" i="7"/>
  <c r="AX64" i="7"/>
  <c r="AX65" i="7"/>
  <c r="BS64" i="7"/>
  <c r="BS65" i="7"/>
  <c r="P106" i="7"/>
  <c r="AF76" i="6"/>
  <c r="AX67" i="7"/>
  <c r="P102" i="7"/>
  <c r="CA50" i="6"/>
  <c r="AN112" i="7"/>
  <c r="AN132" i="7" s="1"/>
  <c r="CB50" i="6"/>
  <c r="BJ90" i="7"/>
  <c r="BJ132" i="7" s="1"/>
  <c r="CB93" i="6"/>
  <c r="BW92" i="7"/>
  <c r="CB149" i="6"/>
  <c r="P69" i="7"/>
  <c r="AF151" i="6"/>
  <c r="AG151" i="6" s="1"/>
  <c r="BX67" i="7"/>
  <c r="P80" i="7"/>
  <c r="AG6" i="6"/>
  <c r="AF148" i="6"/>
  <c r="AG148" i="6" s="1"/>
  <c r="BW67" i="7"/>
  <c r="AJ7" i="6"/>
  <c r="R82" i="7" s="1"/>
  <c r="AF7" i="6"/>
  <c r="AL33" i="6"/>
  <c r="AF33" i="6"/>
  <c r="AG33" i="6" s="1"/>
  <c r="AS102" i="6"/>
  <c r="AF102" i="6"/>
  <c r="AG102" i="6" s="1"/>
  <c r="AQ179" i="6"/>
  <c r="AF179" i="6"/>
  <c r="AG179" i="6" s="1"/>
  <c r="AI66" i="6"/>
  <c r="AG66" i="6"/>
  <c r="AO135" i="6"/>
  <c r="AG135" i="6"/>
  <c r="AL75" i="6"/>
  <c r="AG75" i="6"/>
  <c r="CA93" i="6"/>
  <c r="CG148" i="6"/>
  <c r="CA149" i="6"/>
  <c r="CG149" i="6"/>
  <c r="AE7" i="6"/>
  <c r="R64" i="7" s="1"/>
  <c r="AO75" i="6"/>
  <c r="AI135" i="6"/>
  <c r="AL135" i="6"/>
  <c r="AQ135" i="6"/>
  <c r="AQ75" i="6"/>
  <c r="AI75" i="6"/>
  <c r="AS75" i="6"/>
  <c r="P92" i="7" l="1"/>
  <c r="BW132" i="7"/>
  <c r="J11" i="8"/>
  <c r="J39" i="8"/>
  <c r="J37" i="8" s="1"/>
  <c r="J34" i="8"/>
  <c r="J33" i="8" s="1"/>
  <c r="J8" i="8"/>
  <c r="BX70" i="7"/>
  <c r="BX83" i="7"/>
  <c r="BX81" i="7"/>
  <c r="BX78" i="7"/>
  <c r="AD146" i="7"/>
  <c r="P146" i="7" s="1"/>
  <c r="P145" i="7"/>
  <c r="P147" i="7" s="1"/>
  <c r="BX72" i="7"/>
  <c r="P63" i="7"/>
  <c r="P46" i="7"/>
  <c r="AX84" i="7"/>
  <c r="AX68" i="7"/>
  <c r="AX79" i="7"/>
  <c r="CH78" i="7"/>
  <c r="CH79" i="7"/>
  <c r="R83" i="7"/>
  <c r="R72" i="7"/>
  <c r="R81" i="7"/>
  <c r="R74" i="7"/>
  <c r="R78" i="7"/>
  <c r="BX84" i="7"/>
  <c r="BX68" i="7"/>
  <c r="BX79" i="7"/>
  <c r="BS83" i="7"/>
  <c r="BS74" i="7"/>
  <c r="BS72" i="7"/>
  <c r="BS68" i="7"/>
  <c r="BS81" i="7"/>
  <c r="BS70" i="7"/>
  <c r="BS78" i="7"/>
  <c r="AU83" i="7"/>
  <c r="AU68" i="7"/>
  <c r="AU74" i="7"/>
  <c r="AU81" i="7"/>
  <c r="AU70" i="7"/>
  <c r="AU72" i="7"/>
  <c r="AU78" i="7"/>
  <c r="R68" i="7"/>
  <c r="R70" i="7"/>
  <c r="P77" i="7"/>
  <c r="BW84" i="7"/>
  <c r="BW68" i="7"/>
  <c r="BW79" i="7"/>
  <c r="AX83" i="7"/>
  <c r="AX72" i="7"/>
  <c r="AX81" i="7"/>
  <c r="AX74" i="7"/>
  <c r="AX78" i="7"/>
  <c r="AX70" i="7"/>
  <c r="P64" i="7"/>
  <c r="R65" i="7"/>
  <c r="CC93" i="6"/>
  <c r="P67" i="7"/>
  <c r="CC149" i="6"/>
  <c r="P90" i="7"/>
  <c r="P112" i="7"/>
  <c r="CC50" i="6"/>
  <c r="AQ7" i="6"/>
  <c r="AG7" i="6"/>
  <c r="AS76" i="6"/>
  <c r="AG76" i="6"/>
  <c r="AI76" i="6"/>
  <c r="AO76" i="6"/>
  <c r="AS7" i="6"/>
  <c r="AL76" i="6"/>
  <c r="AZ76" i="6"/>
  <c r="J7" i="8" l="1"/>
  <c r="J53" i="8"/>
  <c r="P83" i="7"/>
  <c r="P85" i="7"/>
  <c r="P72" i="7"/>
  <c r="P78" i="7"/>
  <c r="P79" i="7"/>
  <c r="P84" i="7"/>
  <c r="P68" i="7"/>
  <c r="P74" i="7"/>
  <c r="P81" i="7"/>
  <c r="P70" i="7"/>
  <c r="P65" i="7"/>
  <c r="J52" i="8"/>
  <c r="J48" i="8"/>
  <c r="J50" i="8"/>
  <c r="JV73" i="1"/>
  <c r="JV37" i="1"/>
  <c r="JV35" i="1"/>
  <c r="JV32" i="1"/>
  <c r="J22" i="8" l="1"/>
  <c r="J21" i="8"/>
  <c r="J23" i="8"/>
  <c r="J24" i="8"/>
  <c r="J51" i="8"/>
  <c r="J49" i="8"/>
  <c r="J47" i="8" s="1"/>
  <c r="J19" i="8"/>
  <c r="DZ73" i="1"/>
  <c r="GD73" i="1"/>
  <c r="JN73" i="1"/>
  <c r="DD73" i="1"/>
  <c r="BF73" i="1"/>
  <c r="BD73" i="1"/>
  <c r="BD37" i="1"/>
  <c r="BD32" i="1"/>
  <c r="BD29" i="1"/>
  <c r="J20" i="8" l="1"/>
  <c r="AL73" i="1"/>
  <c r="AD73" i="1"/>
  <c r="AB73" i="1"/>
  <c r="Z73" i="1"/>
  <c r="L77" i="1"/>
  <c r="L48" i="1"/>
  <c r="L46" i="1"/>
  <c r="L39" i="1"/>
  <c r="L37" i="1"/>
  <c r="L35" i="1"/>
  <c r="L32" i="1"/>
  <c r="L30" i="1"/>
  <c r="L29" i="1"/>
  <c r="J77" i="1" l="1"/>
  <c r="J73" i="1"/>
  <c r="J47" i="1"/>
  <c r="J48" i="1" s="1"/>
  <c r="J38" i="1"/>
  <c r="J31" i="1"/>
  <c r="J28" i="1"/>
  <c r="J27" i="1" l="1"/>
  <c r="J37" i="1" s="1"/>
  <c r="J30" i="1"/>
  <c r="J39" i="1" l="1"/>
  <c r="H77" i="1"/>
  <c r="H73" i="1"/>
  <c r="H47" i="1"/>
  <c r="H48" i="1" s="1"/>
  <c r="H39" i="1"/>
  <c r="H37" i="1"/>
  <c r="H35" i="1"/>
  <c r="H32" i="1"/>
  <c r="H30" i="1"/>
  <c r="H29" i="1"/>
  <c r="H27" i="1"/>
  <c r="CT73" i="1" l="1"/>
  <c r="HZ73" i="1"/>
  <c r="HX73" i="1"/>
  <c r="BN73" i="1"/>
  <c r="BZ77" i="1"/>
  <c r="BZ73" i="1"/>
  <c r="BZ48" i="1"/>
  <c r="BZ46" i="1"/>
  <c r="BZ37" i="1"/>
  <c r="BZ35" i="1"/>
  <c r="BZ32" i="1"/>
  <c r="BZ30" i="1"/>
  <c r="BZ29" i="1"/>
  <c r="BX77" i="1" l="1"/>
  <c r="BX73" i="1"/>
  <c r="BX48" i="1"/>
  <c r="BX46" i="1"/>
  <c r="BX39" i="1"/>
  <c r="BX37" i="1"/>
  <c r="BX35" i="1"/>
  <c r="BX32" i="1"/>
  <c r="BX30" i="1"/>
  <c r="BX29" i="1"/>
  <c r="CJ77" i="1"/>
  <c r="CJ73" i="1"/>
  <c r="CJ37" i="1"/>
  <c r="CJ35" i="1"/>
  <c r="CJ32" i="1"/>
  <c r="CJ29" i="1"/>
  <c r="CH77" i="1"/>
  <c r="CH73" i="1"/>
  <c r="CH35" i="1"/>
  <c r="CH32" i="1"/>
  <c r="CH29" i="1"/>
  <c r="GT73" i="1" l="1"/>
  <c r="EH77" i="1"/>
  <c r="EH73" i="1"/>
  <c r="EH48" i="1"/>
  <c r="EH30" i="1"/>
  <c r="EF146" i="1" l="1"/>
  <c r="EF77" i="1"/>
  <c r="EF73" i="1"/>
  <c r="EF47" i="1"/>
  <c r="EF48" i="1" s="1"/>
  <c r="EF39" i="1"/>
  <c r="EF35" i="1"/>
  <c r="EF32" i="1"/>
  <c r="EF30" i="1"/>
  <c r="EF29" i="1"/>
  <c r="GH73" i="1" l="1"/>
  <c r="GH48" i="1"/>
  <c r="GH30" i="1"/>
  <c r="GF73" i="1"/>
  <c r="GF46" i="1"/>
  <c r="BP73" i="1"/>
  <c r="GR73" i="1"/>
  <c r="GR45" i="1"/>
  <c r="GR38" i="1"/>
  <c r="GR28" i="1"/>
  <c r="GR27" i="1"/>
  <c r="HH73" i="1" l="1"/>
  <c r="GZ73" i="1"/>
  <c r="GX73" i="1"/>
  <c r="GV73" i="1"/>
  <c r="FX73" i="1"/>
  <c r="FX48" i="1"/>
  <c r="FX37" i="1"/>
  <c r="FX35" i="1"/>
  <c r="FX32" i="1"/>
  <c r="FX30" i="1"/>
  <c r="FX29" i="1"/>
  <c r="HF77" i="1" l="1"/>
  <c r="HF73" i="1"/>
  <c r="HF48" i="1"/>
  <c r="HF39" i="1"/>
  <c r="HF37" i="1"/>
  <c r="HF32" i="1"/>
  <c r="HF30" i="1"/>
  <c r="HF29" i="1"/>
  <c r="HD109" i="1"/>
  <c r="HD91" i="1"/>
  <c r="HD88" i="1"/>
  <c r="HD77" i="1"/>
  <c r="HD73" i="1"/>
  <c r="HD48" i="1"/>
  <c r="HD39" i="1"/>
  <c r="HD37" i="1"/>
  <c r="HD35" i="1"/>
  <c r="HD32" i="1"/>
  <c r="HD30" i="1"/>
  <c r="HD29" i="1"/>
  <c r="HB77" i="1"/>
  <c r="HB73" i="1"/>
  <c r="HB48" i="1"/>
  <c r="HB37" i="1"/>
  <c r="HB35" i="1"/>
  <c r="HB32" i="1"/>
  <c r="HB30" i="1"/>
  <c r="HB29" i="1"/>
  <c r="HN77" i="1" l="1"/>
  <c r="HN73" i="1"/>
  <c r="HN48" i="1"/>
  <c r="HN46" i="1"/>
  <c r="HN35" i="1"/>
  <c r="HN32" i="1"/>
  <c r="HN30" i="1"/>
  <c r="HN29" i="1"/>
  <c r="HL73" i="1" l="1"/>
  <c r="GP77" i="1"/>
  <c r="GP73" i="1"/>
  <c r="GP48" i="1"/>
  <c r="GP30" i="1"/>
  <c r="GN124" i="1" l="1"/>
  <c r="GN78" i="1"/>
  <c r="GN74" i="1"/>
  <c r="GN72" i="1"/>
  <c r="GN70" i="1"/>
  <c r="GN63" i="1"/>
  <c r="GN62" i="1"/>
  <c r="GN60" i="1"/>
  <c r="GN59" i="1"/>
  <c r="GN58" i="1"/>
  <c r="GN57" i="1"/>
  <c r="GN53" i="1"/>
  <c r="GN51" i="1"/>
  <c r="GN47" i="1"/>
  <c r="GN48" i="1" s="1"/>
  <c r="GN30" i="1"/>
  <c r="GN28" i="1"/>
  <c r="GN77" i="1" l="1"/>
  <c r="GN73" i="1"/>
  <c r="GL141" i="1"/>
  <c r="GL79" i="1"/>
  <c r="GL78" i="1"/>
  <c r="GL76" i="1"/>
  <c r="GL75" i="1"/>
  <c r="GL74" i="1"/>
  <c r="GL73" i="1"/>
  <c r="GL30" i="1"/>
  <c r="GL28" i="1"/>
  <c r="GL26" i="1"/>
  <c r="GL24" i="1"/>
  <c r="GL12" i="1"/>
  <c r="GL77" i="1" l="1"/>
  <c r="FB73" i="1"/>
  <c r="FB30" i="1"/>
  <c r="EZ73" i="1" l="1"/>
  <c r="EZ48" i="1"/>
  <c r="EZ30" i="1"/>
  <c r="F73" i="1" l="1"/>
  <c r="GB77" i="1"/>
  <c r="GB73" i="1"/>
  <c r="GB48" i="1"/>
  <c r="GB30" i="1"/>
  <c r="GB27" i="1"/>
  <c r="GB37" i="1" s="1"/>
  <c r="GB32" i="1" l="1"/>
  <c r="GB35" i="1"/>
  <c r="GB29" i="1"/>
  <c r="FN73" i="1" l="1"/>
  <c r="FN39" i="1"/>
  <c r="FN37" i="1"/>
  <c r="FN32" i="1"/>
  <c r="FN30" i="1"/>
  <c r="FN29" i="1"/>
  <c r="FJ73" i="1" l="1"/>
  <c r="FJ38" i="1"/>
  <c r="FJ39" i="1" s="1"/>
  <c r="FJ35" i="1"/>
  <c r="FJ32" i="1"/>
  <c r="FJ29" i="1"/>
  <c r="FH73" i="1" l="1"/>
  <c r="FH48" i="1"/>
  <c r="FH30" i="1"/>
  <c r="FF73" i="1" l="1"/>
  <c r="FD73" i="1"/>
  <c r="EX73" i="1" l="1"/>
  <c r="EV73" i="1"/>
  <c r="ET63" i="1"/>
  <c r="ET60" i="1"/>
  <c r="ET58" i="1"/>
  <c r="ET53" i="1"/>
  <c r="ET52" i="1"/>
  <c r="ET73" i="1" l="1"/>
  <c r="EN73" i="1"/>
  <c r="JD73" i="1"/>
  <c r="JD46" i="1"/>
  <c r="JD39" i="1"/>
  <c r="JD37" i="1"/>
  <c r="JD35" i="1"/>
  <c r="JD32" i="1"/>
  <c r="JD29" i="1"/>
  <c r="JB73" i="1" l="1"/>
  <c r="IZ73" i="1"/>
  <c r="IN77" i="1"/>
  <c r="IN73" i="1"/>
  <c r="IL77" i="1"/>
  <c r="IL73" i="1"/>
  <c r="IL48" i="1"/>
  <c r="IL46" i="1"/>
  <c r="IL39" i="1"/>
  <c r="IL35" i="1"/>
  <c r="IL32" i="1"/>
  <c r="IL29" i="1"/>
  <c r="IH73" i="1" l="1"/>
  <c r="HV73" i="1"/>
  <c r="HT73" i="1"/>
  <c r="HR73" i="1"/>
  <c r="HP73" i="1"/>
  <c r="IF77" i="1"/>
  <c r="IF73" i="1"/>
  <c r="IF37" i="1"/>
  <c r="IF35" i="1"/>
  <c r="IF32" i="1"/>
  <c r="IF29" i="1"/>
  <c r="ID78" i="1" l="1"/>
  <c r="ID73" i="1"/>
  <c r="ID36" i="1"/>
  <c r="ID37" i="1" s="1"/>
  <c r="ID35" i="1"/>
  <c r="ID32" i="1"/>
  <c r="ID29" i="1"/>
  <c r="EP73" i="1" l="1"/>
  <c r="EP48" i="1"/>
  <c r="EP30" i="1"/>
  <c r="DX73" i="1" l="1"/>
  <c r="DV73" i="1"/>
  <c r="DN73" i="1"/>
  <c r="JT127" i="1"/>
  <c r="JT73" i="1"/>
  <c r="IX126" i="1" l="1"/>
  <c r="IX76" i="1"/>
  <c r="IX73" i="1"/>
  <c r="IV73" i="1"/>
  <c r="IT73" i="1"/>
  <c r="JR91" i="1"/>
  <c r="JR74" i="1"/>
  <c r="JR77" i="1" s="1"/>
  <c r="JR72" i="1"/>
  <c r="JR65" i="1"/>
  <c r="JR55" i="1"/>
  <c r="JR54" i="1"/>
  <c r="JR52" i="1"/>
  <c r="JR47" i="1"/>
  <c r="JR48" i="1" s="1"/>
  <c r="JR34" i="1"/>
  <c r="JR31" i="1"/>
  <c r="JR28" i="1"/>
  <c r="JR30" i="1" s="1"/>
  <c r="JR27" i="1"/>
  <c r="JR37" i="1" s="1"/>
  <c r="JR73" i="1" l="1"/>
  <c r="JR32" i="1"/>
  <c r="JR35" i="1"/>
  <c r="JR29" i="1"/>
  <c r="BL73" i="1" l="1"/>
  <c r="BL37" i="1"/>
  <c r="BL35" i="1"/>
  <c r="BL32" i="1"/>
  <c r="BL29" i="1"/>
  <c r="AR73" i="1" l="1"/>
  <c r="AP77" i="1"/>
  <c r="AP73" i="1"/>
  <c r="AP39" i="1"/>
  <c r="AP37" i="1"/>
  <c r="AP35" i="1"/>
  <c r="AP32" i="1"/>
  <c r="AP29" i="1"/>
  <c r="AN73" i="1"/>
  <c r="AN39" i="1"/>
  <c r="AN35" i="1"/>
  <c r="AN32" i="1"/>
  <c r="AN29" i="1"/>
  <c r="BR77" i="1" l="1"/>
  <c r="BR73" i="1"/>
  <c r="BR39" i="1"/>
  <c r="BR35" i="1"/>
  <c r="BR32" i="1"/>
  <c r="BR30" i="1"/>
  <c r="BR29" i="1"/>
  <c r="BV109" i="1" l="1"/>
  <c r="BV77" i="1"/>
  <c r="BV73" i="1"/>
  <c r="BV39" i="1"/>
  <c r="BV35" i="1"/>
  <c r="BV32" i="1"/>
  <c r="BV29" i="1"/>
  <c r="BT77" i="1"/>
  <c r="BT73" i="1"/>
  <c r="CB63" i="1" l="1"/>
  <c r="CB73" i="1" s="1"/>
  <c r="CB37" i="1"/>
  <c r="CB35" i="1"/>
  <c r="CB32" i="1"/>
  <c r="CB29" i="1"/>
  <c r="DJ73" i="1" l="1"/>
  <c r="DJ47" i="1"/>
  <c r="DJ45" i="1"/>
  <c r="DJ38" i="1"/>
  <c r="DJ31" i="1"/>
  <c r="DJ28" i="1"/>
  <c r="DJ27" i="1" l="1"/>
  <c r="DJ32" i="1" s="1"/>
  <c r="DH73" i="1"/>
  <c r="DH27" i="1"/>
  <c r="DH32" i="1" s="1"/>
  <c r="DH35" i="1" l="1"/>
  <c r="DJ39" i="1"/>
  <c r="DJ35" i="1"/>
  <c r="DJ29" i="1"/>
  <c r="DJ46" i="1"/>
  <c r="DH37" i="1"/>
  <c r="DH29" i="1"/>
  <c r="DH39" i="1"/>
  <c r="DB77" i="1"/>
  <c r="DB73" i="1"/>
  <c r="DB48" i="1"/>
  <c r="DB35" i="1"/>
  <c r="DB32" i="1"/>
  <c r="DB30" i="1"/>
  <c r="DB29" i="1"/>
  <c r="CZ77" i="1" l="1"/>
  <c r="CZ73" i="1"/>
  <c r="CZ48" i="1"/>
  <c r="CZ30" i="1"/>
  <c r="CZ27" i="1"/>
  <c r="CZ29" i="1" s="1"/>
  <c r="CX73" i="1" l="1"/>
  <c r="CX48" i="1"/>
  <c r="CX35" i="1"/>
  <c r="CX32" i="1"/>
  <c r="CX30" i="1"/>
  <c r="CX29" i="1"/>
  <c r="CV77" i="1"/>
  <c r="CV73" i="1"/>
  <c r="CV48" i="1"/>
  <c r="CV39" i="1"/>
  <c r="CV37" i="1"/>
  <c r="CV32" i="1"/>
  <c r="CV30" i="1"/>
  <c r="CV29" i="1"/>
  <c r="JH77" i="1" l="1"/>
  <c r="JH73" i="1"/>
  <c r="BJ115" i="1" l="1"/>
  <c r="BJ91" i="1"/>
  <c r="BJ88" i="1"/>
  <c r="BJ73" i="1"/>
  <c r="BJ45" i="1"/>
  <c r="IR73" i="1"/>
  <c r="IP73" i="1" l="1"/>
  <c r="JX73" i="1" l="1"/>
  <c r="FP77" i="1" l="1"/>
  <c r="FP73" i="1"/>
  <c r="FP48" i="1"/>
  <c r="FP37" i="1"/>
  <c r="FP35" i="1"/>
  <c r="FP32" i="1"/>
  <c r="FP30" i="1"/>
  <c r="FP29" i="1"/>
  <c r="AJ73" i="1" l="1"/>
  <c r="CL73" i="1"/>
  <c r="AT77" i="1"/>
  <c r="AT73" i="1"/>
  <c r="AT48" i="1"/>
  <c r="AT37" i="1"/>
  <c r="AT35" i="1"/>
  <c r="AT32" i="1"/>
  <c r="AT30" i="1"/>
  <c r="AT29" i="1"/>
  <c r="AZ73" i="1" l="1"/>
  <c r="AZ30" i="1"/>
  <c r="AX74" i="1" l="1"/>
  <c r="AX77" i="1" s="1"/>
  <c r="AX73" i="1"/>
  <c r="AX48" i="1"/>
  <c r="AX46" i="1"/>
  <c r="AX36" i="1"/>
  <c r="AX37" i="1" s="1"/>
  <c r="AX35" i="1"/>
  <c r="AX31" i="1"/>
  <c r="AX32" i="1" s="1"/>
  <c r="AX30" i="1"/>
  <c r="AX29" i="1"/>
  <c r="R73" i="1" l="1"/>
  <c r="P77" i="1"/>
  <c r="P73" i="1"/>
  <c r="P48" i="1"/>
  <c r="P37" i="1"/>
  <c r="P35" i="1"/>
  <c r="P32" i="1"/>
  <c r="P29" i="1"/>
  <c r="N73" i="1" l="1"/>
  <c r="P132" i="7"/>
  <c r="K90" i="8" s="1"/>
  <c r="K100" i="8" s="1"/>
  <c r="K102" i="8" l="1"/>
  <c r="L102" i="8" s="1"/>
  <c r="K101" i="8"/>
  <c r="L101" i="8" s="1"/>
  <c r="K103" i="8"/>
  <c r="K104" i="8"/>
  <c r="K105" i="8"/>
  <c r="Q132" i="7"/>
</calcChain>
</file>

<file path=xl/comments1.xml><?xml version="1.0" encoding="utf-8"?>
<comments xmlns="http://schemas.openxmlformats.org/spreadsheetml/2006/main">
  <authors>
    <author>NG</author>
  </authors>
  <commentList>
    <comment ref="F2"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List>
</comments>
</file>

<file path=xl/comments2.xml><?xml version="1.0" encoding="utf-8"?>
<comments xmlns="http://schemas.openxmlformats.org/spreadsheetml/2006/main">
  <authors>
    <author>NG</author>
    <author>Галкина Наталья Юрьевна</author>
  </authors>
  <commentList>
    <comment ref="B2" authorId="0" shapeId="0">
      <text>
        <r>
          <rPr>
            <b/>
            <sz val="9"/>
            <color indexed="81"/>
            <rFont val="Tahoma"/>
            <family val="2"/>
            <charset val="204"/>
          </rPr>
          <t>NG:</t>
        </r>
        <r>
          <rPr>
            <sz val="9"/>
            <color indexed="81"/>
            <rFont val="Tahoma"/>
            <family val="2"/>
            <charset val="204"/>
          </rPr>
          <t xml:space="preserve">
К субъектовым относятся практики, в реализации которых задействованы средства регионального и в отдельных случаях федерального бюджетов, реализуемые на территории двух и более муниципальных образований. </t>
        </r>
      </text>
    </comment>
    <comment ref="F2" authorId="1"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text>
    </comment>
  </commentList>
</comments>
</file>

<file path=xl/comments3.xml><?xml version="1.0" encoding="utf-8"?>
<comments xmlns="http://schemas.openxmlformats.org/spreadsheetml/2006/main">
  <authors>
    <author>NG</author>
    <author>Лукьянова Наталия Германовна</author>
  </authors>
  <commentList>
    <comment ref="F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K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L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M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N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P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Q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R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W1" authorId="0" shapeId="0">
      <text/>
    </comment>
    <comment ref="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H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K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V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X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A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Z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G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I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P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Q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B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Y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J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L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R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C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Z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B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C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D1" authorId="0" shapeId="0">
      <text>
        <r>
          <rPr>
            <b/>
            <sz val="9"/>
            <color rgb="FF000000"/>
            <rFont val="Tahoma"/>
            <family val="2"/>
            <charset val="204"/>
          </rPr>
          <t>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D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B1" authorId="0" shapeId="0">
      <text>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F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H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N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T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V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X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A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B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D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G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I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K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L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F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B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L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N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P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S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T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D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E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L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N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R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S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T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U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V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W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X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H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L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P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R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T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V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X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B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C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D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E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O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Q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R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J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N15" authorId="1" shapeId="0">
      <text>
        <r>
          <rPr>
            <b/>
            <sz val="9"/>
            <color rgb="FF000000"/>
            <rFont val="Tahoma"/>
            <family val="2"/>
          </rPr>
          <t>Лукьянова Наталия Германовна:</t>
        </r>
        <r>
          <rPr>
            <sz val="9"/>
            <color rgb="FF000000"/>
            <rFont val="Tahoma"/>
            <family val="2"/>
          </rPr>
          <t xml:space="preserve">
</t>
        </r>
        <r>
          <rPr>
            <sz val="9"/>
            <color rgb="FF000000"/>
            <rFont val="Tahoma"/>
            <family val="2"/>
          </rPr>
          <t>Проходит рассмотрение в Законодательном Собрании СПб (подготовка к 3 чт.)</t>
        </r>
      </text>
    </comment>
    <comment ref="GL27" authorId="1" shapeId="0">
      <text>
        <r>
          <rPr>
            <b/>
            <sz val="9"/>
            <color indexed="81"/>
            <rFont val="Tahoma"/>
            <family val="2"/>
            <charset val="204"/>
          </rPr>
          <t>Лукьянова Наталия Германовна:</t>
        </r>
        <r>
          <rPr>
            <sz val="9"/>
            <color indexed="81"/>
            <rFont val="Tahoma"/>
            <family val="2"/>
            <charset val="204"/>
          </rPr>
          <t xml:space="preserve">
дописточники за счет средств школ, спонсоров, депутатов не учтены (взят номинальный бюджет)</t>
        </r>
      </text>
    </comment>
    <comment ref="GN146" authorId="1" shapeId="0">
      <text>
        <r>
          <rPr>
            <b/>
            <sz val="9"/>
            <color indexed="81"/>
            <rFont val="Tahoma"/>
            <family val="2"/>
            <charset val="204"/>
          </rPr>
          <t>Лукьянова Наталия Германовна:</t>
        </r>
        <r>
          <rPr>
            <sz val="9"/>
            <color indexed="81"/>
            <rFont val="Tahoma"/>
            <family val="2"/>
            <charset val="204"/>
          </rPr>
          <t xml:space="preserve">
1) лекция по ИБ и урбанистике 17.03.20 = 98 членов БК (по спискам), всего слушателей онлайн ~130 чел. , просмотров - более 9 000;
2) лекция по полномочиям ИОГВ 02.09.20 = 91 член БК (по спискам), всего слушателей онлайн ~120 чел., просмотров - более 1 500;
3) лекция по бюджету 16.09.20 = 77 членов БК (по спискам), слушателей онлайн ~ 120 чел., просмотров - более 2 035 просмотров;
4) лекция по закупкам (разные даты в районах, очно) = 92 члена БК (по спискам);
5) лекция по опросам ОМ и оценке БП (в записи); при этом по спискам указано 97 членов БК, число просмотров - 1 500;
6) мастер-класс по  РГИС 09.09.20 = нет данных об участниках.
Итого : 358 членов БК (по спискам)</t>
        </r>
      </text>
    </comment>
  </commentList>
</comments>
</file>

<file path=xl/comments4.xml><?xml version="1.0" encoding="utf-8"?>
<comments xmlns="http://schemas.openxmlformats.org/spreadsheetml/2006/main">
  <authors>
    <author>NG</author>
  </authors>
  <commentList>
    <comment ref="B1" authorId="0" shapeId="0">
      <text>
        <r>
          <rPr>
            <b/>
            <sz val="9"/>
            <color indexed="81"/>
            <rFont val="Tahoma"/>
            <family val="2"/>
            <charset val="204"/>
          </rPr>
          <t>NG:</t>
        </r>
        <r>
          <rPr>
            <sz val="9"/>
            <color indexed="81"/>
            <rFont val="Tahoma"/>
            <family val="2"/>
            <charset val="204"/>
          </rPr>
          <t xml:space="preserve">
К субъектовым относятся практики, в реализации которых задействованы средства регионального и в отдельных случаях федерального бюджетов, реализуемые на территории двух и более муниципальных образований. </t>
        </r>
      </text>
    </comment>
    <comment ref="F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A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B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C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D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R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E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E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F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G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H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F1" authorId="0" shapeId="0">
      <text>
        <r>
          <rPr>
            <b/>
            <sz val="9"/>
            <color rgb="FF000000"/>
            <rFont val="Tahoma"/>
            <family val="2"/>
            <charset val="204"/>
          </rPr>
          <t>NG:</t>
        </r>
        <r>
          <rPr>
            <sz val="9"/>
            <color rgb="FF000000"/>
            <rFont val="Tahoma"/>
            <family val="2"/>
            <charset val="204"/>
          </rPr>
          <t xml:space="preserve">
</t>
        </r>
        <r>
          <rPr>
            <sz val="9"/>
            <color rgb="FF000000"/>
            <rFont val="Tahoma"/>
            <family val="2"/>
            <charset val="204"/>
          </rPr>
          <t xml:space="preserve">В анкете в Excel </t>
        </r>
        <r>
          <rPr>
            <b/>
            <sz val="9"/>
            <color rgb="FF000000"/>
            <rFont val="Tahoma"/>
            <family val="2"/>
            <charset val="204"/>
          </rPr>
          <t>не следует менять формулировки вопросов, объединять и разъединять ячейки, добавлять новые строки</t>
        </r>
        <r>
          <rPr>
            <sz val="9"/>
            <color rgb="FF000000"/>
            <rFont val="Tahoma"/>
            <family val="2"/>
            <charset val="204"/>
          </rPr>
          <t xml:space="preserve"> поскольку это существенно усложняет автоматическую обработку собранных данных. 
</t>
        </r>
        <r>
          <rPr>
            <sz val="9"/>
            <color rgb="FF000000"/>
            <rFont val="Tahoma"/>
            <family val="2"/>
            <charset val="204"/>
          </rPr>
          <t xml:space="preserve">В случае необходимости возможно делать примечания к ячейкам. 
</t>
        </r>
        <r>
          <rPr>
            <sz val="9"/>
            <color rgb="FF000000"/>
            <rFont val="Tahoma"/>
            <family val="2"/>
            <charset val="204"/>
          </rPr>
          <t xml:space="preserve">
</t>
        </r>
        <r>
          <rPr>
            <sz val="9"/>
            <color rgb="FF000000"/>
            <rFont val="Tahoma"/>
            <family val="2"/>
            <charset val="204"/>
          </rPr>
          <t xml:space="preserve">Также можно добавлять примечания и пояснения в пустые столбцы справа, обязательно выделяя такие ячейки с пояснениями </t>
        </r>
        <r>
          <rPr>
            <b/>
            <sz val="9"/>
            <color rgb="FF000000"/>
            <rFont val="Tahoma"/>
            <family val="2"/>
            <charset val="204"/>
          </rPr>
          <t>цветовой заливкой</t>
        </r>
        <r>
          <rPr>
            <sz val="9"/>
            <color rgb="FF000000"/>
            <rFont val="Tahoma"/>
            <family val="2"/>
            <charset val="204"/>
          </rPr>
          <t xml:space="preserve">. </t>
        </r>
      </text>
    </comment>
    <comment ref="I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I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K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K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L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M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N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O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P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Q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R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S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T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U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V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W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X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Y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LZ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A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B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C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D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E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F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G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H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I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 ref="MJ1" authorId="0" shapeId="0">
      <text>
        <r>
          <rPr>
            <b/>
            <sz val="9"/>
            <color indexed="81"/>
            <rFont val="Tahoma"/>
            <family val="2"/>
            <charset val="204"/>
          </rPr>
          <t>NG:</t>
        </r>
        <r>
          <rPr>
            <sz val="9"/>
            <color indexed="81"/>
            <rFont val="Tahoma"/>
            <family val="2"/>
            <charset val="204"/>
          </rPr>
          <t xml:space="preserve">
В анкете в Excel </t>
        </r>
        <r>
          <rPr>
            <b/>
            <sz val="9"/>
            <color indexed="81"/>
            <rFont val="Tahoma"/>
            <family val="2"/>
            <charset val="204"/>
          </rPr>
          <t>не следует менять формулировки вопросов, объединять и разъединять ячейки, добавлять новые строки</t>
        </r>
        <r>
          <rPr>
            <sz val="9"/>
            <color indexed="81"/>
            <rFont val="Tahoma"/>
            <family val="2"/>
            <charset val="204"/>
          </rPr>
          <t xml:space="preserve"> поскольку это существенно усложняет автоматическую обработку собранных данных. 
В случае необходимости возможно делать примечания к ячейкам. 
Также можно добавлять примечания и пояснения в пустые столбцы справа, обязательно выделяя такие ячейки с пояснениями </t>
        </r>
        <r>
          <rPr>
            <b/>
            <sz val="9"/>
            <color indexed="81"/>
            <rFont val="Tahoma"/>
            <family val="2"/>
            <charset val="204"/>
          </rPr>
          <t>цветовой заливкой</t>
        </r>
        <r>
          <rPr>
            <sz val="9"/>
            <color indexed="81"/>
            <rFont val="Tahoma"/>
            <family val="2"/>
            <charset val="204"/>
          </rPr>
          <t xml:space="preserve">. </t>
        </r>
      </text>
    </comment>
  </commentList>
</comments>
</file>

<file path=xl/comments5.xml><?xml version="1.0" encoding="utf-8"?>
<comments xmlns="http://schemas.openxmlformats.org/spreadsheetml/2006/main">
  <authors>
    <author>Лукьянова Наталия Германовна</author>
  </authors>
  <commentList>
    <comment ref="AE148" authorId="0" shapeId="0">
      <text>
        <r>
          <rPr>
            <b/>
            <sz val="9"/>
            <color indexed="81"/>
            <rFont val="Tahoma"/>
            <family val="2"/>
            <charset val="204"/>
          </rPr>
          <t>Лукьянова Наталия Германовна:</t>
        </r>
        <r>
          <rPr>
            <sz val="9"/>
            <color indexed="81"/>
            <rFont val="Tahoma"/>
            <family val="2"/>
            <charset val="204"/>
          </rPr>
          <t xml:space="preserve">
дописточники за счет средств школ, спонсоров, депутатов не учтены (взят номинальный бюджет)</t>
        </r>
      </text>
    </comment>
    <comment ref="S149" authorId="0" shapeId="0">
      <text>
        <r>
          <rPr>
            <b/>
            <sz val="9"/>
            <color rgb="FF000000"/>
            <rFont val="Tahoma"/>
            <family val="2"/>
          </rPr>
          <t>Лукьянова Наталия Германовна:</t>
        </r>
        <r>
          <rPr>
            <sz val="9"/>
            <color rgb="FF000000"/>
            <rFont val="Tahoma"/>
            <family val="2"/>
          </rPr>
          <t xml:space="preserve">
</t>
        </r>
        <r>
          <rPr>
            <sz val="9"/>
            <color rgb="FF000000"/>
            <rFont val="Tahoma"/>
            <family val="2"/>
          </rPr>
          <t>Проходит рассмотрение в Законодательном Собрании СПб (подготовка к 3 чт.)</t>
        </r>
      </text>
    </comment>
    <comment ref="EX149" authorId="0" shapeId="0">
      <text>
        <r>
          <rPr>
            <b/>
            <sz val="9"/>
            <color indexed="81"/>
            <rFont val="Tahoma"/>
            <family val="2"/>
            <charset val="204"/>
          </rPr>
          <t>Лукьянова Наталия Германовна:</t>
        </r>
        <r>
          <rPr>
            <sz val="9"/>
            <color indexed="81"/>
            <rFont val="Tahoma"/>
            <family val="2"/>
            <charset val="204"/>
          </rPr>
          <t xml:space="preserve">
1) лекция по ИБ и урбанистике 17.03.20 = 98 членов БК (по спискам), всего слушателей онлайн ~130 чел. , просмотров - более 9 000;
2) лекция по полномочиям ИОГВ 02.09.20 = 91 член БК (по спискам), всего слушателей онлайн ~120 чел., просмотров - более 1 500;
3) лекция по бюджету 16.09.20 = 77 членов БК (по спискам), слушателей онлайн ~ 120 чел., просмотров - более 2 035 просмотров;
4) лекция по закупкам (разные даты в районах, очно) = 92 члена БК (по спискам);
5) лекция по опросам ОМ и оценке БП (в записи); при этом по спискам указано 97 членов БК, число просмотров - 1 500;
6) мастер-класс по  РГИС 09.09.20 = нет данных об участниках.
Итого : 358 членов БК (по спискам)</t>
        </r>
      </text>
    </comment>
  </commentList>
</comments>
</file>

<file path=xl/sharedStrings.xml><?xml version="1.0" encoding="utf-8"?>
<sst xmlns="http://schemas.openxmlformats.org/spreadsheetml/2006/main" count="33808" uniqueCount="5618">
  <si>
    <t>№</t>
  </si>
  <si>
    <t>1.</t>
  </si>
  <si>
    <t>2.</t>
  </si>
  <si>
    <t>3.</t>
  </si>
  <si>
    <t>4.</t>
  </si>
  <si>
    <t>В официальных документах (законах, распоряжениях и постановлениях правительства, и иных нормативных правовых актах)</t>
  </si>
  <si>
    <t>Публичное название (бренд, применяемый в рекламных или информационных целях, если отличается)</t>
  </si>
  <si>
    <t>Год начала реализации практики</t>
  </si>
  <si>
    <t>Период реализации практики</t>
  </si>
  <si>
    <t>5.</t>
  </si>
  <si>
    <t>Администрирование практики</t>
  </si>
  <si>
    <t>6.</t>
  </si>
  <si>
    <t>Форма предоставления бюджетных ассигнований (гранты, субсидии или иные)</t>
  </si>
  <si>
    <t>7.</t>
  </si>
  <si>
    <t>Федеральный орган исполнительной власти – распорядитель указанных бюджетных средств</t>
  </si>
  <si>
    <t>Орган исполнительной власти субъекта РФ – получатель указанных бюджетных средств</t>
  </si>
  <si>
    <t>8.</t>
  </si>
  <si>
    <t>9.</t>
  </si>
  <si>
    <t>10.</t>
  </si>
  <si>
    <t>Водоснабжение, водоотведение</t>
  </si>
  <si>
    <t>Автомобильные дороги, тротуары, пешеходные переходы, остановки</t>
  </si>
  <si>
    <t>Уличное освещение</t>
  </si>
  <si>
    <t>Пожарная безопасность</t>
  </si>
  <si>
    <t>Культурное наследие (памятники, музеи)</t>
  </si>
  <si>
    <t>Проекты в сфере культуры, библиотечного дела, ремонт домов культуры</t>
  </si>
  <si>
    <t>Физическая культура и массовый спорт</t>
  </si>
  <si>
    <t>11.</t>
  </si>
  <si>
    <t>Детские игровые площадки</t>
  </si>
  <si>
    <t>12.</t>
  </si>
  <si>
    <t>13.</t>
  </si>
  <si>
    <t>14.</t>
  </si>
  <si>
    <t>15.</t>
  </si>
  <si>
    <t>Событийные проекты (праздники, фестивали)</t>
  </si>
  <si>
    <t>16.</t>
  </si>
  <si>
    <t>17.</t>
  </si>
  <si>
    <t>18.</t>
  </si>
  <si>
    <t>Приобретение оборудования, техники, транспорта</t>
  </si>
  <si>
    <t>19.</t>
  </si>
  <si>
    <t>Проекты, направленные на уязвимые социальные группы и граждан с ограниченными возможностями</t>
  </si>
  <si>
    <t>20.</t>
  </si>
  <si>
    <t>Если проектный центр есть, указать:</t>
  </si>
  <si>
    <t>Если проектного центра нет, указать количество администрирующих реализацию практики сотрудников органов власти</t>
  </si>
  <si>
    <t xml:space="preserve">Интернет-голосование </t>
  </si>
  <si>
    <t xml:space="preserve">Референдум </t>
  </si>
  <si>
    <t>Комиссии представителей власти</t>
  </si>
  <si>
    <t>В случае если была предусмотрена реализация отдельных процедур практики через Интернет, описание этих процедур</t>
  </si>
  <si>
    <t>В случае если такой вклад предусмотрен, описание его формы</t>
  </si>
  <si>
    <t xml:space="preserve">Ссылка на логотип или графическое изображение названия практики </t>
  </si>
  <si>
    <t>текст</t>
  </si>
  <si>
    <t>год</t>
  </si>
  <si>
    <t>ссылка</t>
  </si>
  <si>
    <t>7.1.</t>
  </si>
  <si>
    <t>%</t>
  </si>
  <si>
    <t>число</t>
  </si>
  <si>
    <t>тыс. человек</t>
  </si>
  <si>
    <t>да / нет</t>
  </si>
  <si>
    <t>14.1.</t>
  </si>
  <si>
    <t>14.2.</t>
  </si>
  <si>
    <t>15.1.</t>
  </si>
  <si>
    <t>13.1.</t>
  </si>
  <si>
    <t>13.2.</t>
  </si>
  <si>
    <t>13.3.</t>
  </si>
  <si>
    <t>13.4.</t>
  </si>
  <si>
    <t>13.5.</t>
  </si>
  <si>
    <t>13.6.</t>
  </si>
  <si>
    <t>16.1.</t>
  </si>
  <si>
    <t>17.1.</t>
  </si>
  <si>
    <t>17.2.</t>
  </si>
  <si>
    <t>19.1.</t>
  </si>
  <si>
    <t>19.2.</t>
  </si>
  <si>
    <t>19.3.</t>
  </si>
  <si>
    <t>1.1.</t>
  </si>
  <si>
    <t>1.2.</t>
  </si>
  <si>
    <t>2.1.</t>
  </si>
  <si>
    <t>3.1.</t>
  </si>
  <si>
    <t>4.1.</t>
  </si>
  <si>
    <t>4.2.</t>
  </si>
  <si>
    <t>4.3.</t>
  </si>
  <si>
    <t>4.4.</t>
  </si>
  <si>
    <t>4.5.</t>
  </si>
  <si>
    <t>6.1.</t>
  </si>
  <si>
    <t>5.1.</t>
  </si>
  <si>
    <t>6.2.</t>
  </si>
  <si>
    <t>6.3.</t>
  </si>
  <si>
    <t>7.A.</t>
  </si>
  <si>
    <t>7.B.</t>
  </si>
  <si>
    <t>7.C.</t>
  </si>
  <si>
    <t>7.D.</t>
  </si>
  <si>
    <t>7.E.</t>
  </si>
  <si>
    <t>7.F.</t>
  </si>
  <si>
    <t>7.A.1.</t>
  </si>
  <si>
    <t>7.A.2.</t>
  </si>
  <si>
    <t>7.A.3.</t>
  </si>
  <si>
    <t>7.B.1.</t>
  </si>
  <si>
    <t>7.B.2.</t>
  </si>
  <si>
    <t>7.C.1.</t>
  </si>
  <si>
    <t>7.C.2.</t>
  </si>
  <si>
    <t>7.D.1.</t>
  </si>
  <si>
    <t>7.D.2.</t>
  </si>
  <si>
    <t>7.E.1.</t>
  </si>
  <si>
    <t>7.E.2.</t>
  </si>
  <si>
    <t>7.F.1.</t>
  </si>
  <si>
    <t>7.F.2.</t>
  </si>
  <si>
    <t>7.E.3.</t>
  </si>
  <si>
    <t>7.E.4.</t>
  </si>
  <si>
    <t>7.E.5.</t>
  </si>
  <si>
    <t>8.1.</t>
  </si>
  <si>
    <t>8.2.</t>
  </si>
  <si>
    <t>9.1.</t>
  </si>
  <si>
    <t>9.2.</t>
  </si>
  <si>
    <t>9.3.</t>
  </si>
  <si>
    <t>10.1.</t>
  </si>
  <si>
    <t>10.2.</t>
  </si>
  <si>
    <t>10.3.</t>
  </si>
  <si>
    <t>10.4.</t>
  </si>
  <si>
    <t>10.5.</t>
  </si>
  <si>
    <t>10.6.</t>
  </si>
  <si>
    <t>10.7.</t>
  </si>
  <si>
    <t>10.8.</t>
  </si>
  <si>
    <t>10.9.</t>
  </si>
  <si>
    <t>10.10.</t>
  </si>
  <si>
    <t>10.11.</t>
  </si>
  <si>
    <t>10.12.</t>
  </si>
  <si>
    <t>10.13.</t>
  </si>
  <si>
    <t>10.14.</t>
  </si>
  <si>
    <t>10.15.</t>
  </si>
  <si>
    <t>10.16.</t>
  </si>
  <si>
    <t>10.17.</t>
  </si>
  <si>
    <t>10.18.</t>
  </si>
  <si>
    <t>10.19.</t>
  </si>
  <si>
    <t>10.20.</t>
  </si>
  <si>
    <t>10.21.</t>
  </si>
  <si>
    <t>11.1.</t>
  </si>
  <si>
    <t>11.2.</t>
  </si>
  <si>
    <t>11.3.</t>
  </si>
  <si>
    <t>12.1.</t>
  </si>
  <si>
    <t>12.2.</t>
  </si>
  <si>
    <t>12.3.</t>
  </si>
  <si>
    <t>12.4.</t>
  </si>
  <si>
    <t>Ответственный исполнитель</t>
  </si>
  <si>
    <t>21.1.</t>
  </si>
  <si>
    <t>21.2.</t>
  </si>
  <si>
    <t>21.3.</t>
  </si>
  <si>
    <t>В случае если такой вклад не предусмотрен НПА, ответ «нет»</t>
  </si>
  <si>
    <t>Другое (опишите  _________________ )</t>
  </si>
  <si>
    <t>Иной механизм (опишите __________________)</t>
  </si>
  <si>
    <t>Иной механизм (опишите ____________________)</t>
  </si>
  <si>
    <t>0.</t>
  </si>
  <si>
    <t>Субъект РФ</t>
  </si>
  <si>
    <t>№№</t>
  </si>
  <si>
    <t>Формат / Единица измерения</t>
  </si>
  <si>
    <t>0.1.</t>
  </si>
  <si>
    <t>млн руб.</t>
  </si>
  <si>
    <t>Описание методики подсчета благополучателей или ссылка на неё (если есть)</t>
  </si>
  <si>
    <t>текст (или 100%)</t>
  </si>
  <si>
    <t xml:space="preserve">ссылка </t>
  </si>
  <si>
    <t>тел.</t>
  </si>
  <si>
    <t>e-mail</t>
  </si>
  <si>
    <t>число; сумма ячеек Е44:Е64</t>
  </si>
  <si>
    <t>12.0.</t>
  </si>
  <si>
    <t>20.1.</t>
  </si>
  <si>
    <t>Полное название госпрограммы субъекта РФ и соответствующий раздел (подпрограмма, направление, мероприятие), если есть</t>
  </si>
  <si>
    <t>21.</t>
  </si>
  <si>
    <t>Нормативно-правовое регулирование практики</t>
  </si>
  <si>
    <t>ГРБС, форма предоставления бюджетных ассигнований на реализацию проектов, получатели бюджетных средств</t>
  </si>
  <si>
    <t>бюджетные ассигнования на реализацию проектов из бюджета субъекта РФ</t>
  </si>
  <si>
    <t>объемы финансирования с использованием субсидии из федерального бюджета</t>
  </si>
  <si>
    <t>Год, с которого было начато финансовое обеспечение практики ИБ в субъекте РФ</t>
  </si>
  <si>
    <t xml:space="preserve">Непосредственный получатель / получатели бюджетных средств </t>
  </si>
  <si>
    <t>12.5.</t>
  </si>
  <si>
    <t>Начало: дд.мм.гг</t>
  </si>
  <si>
    <t>Использовалась ли процедура: да / нет</t>
  </si>
  <si>
    <t>Способ фиксации участия: текст и(или) ссылка</t>
  </si>
  <si>
    <t>Количество участвовавших: число</t>
  </si>
  <si>
    <t xml:space="preserve">Количество участвовавших: число </t>
  </si>
  <si>
    <t>Информационное сопровождение практики</t>
  </si>
  <si>
    <t>Ссылка на официальный интернет-ресурс практики</t>
  </si>
  <si>
    <t>Ссылки на иные официальные и неофициальные информационные ресурсы практики, в том числе в социальных сетях</t>
  </si>
  <si>
    <t>Ящики для сбора проектных идей</t>
  </si>
  <si>
    <t>Подача проектных идей через интернет</t>
  </si>
  <si>
    <t>Адрес электронной почты</t>
  </si>
  <si>
    <t>Контактное лицо от финансового органа субъекта РФ (если форма заполнялась специалистами иных РОИВ)</t>
  </si>
  <si>
    <t xml:space="preserve">Детализация </t>
  </si>
  <si>
    <t>Параметр</t>
  </si>
  <si>
    <t>Проекты в сфере бытового обслуживания населения</t>
  </si>
  <si>
    <t>Благоустройство мест захоронений</t>
  </si>
  <si>
    <t>Описание того, каким образом и в каких масштабах проводилась рекламная кампания ИБ в субъекте РФ (ТВ, радио, наружная реклама, социальные сети и др.) Ссылки на примеры, обеспечившие самый большой охват населения</t>
  </si>
  <si>
    <t>Обучающие мероприятия по инициативному бюджетированию</t>
  </si>
  <si>
    <t>Общее количество участников</t>
  </si>
  <si>
    <t>Количество мероприятий</t>
  </si>
  <si>
    <t>20.2.</t>
  </si>
  <si>
    <t>20.3.</t>
  </si>
  <si>
    <t>Непрограммный источник, в котором указаны бюджетные ассигнования, направляемые на реализацию проектов ИБ, если есть</t>
  </si>
  <si>
    <t>Реквизиты и срок действия Программы развития инициативного бюджетирования в субъекте РФ или иного стратегического документа развития ИБ в субъекте РФ, если есть</t>
  </si>
  <si>
    <t>Количество проектных идей, которые были выдвинуты гражданами в ходе первичных встреч, анкетирования, через интернет или другим способом, если такая статистика велась</t>
  </si>
  <si>
    <t xml:space="preserve">Количество поддержанных гражданами проектных заявок, прошедших технический анализ и зарегистрированных для участия в конкурсных процедурах </t>
  </si>
  <si>
    <t>Количество проектных заявок, отобранных в ходе конкурсных процедур для финансирования</t>
  </si>
  <si>
    <t>Комплексное благоустройство дворов</t>
  </si>
  <si>
    <t>Места массового отдыха и объекты организации благоустройства</t>
  </si>
  <si>
    <t>Крупные инфраструктурные проекты (мосты, плотины, водоёмы)</t>
  </si>
  <si>
    <t>Количество благополучателей от релизации проектов</t>
  </si>
  <si>
    <t xml:space="preserve">Организация сопровождения практики ИБ </t>
  </si>
  <si>
    <t>Название и юридический статус проектного центра</t>
  </si>
  <si>
    <t>Источник финансирования деятельности проектного центра</t>
  </si>
  <si>
    <t>Количество вовлеченных в реализацию практики консультантов проектного центра</t>
  </si>
  <si>
    <t>Количество привлекаемых волонтеров</t>
  </si>
  <si>
    <t>Процедуры конкурсного отбора проектных заявок и количество граждан, принявших в них участие</t>
  </si>
  <si>
    <t>Наличие интернет-решения, используемоего для управления практикой</t>
  </si>
  <si>
    <t>В случае, если для управления практикой не предусмотрено интернет-решение, ответ «нет»</t>
  </si>
  <si>
    <t>Описание использованных видов информационных раздаточных материалов, инфографики. Ссылки на макеты</t>
  </si>
  <si>
    <t>Формат, периодичность и состав участников</t>
  </si>
  <si>
    <t>Фамилия, имя отчество полностью, должность, РОИВ</t>
  </si>
  <si>
    <t>Контактный телефон с кодом</t>
  </si>
  <si>
    <t>Фамилия, имя отчество полностью, должность</t>
  </si>
  <si>
    <t xml:space="preserve">Проекты ЖКХ, ремонт многоквартирных домов </t>
  </si>
  <si>
    <t>Организация сбора твердых коммунальных отходов и мусора</t>
  </si>
  <si>
    <t>Административный охват практикой ИБ согласно НПА</t>
  </si>
  <si>
    <t>Предусматривает ли практика возможность участия всех муниципальных образований (административно-территориальных единиц) или только части из них</t>
  </si>
  <si>
    <t>Если возможность участия предусмотрена не для всех муниципальных образований (административно-территориальных единиц), следует указать, по каким критериям осуществлялся выбор участников</t>
  </si>
  <si>
    <t xml:space="preserve"> </t>
  </si>
  <si>
    <t>Название госпрограмм / национальных (федеральных) проектов, в рамках которых были получены субсидии из федерального бюджета</t>
  </si>
  <si>
    <t>11.4.</t>
  </si>
  <si>
    <t>Коллегиальный орган (комиссия)</t>
  </si>
  <si>
    <t>Проекты в сфере образования</t>
  </si>
  <si>
    <t xml:space="preserve">Доля этих средств в общей стоимости проектов </t>
  </si>
  <si>
    <t xml:space="preserve">Доля благополучателей от общего количества жителей субъекта РФ </t>
  </si>
  <si>
    <t>Проекты школьного и молодежного инициативного бюджетирования</t>
  </si>
  <si>
    <t>Дата и реквизиты постановления / распоряжения, на основании которого мероприятия данной практики впервые были закреплены в составе указанной госпрограммы</t>
  </si>
  <si>
    <t>Другие НПА, регулирующие практику в субъекте РФ, если есть</t>
  </si>
  <si>
    <t>Региональный орган исполнительной власти, ответственный за реализацию практики в субъекте РФ</t>
  </si>
  <si>
    <t xml:space="preserve">Общий объем средств, направленных из различных источников на финансовое обеспечение проектов </t>
  </si>
  <si>
    <t>Доля этих средств в общей стоимости проектов</t>
  </si>
  <si>
    <t>бюджетные ассигнования на реализацию проектов из бюджетов муниципальных образований</t>
  </si>
  <si>
    <t>7.F.3.</t>
  </si>
  <si>
    <t>7.F.4.</t>
  </si>
  <si>
    <t>Доля этих средств в общей стоимости проектов ИБ, если это учитывалось</t>
  </si>
  <si>
    <t>10.22.</t>
  </si>
  <si>
    <t>13.7.</t>
  </si>
  <si>
    <t>13.8.</t>
  </si>
  <si>
    <t>Бюджетные комиссии граждан</t>
  </si>
  <si>
    <t>14.3.</t>
  </si>
  <si>
    <t>Собрание или конференция граждан по вопросам осуществления территориального общественного самоуправления</t>
  </si>
  <si>
    <t>14.4.</t>
  </si>
  <si>
    <t>14.5.</t>
  </si>
  <si>
    <t>14.6.</t>
  </si>
  <si>
    <t>14.7.</t>
  </si>
  <si>
    <t>14.8.</t>
  </si>
  <si>
    <t>15.2.</t>
  </si>
  <si>
    <t>4.6.</t>
  </si>
  <si>
    <t xml:space="preserve">Финансовый эквивалент работ, услуг, материалов в общей стоимости проектов, если это учитывалось </t>
  </si>
  <si>
    <t>Выдвижение через органы территориального общественного самоуправления, в том числе собрания ТОС</t>
  </si>
  <si>
    <t>Выдвижение проектных идей сельскими старостами</t>
  </si>
  <si>
    <t>18.1.</t>
  </si>
  <si>
    <t>18.2.</t>
  </si>
  <si>
    <t>18.3.</t>
  </si>
  <si>
    <t>18.4.</t>
  </si>
  <si>
    <t>18.5.</t>
  </si>
  <si>
    <t>Общее количество граждан, проживавших в субъекте РФ на 1 января 2020 года, или средняя численность за 2020 год. Указать источник статистики о количестве жителей</t>
  </si>
  <si>
    <t>Закон субъекта РФ об инициативном бюджетировании</t>
  </si>
  <si>
    <t>Завершение: дд.мм.гг</t>
  </si>
  <si>
    <t>Даты начала и завершения мероприятий по выбору и реализации проектов ИБ, финансовое обеспечение которых осуществлялось в 2020 году</t>
  </si>
  <si>
    <t>Главный распорядитель / распорядители бюджетных средств на проекты ИБ, инициативные проекты</t>
  </si>
  <si>
    <t>Общая стоимость проектов ИБ, инициативных проектов в 2020 году</t>
  </si>
  <si>
    <t>Объем ассигнований из бюджета субъекта РФ на финансовое обеспечение проектов в 2020 году</t>
  </si>
  <si>
    <t>Доля указанных бюджетных ассигнований в бюджете субъекта РФ на 2020 год</t>
  </si>
  <si>
    <t xml:space="preserve">Объем ассигнований из бюджетов муниципальных образований на финансовое обеспечение проектов в 2020 году </t>
  </si>
  <si>
    <t xml:space="preserve">средства софинансирования со стороны граждан, включая инициативные платежи </t>
  </si>
  <si>
    <t>Объем софинансирования со стороны граждан на финансовое обеспечение проектов в 2020 году</t>
  </si>
  <si>
    <t xml:space="preserve">средства софинансирования со стороны юридических лиц и индивидуальных предпринимателей, включая инициативные платежи </t>
  </si>
  <si>
    <t>Объем софинансирования со стороны юридических лиц и индивидуальных предпринимателей на финансовое обеспечение проектов в 2020 году</t>
  </si>
  <si>
    <t>Объем субсидий из федерального бюджета, направленных на финансовое обеспечение проектов  в 2020 году</t>
  </si>
  <si>
    <t>Нефинансовый вклад со стороны граждан, индивидуальных предпринимателей и юридических лиц</t>
  </si>
  <si>
    <t>Планы финансирования практики из бюджета субъекта РФ на 2021 год</t>
  </si>
  <si>
    <t>Объем бюджетных ассигнований из бюджета субъекта РФ, которые запланированы на реализацию проектов в рамках практики в 2021 году</t>
  </si>
  <si>
    <t>Доля указанных бюджетных средств в общем объеме расходов бюджета субъекта РФ на 2021 год</t>
  </si>
  <si>
    <t>Динамика отбора: выдвинутые проектные идеи, поддержанные и отобранные проектные заявки</t>
  </si>
  <si>
    <t>Типология проектов ИБ, инициативных проектов, финансовое обеспечение которых осуществлялось в 2020 году</t>
  </si>
  <si>
    <t>Количество благополучателей от реализации проектов, финансовое обеспечение которых осуществлялось в 2020 году</t>
  </si>
  <si>
    <t>Анкетирование, опросы граждан, сбор подписей</t>
  </si>
  <si>
    <t xml:space="preserve">Очные встречи и обсуждения граждан, в том числе выдвижение проектных идей инициативной группой граждан </t>
  </si>
  <si>
    <t>Подача проектных идей через общественные приемные и депутатов</t>
  </si>
  <si>
    <t>Очное голосование на сходах, собраниях и конференциях</t>
  </si>
  <si>
    <t>Количество муниципальных образований (административно-территориальных единиц), принявших участие в практике в 2020 году</t>
  </si>
  <si>
    <t xml:space="preserve">Количество муниципальных образований (административно-территориальных единиц), от которых поступили проектные заявки  </t>
  </si>
  <si>
    <t>Субъект РФ (наименование)</t>
  </si>
  <si>
    <t xml:space="preserve">АНКЕТА </t>
  </si>
  <si>
    <t xml:space="preserve">КОММ </t>
  </si>
  <si>
    <t>регион 1</t>
  </si>
  <si>
    <t>регион 4</t>
  </si>
  <si>
    <t>регион 22</t>
  </si>
  <si>
    <t>регион 28</t>
  </si>
  <si>
    <t>регион 29</t>
  </si>
  <si>
    <t>регион 30</t>
  </si>
  <si>
    <t>регион 2</t>
  </si>
  <si>
    <t>регион 31</t>
  </si>
  <si>
    <t>регион 32</t>
  </si>
  <si>
    <t>регион 3</t>
  </si>
  <si>
    <t>регион 33</t>
  </si>
  <si>
    <t>регион 34</t>
  </si>
  <si>
    <t>регион 35</t>
  </si>
  <si>
    <t>регион 36</t>
  </si>
  <si>
    <t>регион 5</t>
  </si>
  <si>
    <t>регион 79</t>
  </si>
  <si>
    <t>регион 75</t>
  </si>
  <si>
    <t>регион 37</t>
  </si>
  <si>
    <t>регион 6</t>
  </si>
  <si>
    <t>регион 38</t>
  </si>
  <si>
    <t>регион 7</t>
  </si>
  <si>
    <t>регион 39</t>
  </si>
  <si>
    <t>регион 8</t>
  </si>
  <si>
    <t>регион 40</t>
  </si>
  <si>
    <t>регион 41</t>
  </si>
  <si>
    <t>регион 9</t>
  </si>
  <si>
    <t>регион 10</t>
  </si>
  <si>
    <t>регион 42</t>
  </si>
  <si>
    <t>регион 43</t>
  </si>
  <si>
    <t>регион 11</t>
  </si>
  <si>
    <t>регион 44</t>
  </si>
  <si>
    <t>регион 23</t>
  </si>
  <si>
    <t>регион 24</t>
  </si>
  <si>
    <t>регион 45</t>
  </si>
  <si>
    <t>регион 46</t>
  </si>
  <si>
    <t>регион 91</t>
  </si>
  <si>
    <t>регион 47</t>
  </si>
  <si>
    <t>регион 48</t>
  </si>
  <si>
    <t>регион 49</t>
  </si>
  <si>
    <t>регион 12</t>
  </si>
  <si>
    <t>регион 13</t>
  </si>
  <si>
    <t>регион 77</t>
  </si>
  <si>
    <t>регион 50</t>
  </si>
  <si>
    <t>регион 51</t>
  </si>
  <si>
    <t>регион 83</t>
  </si>
  <si>
    <t>регион 52</t>
  </si>
  <si>
    <t>регион 53</t>
  </si>
  <si>
    <t>регион 54</t>
  </si>
  <si>
    <t>регион 55</t>
  </si>
  <si>
    <t>регион 56</t>
  </si>
  <si>
    <t>регион 57</t>
  </si>
  <si>
    <t>регион 58</t>
  </si>
  <si>
    <t>регион 59</t>
  </si>
  <si>
    <t>регион 25</t>
  </si>
  <si>
    <t>регион 60</t>
  </si>
  <si>
    <t>регион 61</t>
  </si>
  <si>
    <t>регион 62</t>
  </si>
  <si>
    <t>регион 63</t>
  </si>
  <si>
    <t>регион 78</t>
  </si>
  <si>
    <t>регион 64</t>
  </si>
  <si>
    <t>регион 14</t>
  </si>
  <si>
    <t>регион 65</t>
  </si>
  <si>
    <t>регион 66</t>
  </si>
  <si>
    <t>регион 92</t>
  </si>
  <si>
    <t>регион 15</t>
  </si>
  <si>
    <t>регион 67</t>
  </si>
  <si>
    <t>регион 26</t>
  </si>
  <si>
    <t>регион 68</t>
  </si>
  <si>
    <t>регион 16</t>
  </si>
  <si>
    <t>регион 69</t>
  </si>
  <si>
    <t>регион 70</t>
  </si>
  <si>
    <t>регион 71</t>
  </si>
  <si>
    <t>регион 17</t>
  </si>
  <si>
    <t>регион 72</t>
  </si>
  <si>
    <t>регион 18</t>
  </si>
  <si>
    <t>регион 73</t>
  </si>
  <si>
    <t>регион 27</t>
  </si>
  <si>
    <t>регион 19</t>
  </si>
  <si>
    <t>регион 86</t>
  </si>
  <si>
    <t>регион 74</t>
  </si>
  <si>
    <t>регион 20</t>
  </si>
  <si>
    <t>регион 21</t>
  </si>
  <si>
    <t>регион 87</t>
  </si>
  <si>
    <t>регион 89</t>
  </si>
  <si>
    <t>регион 76</t>
  </si>
  <si>
    <t>Адыгея, республика</t>
  </si>
  <si>
    <t>Алтай, республика (1)</t>
  </si>
  <si>
    <t>Алтайский край</t>
  </si>
  <si>
    <t>Амурская область</t>
  </si>
  <si>
    <t>Архангельская область</t>
  </si>
  <si>
    <t>Астраханская область</t>
  </si>
  <si>
    <t>Башкортостан, республика</t>
  </si>
  <si>
    <t>Белгородская область</t>
  </si>
  <si>
    <t>Брянская область</t>
  </si>
  <si>
    <t>Бурятия, республика</t>
  </si>
  <si>
    <t>Владимирская область</t>
  </si>
  <si>
    <t>Волгоградская область</t>
  </si>
  <si>
    <t>Вологодская область</t>
  </si>
  <si>
    <t>Воронежская область</t>
  </si>
  <si>
    <t>Дагестан, республика (1)</t>
  </si>
  <si>
    <t>Еврейская АО</t>
  </si>
  <si>
    <t>Забайкальский край</t>
  </si>
  <si>
    <t>Ивановская область</t>
  </si>
  <si>
    <t>Ингушетия, респ.</t>
  </si>
  <si>
    <t>Иркутская область</t>
  </si>
  <si>
    <t>Кабардино-Балкарская респ.</t>
  </si>
  <si>
    <t>Калининградская область</t>
  </si>
  <si>
    <t>Калмыкия, республика</t>
  </si>
  <si>
    <t>Калужская область</t>
  </si>
  <si>
    <t>Камчатский край</t>
  </si>
  <si>
    <t>Карчаево-Черкесская респ.</t>
  </si>
  <si>
    <t>Карелия, республика</t>
  </si>
  <si>
    <t>Кемеровская область</t>
  </si>
  <si>
    <t>Кировская область</t>
  </si>
  <si>
    <t>Коми, республика</t>
  </si>
  <si>
    <t>Костромская область</t>
  </si>
  <si>
    <t>Краснодарский край</t>
  </si>
  <si>
    <t>Красноярский край</t>
  </si>
  <si>
    <t>Курганская область</t>
  </si>
  <si>
    <t>Курская область</t>
  </si>
  <si>
    <t>Крым, респ.</t>
  </si>
  <si>
    <t>Ленинградская область</t>
  </si>
  <si>
    <t>Липецкая область</t>
  </si>
  <si>
    <t>Магаданская область</t>
  </si>
  <si>
    <t>Мари-Эл республика</t>
  </si>
  <si>
    <t>Мордовия, республика</t>
  </si>
  <si>
    <t>Москва, г.</t>
  </si>
  <si>
    <t>Московская область</t>
  </si>
  <si>
    <t>Мурманская область</t>
  </si>
  <si>
    <t>Ненецкий АО</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</si>
  <si>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</si>
  <si>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</si>
  <si>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</si>
  <si>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</si>
  <si>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</si>
  <si>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</si>
  <si>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</si>
  <si>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Пермский край</t>
  </si>
  <si>
    <t>Приморский край</t>
  </si>
  <si>
    <t>Псковская область</t>
  </si>
  <si>
    <t>Ростовская область</t>
  </si>
  <si>
    <t>Рязанская область</t>
  </si>
  <si>
    <t>Самарская область</t>
  </si>
  <si>
    <t>Санкт-Петербург</t>
  </si>
  <si>
    <t>Саратовская область</t>
  </si>
  <si>
    <t>Саха (Якутия) республика</t>
  </si>
  <si>
    <t>Сахалинская область</t>
  </si>
  <si>
    <t>Свердловская область</t>
  </si>
  <si>
    <t>Севастополь</t>
  </si>
  <si>
    <t>Северная Осетия-Алания, республика</t>
  </si>
  <si>
    <t>Смоленская область</t>
  </si>
  <si>
    <t>Ставропольский край</t>
  </si>
  <si>
    <t>Тамбовская область</t>
  </si>
  <si>
    <t>Татарстан, респ.</t>
  </si>
  <si>
    <t>Тверская область</t>
  </si>
  <si>
    <t>Томская область</t>
  </si>
  <si>
    <t>Тульская область</t>
  </si>
  <si>
    <t>Тыва, респ.</t>
  </si>
  <si>
    <t>Тюменская область</t>
  </si>
  <si>
    <t>Удмуртия республика</t>
  </si>
  <si>
    <t>Ульяновская область</t>
  </si>
  <si>
    <t>Хабаровский край</t>
  </si>
  <si>
    <t>Хакассия, респ.</t>
  </si>
  <si>
    <t>ХМАО-Югра</t>
  </si>
  <si>
    <t>Челябинская область</t>
  </si>
  <si>
    <t>Чеченская республика</t>
  </si>
  <si>
    <t>Чувашская республика</t>
  </si>
  <si>
    <t>Чукотский АО</t>
  </si>
  <si>
    <t>Ямало-Ненецкий АО</t>
  </si>
  <si>
    <t>Ярославская область</t>
  </si>
  <si>
    <t>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</si>
  <si>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Публичное название: Проект поддержки местных инициатив в Алтайском крае
Лозунги: предлагай - поддержим; не нужно ждать - давайте делать</t>
  </si>
  <si>
    <t>01 июня 2019 г.</t>
  </si>
  <si>
    <t>31 декабря 2020 г.</t>
  </si>
  <si>
    <t>Государственная программа Алтайского края "Создание условий для эффективного и ответственного управления региональными и муниципальными финансами", утвержденная постановлением Правительства Алтайского края от 29.10.2019 № 423, подпрограмма 2 "Поддержание и стимулирование устойчивого исполнения бюджетов муниципальных образований Алтайского края", мероприятие 2.3.1. Предоставление субсидий муниципальным образованиям на софинансирование реализации инициативных проектов развития (создания) общественной инфраструктуры муниципальных образований</t>
  </si>
  <si>
    <t>Постановление Администрации Алтайского края от 19.11.2016 № 389 "Об утверждении Порядка предоставления из краевого бюджета средств на реализацию проектов развития (создания) общественной инфраструктуры, основанных на местных инициативах"</t>
  </si>
  <si>
    <t xml:space="preserve">Закон Алтайского края от 03.12.2019 № 102-ЗС "О краевом бюджете на 2020 год и на плановый период 2021 и 2022 годов" </t>
  </si>
  <si>
    <t>https://minfin.alregn.ru/bud/z2020/</t>
  </si>
  <si>
    <t>-</t>
  </si>
  <si>
    <t>Приказ Министерства финансов Алтайского края от 28.01.2020 № 2-н "Об утверждении требований к конкурсному отбору проектов развития (создания) общественной инфраструктуры, основанных на местных инициативах";
Приказ Министерства финансов Алтайского края от 30.08.2018 № 18-н "Об утверждении Положения о конкурсной комиссии по проведению конкурсного отбора по предоставлению из краевого бюджета бюджетам муниципальных образований Алтайского края субсидий на реализацию инициативных проектов развития (создания) общественной инфраструктуры муниципальных образований"</t>
  </si>
  <si>
    <t>https://docs.cntd.ru/document/550167156 ;
http://publication.pravo.gov.ru/Document/View/2201202001290001 ;
http://алтайпредлагай.рф/documents/normativnye-pravovye-akty/</t>
  </si>
  <si>
    <t>Министерство финансов Алтайского края</t>
  </si>
  <si>
    <t>Субсидия</t>
  </si>
  <si>
    <t>Администрация муниципального района / городского округа / сельского поселения</t>
  </si>
  <si>
    <t>Да</t>
  </si>
  <si>
    <t>Возможен трудовой вклад населения в реализацию проектов (участие в уборке территории, помощь в установке оборудования), также возможен неденежный вклад юридических лиц (предоставление техники, оборудования, специалистов)</t>
  </si>
  <si>
    <t>Количество благополучателей участники определяют самостоятельно в зависимости от типологии и потенциально возможных пользователей данным объектов</t>
  </si>
  <si>
    <t>https://akstat.gks.ru/folder/33247</t>
  </si>
  <si>
    <t>Краевое автономное учреждение "Алтайский центр финансовых исследований" (центр инициативного бюджетирования)</t>
  </si>
  <si>
    <t>Субсидия из краевого бюджета на выполнение государственного задания</t>
  </si>
  <si>
    <t>Опросные листы, регистрационные листы участников предварительных обсуждений</t>
  </si>
  <si>
    <t>Протокол итогового собрания</t>
  </si>
  <si>
    <t>Нет</t>
  </si>
  <si>
    <t>Протокол заседания конкурсной комиссии</t>
  </si>
  <si>
    <t>Все сельские населенные пункты, а также входящие в состав муниципальных районов поселки городского типа (рабочие поселки)</t>
  </si>
  <si>
    <t>Выбор осуществляется по типу муниципального образования (могут участвовать все сельские населенные пункты, а также входящие в состав муниципальных районов поселки городского типа (рабочие поселки), кроме самих городов)</t>
  </si>
  <si>
    <t>Подача заявок, работа с заявками (их проверка, оценка в соответствии с утвержденными критериями), сбор и проверка документов, необходимых для заключения соглашений, промежуточный контроль за проведением конкурентных процедур и реализацией объектов, сбор и проверка отчетов о реализации проектов, вывод информации о всех реализованных и реализуемых проектах</t>
  </si>
  <si>
    <t>http://алтайпредлагай.рф/</t>
  </si>
  <si>
    <t>https://cloud.mail.ru/public/4LdD/Pk1m2qRpw/</t>
  </si>
  <si>
    <t>Регулярно проводится информационная кампания, транслируются новостные сюжеты в средствах массовой информации, публикуются информационные статьи, проводятся выездные семинары в муниципальных образованиях Алтайского края, информационные вебинары, раздаются методические, презентационные и агитационные материалы с использованием символики.
https://cloud.mail.ru/public/bRic/XPPVkKvoV
Примеры новостных сюжетов:
https://vesti22.tv/news/za-chetyre-goda-v-syelakh-altayskogo-kraya-voplotili-bolshe-800-mestnykh-initsiativ/?sphrase_id=13598 
https://vesti22.tv/news/bolee-4-millionov-rubley-na-razvitie-sela-potratili-v-raytsentre-kulunda/?sphrase_id=13598 
https://vesti22.tv/news/v-anuyskom-vozrozhdayut-dvorets-dlya-selskoy-kultury/?sphrase_id=13598 
https://vesti22.tv/news/zhiteli-posyelka-prutskogo-pavlovskogo-rayona-reshili-problemu-so-slabym-naporom-vody-v-domakh/?sphrase_id=13598 
https://vesti22.tv/news/v-raytsentre-smolenskoe-otkrylas-universalnaya-sportivnaya-ploshadka/?sphrase_id=13598 
https://vesti22.tv/news/bolshe-24-millionov-rubley-iz-regionalnogo-byudzheta-potratyat-v-etom-godu-na-obnovlenie-memorialov/?sphrase_id=13598 
https://vesti22.tv/news/na-altae-obnovyat-memorialy-slavy/?sphrase_id=13598 
https://vesti22.tv/news/bolee-80-sovremennykh-detskikh-ploshchadok-poyavitsya-do-kontsa-goda-v-syelakh-kraya/?sphrase_id=13598 
https://vesti22.tv/news/kak-poluchit-dengi-na-razvitie-sela/?sphrase_id=13598
https://vesti22.tv/news/v-pospelikhinskom-rayone-postroili-universalnuyu-sportivnuyu-ploshadku/?sphrase_id=13598
https://vesti22.tv/news/v-pankrushikhe-zavershaetsya-stroitelstvo-detskoy-ploshchadki-za-million-rubley/?sphrase_id=13598
https://vesti22.tv/news/v-zalesovskom-rayone-zhivut-samye-iniciativnye-lyudi-altayskogo-kraya/?sphrase_id=13598
https://vesti22.tv/news/v-altayskom-sele-poyavilas-novaya-sportivnaya-ploshchadka/?sphrase_id=13598
https://vesti22.tv/news/v-altayskom-krae-opredelili-pobediteley-proekta-podderzhki-mestnyh-iniciativ/?sphrase_id=13598
15.02.2019 Конкурс местных инициатив прошёл в Алтайском крае https://katun24.ru/news/523141 
Примеры информационных статей:
https://www.altairegion22.ru/info/mass-media/line02/magazine/self-government/msu01_2020.pdf
https://www.altairegion22.ru/info/mass-media/line02/magazine/self-government/msu_03_2020.pdf
https://www.ap22.ru/paper/Po-proektu-podderzhki-mestnyh-initsiativ-v-Altayskom-krae-otremontiruyut-v-dva-raza-bol-she-ob-ektov.html</t>
  </si>
  <si>
    <t>Разработан логотип "Предлагай-поддержим" и разные информационные материалы (брошюры, плакаты, листовки, баннеры), позволяющие легко узнавать Проект. 
https://cloud.mail.ru/public/bRic/XPPVkKvoV
(http://алтайпредлагай.рф/documents/vspomogatelnie-material/)</t>
  </si>
  <si>
    <t>Семинары, вебинары</t>
  </si>
  <si>
    <t xml:space="preserve">https://docs.cntd.ru/document/444790925 </t>
  </si>
  <si>
    <t>Конкурс школьных инициатив "Я считаю"</t>
  </si>
  <si>
    <t>"Я считаю"</t>
  </si>
  <si>
    <t>Государственная программа Алтайского края "Развитие образования в Алтайском крае", подпрограмма "Развитие общего образования в Алтайском крае", мероприятие 2.1.2.1. Предоставление грантов на поддержку школьных инициатив</t>
  </si>
  <si>
    <t>Постановление Правительства Алтайского края от 22.03.2019 № 95 "Об утверждении порядка предоставления грантов на поддержку школьных инициатив"</t>
  </si>
  <si>
    <t>https://iro22.ru/index.php/2017-09-05-03-16-33/konkurs-shkolnykh-initsiativ-ya-schitayu/normativno-pravovye-dokumenty.html</t>
  </si>
  <si>
    <t>Закон Алатйского края от 03.12.2019 № 102-ЗС "О краевом бюджете на 2020 год и на плановый период 2021 и 2022 годов"</t>
  </si>
  <si>
    <t>Приказ Министерства образования и науки Алтайского края от 08.08.2019 № 29-П "Об утверждении положения о проведении конкурса "Я считаю" и форм документов для проведения конкурсного отбора для предоставления грантов на поддержку школьных инициатив"</t>
  </si>
  <si>
    <t>Министерство образования и науки Алтайского края</t>
  </si>
  <si>
    <t>Гранты</t>
  </si>
  <si>
    <t>Государственные (муниципальные) бюджетные и автономные учреждения, осуществляющие образовательную деятельность по образовательным программам начального общего, основного общего и (или) среднего общего образования</t>
  </si>
  <si>
    <t>да</t>
  </si>
  <si>
    <t>Использование строительных материалов, оборудования, инструментов, уборка мусора, благоустройство и пр.</t>
  </si>
  <si>
    <t>Количество благополучателей участники определяют самостоятельно</t>
  </si>
  <si>
    <t xml:space="preserve">https://akstat.gks.ru/folder/33247 </t>
  </si>
  <si>
    <t>нет</t>
  </si>
  <si>
    <t>на основании дополнительных материалов, прилагаемых к заявке</t>
  </si>
  <si>
    <t>фиксируется в листе регистрации старшеклассников, принявших участие в школьном голосовании</t>
  </si>
  <si>
    <t>https://iro22.ru/index.php/2017-09-05-03-16-33/konkurs-shkolnykh-initsiativ-ya-schitayu.html</t>
  </si>
  <si>
    <t>https://cloud.mail.ru/public/D63z/oU71DQAJn</t>
  </si>
  <si>
    <t>ТВ:
https://vesti22.tv/news/v-altayskom-krae-startoval-konkurs-shkolnykh-initsiativ-ya-schitayu/
https://vesti22.tv/news/v-baevskom-rayone-odinnadtsatiklassnitsa-samostoyatelno-obnovila-kholl-shkoly/
https://vesti22.tv/news/shkolniki-kraya-sami-budut-reshat-gde-i-kakoy-remont-v-uchebnom-zavedenii-nado-sdelat/
https://youtu.be/6LgpRmgLOcE
Новости:
https://www.altairegion22.ru/region_news/v-altaiskom-krae-podvodyat-pervye-itogi-realizatsii-kraevogo-konkursa-shkolnyh-proektov-molodezhnyi-byudzhet_867280.html
https://www.altairegion22.ru/region_news/v-altaiskom-krae-zapuschen-konkurs-molodezhnyi-byudzhet_807563.html?sphrase_id=992608
https://www.altairegion22.ru/region_news/v-altaiskom-krae-zavershilsya-pervyi-etap-konkursnogo-otbora-shkol-v-ramkah-molodezhnogo-byudzheta_815023.html?sphrase_id=992608
https://www.altairegion22.ru/region_news/v-shkolah-altaiskogo-kraya-proshli-vydvizheniya-i-obsuzhdeniya-proektovv-ramkah-konkursa-molodezhnyi-byudzhet_827169.html?sphrase_id=992608
https://www.altairegion22.ru/region_news/v-shkolah-altaiskogo-kraya-prohodyat-informatsionnye-kampanii-i-sobraniya-v-starshih-klassah-v-ramkah-konkursa-molodezhnyi-byudzhet_819996.html?sphrase_id=992608
Распространение раздаточных материалов (брошюры, плакаты)</t>
  </si>
  <si>
    <t>https://cloud.mail.ru/public/43VB/q6RjRJqxP</t>
  </si>
  <si>
    <t>1. Курсы повышения квалификации педагогов по теме «Содержание и методика преподавания курса финансовой грамотности различным категориям обучающихся», в которых приняли участие 100 педагогов ОО – апрель, 2020 г.
2. Финансовый лагерь Алтайского края в онлайн формате, в котором приняло участие более 450 детей – август, 2020 г..
3. Курсы повышения квалификации педагогов по теме «Формирование финансовой грамотности обучающихся с использованием интерактивных образовательных технологий и цифровых образовательных ресурсов», в которых приняли участие 80 педагогов ОО – сентябрь, 2020 г. 
4. Семинар «Реализация проекта «Я считаю» и образовательных программ по финансовой грамотности в Алтайском крае» в рамках Дней образования на Алтае, сентябрь 2020г., онлайн-формат, 100 участников.
5. I Регионального профессионального конкурса педагогов финансовой грамотности «Грани мастерства», в котором приняло участие 47 педагогов Алтайского края – октябрь-ноябрь, 2020 г..
6. Всероссийской молодежной конференции по инициативному бюджетированию «Песочница», приняло участие более 700 человек из разных регионов РФ, 20 спикеров, более 10 экспертов из 6 регионов России и Португалии - 5-6 ноября, 2020 г..
- Секция "Лидеры изменений" https://youtu.be/pQnx1KSHdM0 (выступление П. Цветкова, МБОУ Калманская СОШ)
- Круглый стол "Вовлечение молодежи в проекты инициативного бюджетирования" https://youtu.be/yh_jL55oZus (выступление Т. Райских, Алтайский институт развития образования им. А.М. Топорова)
- Секция «Личный опыт» https://youtu.be/tEOoYsPt3D8 (выступление Ю.Бескаева, МБОУ СОШ №31, г. Барнаул; И. Савкин, М. Дмитриев МБОУ Родинская СОШ)
7. Обучающие семинары с участниками конкурса (руководство образовательных организаций), 1 раз в полгода, 31 и 17 участников.</t>
  </si>
  <si>
    <t>"Поддержка проектов развития территорий Амурской области, основанных на местных инициативах"</t>
  </si>
  <si>
    <t>"Инициативное бюджетирование" (сайт министерства финансов Амурской области)</t>
  </si>
  <si>
    <t>Постановление Правительства Амурской области от 25.09.2013 N 442   "Об утверждении государственной программы Амурской области "Повышение эффективности деятельности органов государственной власти и управления Амурской области"</t>
  </si>
  <si>
    <t xml:space="preserve"> Постановление Правительства Амурской области от 25.09.2017 N 460
"О внесении изменений в постановление Правительства Амурской области от 25 сентября 2013 г. N 442"</t>
  </si>
  <si>
    <t>"Справочно-правовая система Консультатнт Плюс"</t>
  </si>
  <si>
    <t>Постановление Губернатора Амурской области от 16.02.2017 N 34
О координационном совете по вопросам реализации проектов развития территорий сельских поселений Амурской области, основанных на местных инициативах; 
Постановление Правительства Амурской области от 05.04.2018 N 143;
О конкурсной комиссии по проведению конкурсного отбора сельских поселений Амурской области для предоставления субсидий бюджетам сельских поселений Амурской области на поддержку проектов развития территорий сельских поселений Амурской области, основанных на местных инициативах</t>
  </si>
  <si>
    <t>министерство финансов Амурской области</t>
  </si>
  <si>
    <t>субсидии</t>
  </si>
  <si>
    <t>Администрации городских и сельских поселений</t>
  </si>
  <si>
    <t>Неквалифицированный труд по благоустройтсву объекта, вклад строительными материалами, безвозмездная аренда специализированной техники</t>
  </si>
  <si>
    <t>Данные представлены участниками конкурсного отбора. Количество прямых благополучателей не может превышать 100% жителей населенного пункта.</t>
  </si>
  <si>
    <t xml:space="preserve">https://amurstat.gks.ru/storage/mediabank/8B7LZIh7/07_1_4.htm </t>
  </si>
  <si>
    <t>Автономнаят некоммерческая организация "Центр развития территорий"</t>
  </si>
  <si>
    <t>Бюджет Амурской области</t>
  </si>
  <si>
    <t>Фотофиксация, листы регистрации, протоколы сходов</t>
  </si>
  <si>
    <t xml:space="preserve">Только сельские и городские поселения, в соответствии с Постановление Правительства Амурской области от 25.09.2013 N 442 </t>
  </si>
  <si>
    <t>Реализация проектов по поддержке местных инициатив на территории муниципальных образований Воронежской области</t>
  </si>
  <si>
    <t>Проекты по поддержке местных инициатив (ППМИ)</t>
  </si>
  <si>
    <t xml:space="preserve">Государственная программа Воронежской области"Содействие развитию муниципальных образований и местного самоуправления, подпрограмма 1 "Реализация государственной политики в сфере социально-экономического развития муниципальных образований", основное мероприятие 1.3 Стратегический проект "Решаем вместе.vrn", мероприятие 1.3.3 "Проведение ежегодного конкурсного отбора проектов по поддержке местных инициатив и их реализация"
</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</si>
  <si>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</si>
  <si>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http://publication.pravo.gov.ru/Document/View/3600201905300001?rangeSize=20</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</si>
  <si>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2026 года;                   
2.Закон Воронежской области от 20.12.2018 N 168-ОЗ "О Стратегии социально-экономического развития Воронежской области на период до 2035 года";                                    
3. Постановление Правительства Воронежской обл. от 29.12.2018 N 1242 "О плане мероприятий по реализации Стратегии социально-экономического развития Воронежской области на период до 2035 года"</t>
  </si>
  <si>
    <t>https://pravo.govvrn.ru/?q=node/16285;  https://pravo.govvrn.ru/?q=node/15088; https://pravo.govvrn.ru/?q=node/21716</t>
  </si>
  <si>
    <t>Распоряжение правительства Воронежской области от 19.04.2017 № 282-р, постановление правительства Воронежской области от 31.08.2017 № 678 "О реализации проектов по поддержке местных инициатив на территории муниципальных образований Воронежской области в рамках развития инициативного бюджетирования"</t>
  </si>
  <si>
    <t>http://aleksandrovskoe-pavlovskregion.ru/wp-content/uploads/2018/08/Rasporyazhenie-pravitelstva-Voronezhskoy-oblasti-ot-19.04.2017-----282-r---O-razvitii-initsiativnogo-byudzhetirovaniya-na-territorii-Voronezhskoy-oblasti--.doc</t>
  </si>
  <si>
    <t>Департамент по развитию муниципальных образований Воронежской области</t>
  </si>
  <si>
    <t>Бюджеты муниципальных образований Вороонежской области</t>
  </si>
  <si>
    <t>Часть работ (либо закупка материалов) при реализации проекта выполняются благотворителями и населением. 
Работы не оплачиваются из бюджетов различных уровней (неденежный вклад), однако на эти работы составлялась сметная документация и они включаются в конечную стоимость реализации проекта(например: демонтажные работы, работы по озеленению)</t>
  </si>
  <si>
    <t>5, 557</t>
  </si>
  <si>
    <t>статистика не велась</t>
  </si>
  <si>
    <t>Механизм определения следующий: если проект предполагает заинтересованность и последующеую эксплуатацию  большого круга жителей (например благоустройство места массового отдыха или ремонт и благоустройство мемориального комплекса) то количество благополучателей определяется как 100 %, 
если проект имеет определенную территориальную локализацию (например ремонт дороги по конкретной улице), то благополучателями будут жители домов вдоль ремонтируемой улицы, в то же время улица может иметь транзитное значение для других жителей и тогда определяется дополнительный процент благополучателей в зависимости от значимости проекта.
Иформация о количестве благополучателей содержится в заявке от органов местного самоуправления на участие в конкурсном отборе.</t>
  </si>
  <si>
    <t>Реестр (справочник) "Административно-территориальное устройство Воронежской области",  ежегодно выпускаемый правительством Воронежской области в соответствии с Законом Воронежской области от 27.10.2006 №87-ОЗ "Об Административно-территориальном устройстве Воронежской области и порядке его изменения"</t>
  </si>
  <si>
    <t>фотофиксация, видеосъемка</t>
  </si>
  <si>
    <t xml:space="preserve">Проекты отбирают жители населенных пунктов путем проведения опросов, анкетирования, собраний, конференций.  Администрации муниципальных образований формируют заявку на основе выбранных проектов и подают заявку в департамент по развитию муниципальных образований для участия в конкурсном отборе. Специалистами департамента заявки рассматриваются на соответствие требованиям конкурсного отбора и оцениваются в соответствии с нормативно закрепленным критериям отбора. Выстраивается рейтинг соответствующих требованиям конкурсного отбора заявок в порядке убывания баллов. Рейтинг с описание проектов направляется членам конкурсной комиссии для ознакомления не менее чем за 5 дней до заседания. За этот период члены конкурсной комиссии знакомятся с проектами, получают развернутые ответы по интересующим и возникающим вопросам. На заседании подводятся итоги конкурсного отбора, обсуждаются спорные моменты, связанные с проектами и согласовывается перечень проектов которые имеют право на получение субсидии из областного бюджета.Членами конкурсной комиссии являются представители профильных департаментов (исполнительных органов государственной власти) Воронежской области, депутатского корпуса и общественности. </t>
  </si>
  <si>
    <t>https://www.govvrn.ru/iniciativnoe-budzetirovanie</t>
  </si>
  <si>
    <t>https://facto.ru/longread-2020-01-30/selo-vrn.html</t>
  </si>
  <si>
    <t>Ресурс "Инициативное бюджетирование) на официальном сайте правительства Воронежской области,  СМИ (публикации во все районные газеты)</t>
  </si>
  <si>
    <t>обучающие вебинары в режиме видеоконференций для всех муниципальных образований области по мере внесения изменений в НПА, регламентирующий участие муниципальных образований в конкурсном отборе проектов по поддержке местных инициатив, 2 специалиста по 30-40 минут, регулярное обновление методических рекомендаций, индивидуальные очные и заочные консультации</t>
  </si>
  <si>
    <t>3</t>
  </si>
  <si>
    <t>«О реализации практик гражданских инициатив рамках развития инициативного бюджетирования на территории Воронежской области»</t>
  </si>
  <si>
    <t>Отбор практик гражданских инициатив</t>
  </si>
  <si>
    <t>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t>
  </si>
  <si>
    <t>https://pravo.govvrn.ru/?q=node/16285</t>
  </si>
  <si>
    <t>1. Постановление правительства Воронежской области от 29.05.2019 № 531 (ред. от 18.03.2021)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до 2026 года                   
2. Закон Воронежской области от 20.12.2018 № 168-ОЗ (ред. от 23.12.2019) «О Стратегии социально-экономического развития Воронежской области на период до 2035 года» 
3. Постановление Правительства Воронежской области от 29.12.2018 № 1242 (ред. от 15.02.2021) «О плане мероприятий по реализации Стратегии социально-экономического развития Воронежской области на период до 2035 года»</t>
  </si>
  <si>
    <t>Распоряжение правительства Воронежской области от 19.04.2017 № 282-р «О развитии инициативного бюджетирования на территории Воронежской области», 
Постановление Правительства Воронежской области от 21.01.2019 № 30 «О реализации практик гражданских инициатив в рамках развития инициативного бюджетирования на территории Воронежской области»</t>
  </si>
  <si>
    <t>https://pravo.govvrn.ru/?q=node/15372</t>
  </si>
  <si>
    <t>не велась</t>
  </si>
  <si>
    <t>В каждой поданной от органов местного самоуправления в рамках отбора практик гражданских инициатив заявке содержится информация по количеству благополучатей (жителей в границах населенного пункта)</t>
  </si>
  <si>
    <t>https://voronezhstat.gks.ru/</t>
  </si>
  <si>
    <t>фотовидеофиксация</t>
  </si>
  <si>
    <t>протокол заседания межведомственной комиссии по отбору практик гражданских инициатив</t>
  </si>
  <si>
    <t>страница департамента по развитию муниципальных образований Воронежской области, ресурс "Инициативное бюджетиррование" на официальном сайте органов государственной власти Воронежской области в сети "Интернет": www.govvrn.ru</t>
  </si>
  <si>
    <t>публикация информациии о сроках проведения и итогах конкурсного отбора в региональных и местных СМИ и на портале органов государственной власти Воронежской области в сети "Интернет": www.govvrn.ru</t>
  </si>
  <si>
    <t>презентационные материалы, сопровождающие выступления специалистов департамента на семинарах для муниципалитетов</t>
  </si>
  <si>
    <t>индивидуальные консультации, проводимые специалистами департамента для представителей муниципалитетов в online формате.</t>
  </si>
  <si>
    <t>110 представителей от муниципалитетов области</t>
  </si>
  <si>
    <t>Государственная программа Воронежской области «Содействие развитию муниципальных образований и местного самоуправления», 
подпрограмма «Реализация государственной политики в сфере социально-экономического развития муниципальных образований», 
Основное мероприятие 1.3 «Стратегический проект «Решаем вместе.vrn», 
Мероприятие 1.3.1. «Развитие института гражданских инициатив при обустройстве территорий муниципальных образований»</t>
  </si>
  <si>
    <t>проект "Народный бюджет"</t>
  </si>
  <si>
    <t>16 сентября 2019 г.</t>
  </si>
  <si>
    <t>Государственная программа Вологодской области "Управление региональными финансами Вологодской области на 2015 - 2020 годы";
подпрограмма "Поддержание устойчивого исполнения местных бюджетов и повышение качества управления муниципальными финансами на 2015-2020 годы";
основное мероприятие "Оценка качества управления муниципальными финансами".
В рамках данного мероприятия предусмотрено предоставление субсидий муниципальным образованиям области на реализацию проекта "Народный бюджет" и осуществляется оказание Департаментом внутренней политики Правительства области совместно с Департаментом финансов области методического содействия органам местного самоуправления муниципальных районов (городских округов) по вопросам реализации проекта "Народный бюджет".</t>
  </si>
  <si>
    <t>Постановление Правительства области от 05.11.2014 года № 990 "Об утверждении государственной программы Вологодской области "Управление региональными финансами Вологодской области на 2015 - 2020 годы"</t>
  </si>
  <si>
    <t>https://df.gov35.ru/dokumenty-strategicheskogo-planirovaniya/gosudarstvennaya-programma-departamenta-finansov/aktualnaya-versiya-gosudarstvennoy-programmy/</t>
  </si>
  <si>
    <t>Правительство области (Департамент внутренней политики Правительства области)</t>
  </si>
  <si>
    <t>Правительство области</t>
  </si>
  <si>
    <t>Субсидии муниципальным образованиям области</t>
  </si>
  <si>
    <t>Муниципальные районы, городские и сельские поселения области</t>
  </si>
  <si>
    <t>Формы участия, не имеющие денежного исчисления: трудовое участие, материалы, предоставление помещений, технических
средств, оборудования, транспорта и другое.</t>
  </si>
  <si>
    <t>Количество благополучаталей - жителей, вовлеченных в реализацию проекта - указывается в составе заявок, представленных на конкурс. 
Методика расчета доли вовлеченных в проект определена постановлением Правительства области от 05.11.2014 года № 990.
Доля жителей муниципального образования области, непосредственно вовлеченных в процесс решения вопросов местного значения в рамках реализации общественно значимого муниципального проекта, от общего количества населения, проживающего на территории муниципального образования области.</t>
  </si>
  <si>
    <t>https://vologdastat.gks.ru/storage/mediabank/%D0%A7%D0%B8%D1%81%D0%BB%D0%B5%D0%BD%D0%BD%D0%BE%D1%81%D1%82%D1%8C_20_341599.htm</t>
  </si>
  <si>
    <t>Протокол собрания граждан</t>
  </si>
  <si>
    <t>Протокол по итогам рассмотрения представленных в ответственный орган заявок муниципальных образований. Для прохождения конкурсного отбора заявка МО должна соответствовать параметрам, указанным в постановлении Правительства области от 05.11.2014 года № 990. Решение принимает региональная конкурсная комиссия.</t>
  </si>
  <si>
    <t>Возможность участия в конкурсном отборе имеют все муниципальные районы области, а также все городские и сельские поселения. Условия конкурса не распространяются на городские округа (г. Вологда и г. Череповец)</t>
  </si>
  <si>
    <t>На территории города Вологды и города Череповца реализуются отдельные муниципальные проекты по инициативному бюджетированию с финансированием из местного бюджета</t>
  </si>
  <si>
    <t>http://programs.vologda-oblast.ru/prog/programma_gubernatora_narodnyj_byudzhet/</t>
  </si>
  <si>
    <t>https://vologda-oblast.ru/novosti/v_pravitelstve_oblasti_obyavili_o_starte_konkursnogo_otbora_proekta_narodnyy_byudzhet_na_2020_god_/</t>
  </si>
  <si>
    <t>О старте конкурса было объявлено на совещаниях с представителями муниципальных образований области и в сети Интернет, в том числе на официальном портале Правительства Вологодской области и других официальных сайтах органов исполнительной государственной области</t>
  </si>
  <si>
    <t>Буклеты, подготовленные Департаментом внутренней политики Правительства области, распространялись среди жителей муниципальных образований области в рамках рабочих поездок и совещаний, проводимых Губернатором области и органами исполнительной государственной области. Цель буклетов - информировать граждан о ходе реализации проекта, отразить его результаты и привлечь их к участию в проекте (пример буклета прилагается).</t>
  </si>
  <si>
    <t>Подпрограмма "Поддержка местных инициатив населения Волгоградской области" государственной программы Волгоградской области "Управление государственными финансами Волгоградской области"</t>
  </si>
  <si>
    <t>Программа поддержки местных инициатив Волгоградской области</t>
  </si>
  <si>
    <t>Государственная программа Волгоградской области "Управление государственными финансами Волгоградской области"</t>
  </si>
  <si>
    <t>Постановление Администрации Волгоградской обл. от 23.01.2017 N 10-п</t>
  </si>
  <si>
    <t>https://login.consultant.ru/link/?req=doc&amp;base=RLAW180&amp;n=219646&amp;dst=106824</t>
  </si>
  <si>
    <t>Приказ комитета финансов Волгоградской обл. от 11.02.2020 N 31 "Об утверждении Положения о Волгоградском областном конкурсе проектов местных инициатив в 2020 году"</t>
  </si>
  <si>
    <t>https://login.consultant.ru/link/?req=doc&amp;base=RLAW180&amp;n=201582&amp;dst=1000000006</t>
  </si>
  <si>
    <t>Комитет финансов Волгоградской области</t>
  </si>
  <si>
    <t>Субсидии бюджетам муниципальных образований на реализацию проектов местных инициатив населения Волгоградской области, дотации на поддержку мер по обеспчению сбалансированности местных бюджетов</t>
  </si>
  <si>
    <t>Бюджеты муниципальных образований Волгоградской области</t>
  </si>
  <si>
    <t>http://10.1.2.160:1000/Reports/Full.aspx?year=2020</t>
  </si>
  <si>
    <t xml:space="preserve">Рабочая группа по реализации отраслевого проекта "Поддержка местных инициатив населения Волгоградской области" </t>
  </si>
  <si>
    <t>бюджет Волгоградской области</t>
  </si>
  <si>
    <t>При предоставлении документов обязательным условием являлось наличие протокола собрания граждан.</t>
  </si>
  <si>
    <t>Регистрация по номеру телефона на портале голосования https://budget4me34.ru/. Возможность голосования по одному номеру телефона только 1 раз за 1 из проектов каждого муниципального района (городского округа) и 1 раз за 1 из проектов каждого из 8 районов городского округа город-герой Волгоград</t>
  </si>
  <si>
    <t>Интернет технологии применялись при осуществлении рейтингового онлайн-голосования, которое продлилось , для этого использовалась система голосований  на платформе блокчейн, которая делает невозможным технически повлиять на результаты. Процедура продемонстрировала высокую активность жителей региона и их заинтересованность в развитии собственных территори. Каждый мог проголосовать за один проект от каждого района или города — не только за тот, в котором он проживает. https://budget4me34.ru 
Начиная с 2021 года интернет-решения применяются и для сбора проектов. Подача заявок на конкурс осуществляется через портал по адресу https://budget4me-34.ru 
На указанном портале можно отследить весь цикл проекта от подачи заявки - голосование - итоги реализации проекта</t>
  </si>
  <si>
    <t>https://budget4me-34.ru</t>
  </si>
  <si>
    <t>http://www.volgograd.ru   https://volgafin.volgograd.ru/norms/acts/17248/</t>
  </si>
  <si>
    <r>
      <t xml:space="preserve">В Волгоградской области в целях популяризации практики инициативного бюджетирования был проведен </t>
    </r>
    <r>
      <rPr>
        <b/>
        <sz val="10"/>
        <rFont val="Times New Roman"/>
        <family val="1"/>
      </rPr>
      <t>творческий конкурс среди детей и молодежи "Поддержка местных инициатив населения</t>
    </r>
    <r>
      <rPr>
        <sz val="10"/>
        <rFont val="Times New Roman"/>
        <family val="1"/>
      </rPr>
      <t xml:space="preserve">" по 2 номинациям: лучший комикс об инициативном бюджетировании и лучший видеоролик об инициативном бюджетировании. https://volgafin.volgograd.ru/current-activity/cooperation/news/340039/ 
По результатам конкурсного отбора было отобрано 30 работ. С работами можно ознакомится на официальном сайте ВИУ РАНХиГС, который стал соорганизатиором конкурса.
https://vlgr-ranepa.ru/konkurs/vlg-local-init/list/video/     (ролики)
 https://vlgr-ranepa.ru/konkurs/vlg-local-init/list/comics/    комиксы
Кроме того, информационная компания проводилась через взаимодействие с областными и муниципальными телевизионными каналами, который освещали вопросы подготовки проектов к конкурсным отборам и рассказывали о реализованных проектах.
Кроме того, информацию и консультирование по программе можно получить во всех офисах МФЦ по Волгоградской области.
</t>
    </r>
  </si>
  <si>
    <r>
      <rPr>
        <b/>
        <sz val="10"/>
        <color rgb="FF000000"/>
        <rFont val="Times New Roman"/>
        <family val="1"/>
      </rPr>
      <t>ФОРМА:</t>
    </r>
    <r>
      <rPr>
        <sz val="10"/>
        <color rgb="FF000000"/>
        <rFont val="Times New Roman"/>
        <family val="1"/>
      </rPr>
      <t xml:space="preserve"> Обучающие семинары-совещания в формате ZOOM-конференций с представителями ОМСУ Волгоградской области
</t>
    </r>
    <r>
      <rPr>
        <b/>
        <sz val="10"/>
        <color rgb="FF000000"/>
        <rFont val="Times New Roman"/>
        <family val="1"/>
      </rPr>
      <t>ПЕРИОДИЧНОСТЬ</t>
    </r>
    <r>
      <rPr>
        <sz val="10"/>
        <color rgb="FF000000"/>
        <rFont val="Times New Roman"/>
        <family val="1"/>
      </rPr>
      <t xml:space="preserve">: 2 раза в год: 
март - обучение по подготовке проектов на год
декабрь - подведение итогов года, анализ ошибок и лучшей практики
</t>
    </r>
    <r>
      <rPr>
        <b/>
        <sz val="10"/>
        <color rgb="FF000000"/>
        <rFont val="Times New Roman"/>
        <family val="1"/>
      </rPr>
      <t>Участники</t>
    </r>
    <r>
      <rPr>
        <sz val="10"/>
        <color rgb="FF000000"/>
        <rFont val="Times New Roman"/>
        <family val="1"/>
      </rPr>
      <t xml:space="preserve"> - представители ОМСУ. непосредственно собирающие инициативы с граждан, помогающие формировать проекты и осуществляющие текущий контроль за их реализацией.</t>
    </r>
  </si>
  <si>
    <t xml:space="preserve"> Проекты инициативного бюджетирования "Твой Кузбасс - твоя инициатива"</t>
  </si>
  <si>
    <t xml:space="preserve"> "Твой Кузбасс - твоя инициатива"</t>
  </si>
  <si>
    <t>28.02.2020г.</t>
  </si>
  <si>
    <t>25.12.2020г.</t>
  </si>
  <si>
    <t xml:space="preserve">"Об утверждении государственной программы Кемеровской области Кузбасса "Управление государственными финансами Кузбасса" на 2014-2022 годы, подпрограмма "Создание условий для повышения эффективности расходов бюджета Кемеровской области - Кузбасса, мероприятие "Реализация проектов инициативного бюджетирования "Твой Кузбасс - твоя иницитива" </t>
  </si>
  <si>
    <t>Постановление Коллегии Администрации Кемеровской области от 24.12.2018 № 606 "О внесении изменений в постановление Коллегии Администрации Кемеровской области  от 08.10.2013 № 421"</t>
  </si>
  <si>
    <t>http://publication.pravo.gov.ru/Document/View/4200201908130001</t>
  </si>
  <si>
    <t>Закон Кемеровской области - Кузбасса от 14.11.2018 № 90-ОЗ "О реализации проектов инициативного бюджетирования в Кемеровской области - Кузбассе"</t>
  </si>
  <si>
    <t xml:space="preserve">http://docs.cntd.ru/document/550244134  </t>
  </si>
  <si>
    <t>Закон Кемеровской области - Кузбасса от 14.11.2018 № 90-ОЗ "О реализации проектов инициативного бюджетирования в Кемеровской области -Кузбассе" (на постоянной основе)</t>
  </si>
  <si>
    <t>Постановление коллегии Администрации Кемеровской области от 11.12.2018 № 565 "Об областной конкурсной комиссии и проведении конкурсного отбора проектов инициативного бюджетирования "Твой Кузбасс - твоя инициатива" в Кемеровской области -Кузбассе, от 11.12.2018 № 566 " Об утверждении Порядка предоставления субсидии из областного бюджета бюджетам муниципальных образований Кемеровской области - Кузбасса на реализацию проектов   инициативного бюджетирования "Твой Кузбасс - твоя инициатива" в Кемеровской области - Кузбассе</t>
  </si>
  <si>
    <t>http://docs.cntd.ru/document/550287796   http://docs.cntd.ru/document/550287820</t>
  </si>
  <si>
    <t>Министерство финансов Кузбасса</t>
  </si>
  <si>
    <t>Субсидии</t>
  </si>
  <si>
    <t>34 получателя бюджетных средств, в том числе: администрации, управления  культуры, спорта, молодежи и национальной политики, управления образования, казенные учреждения, финансовые управления</t>
  </si>
  <si>
    <t>Численность благополучателей учитывается исходя из указанных данных в заявках на участие в конкурсах. Если численность населения муниципального образования превышает данные Росстата, конкурсанты направляют подтверждение (например, пояснительная записка по проведению областных конкурсов, планы региональных мероприятий на данной территории и т.д.)</t>
  </si>
  <si>
    <t>Расчетная методика не предусмотрена</t>
  </si>
  <si>
    <t>https://rosstat.gov.ru/storage/mediabank/Численность%20по%20МО_Site.xlsx</t>
  </si>
  <si>
    <t>Опросный лист</t>
  </si>
  <si>
    <t>Опросные листы,протоколы собраний</t>
  </si>
  <si>
    <t>нет (на стадии разработки)</t>
  </si>
  <si>
    <t>Протоколы собраний</t>
  </si>
  <si>
    <t>Протоколы заседаний областной конкурсной комиссии по проведению конкурсного отбора  проектов инициативного бюджетирования "Твой Кузбасс - твоя инициатива"от 23.01.2020 № 4, от 24.07.2020 №5: https://www.ofukem.ru/upload/iblock/32e/ProtokolN4ot200123.pdf, https://www.ofukem.ru/upload/iblock/b1c/ProtokolN5ot200724.pdf</t>
  </si>
  <si>
    <t xml:space="preserve">Городские и муниципальные округа, городские и сельские поселения муниципального района </t>
  </si>
  <si>
    <t>Муниципальный район не является участником конкурса проектов инициативного бюджетирования  "Твой Кузбасс- твоя инициатива". Приоритетное право реализации своих полномочий в Кузбассе было направлено на участие городских и сельских поселений. Данная категория по определенным показателям зачастую не может участвовать в иных программах, конкурсах на получение субсидий, грантов.</t>
  </si>
  <si>
    <t>https://www.ofukem.ru/activity/initiative-budgeting/about-the-projects/     https://vk.com/id534063931?z=video534063931_456239018   https://www.instagram.com/svetlana_kazakova_kazakovskaya/   https://vk.com/id534063931</t>
  </si>
  <si>
    <t xml:space="preserve"> https://admkaz.ru/news/2020/07/6777/      https://admsheregesh.ru/2019/11/7264/         http://admgurievsk.ru/budget/initsiativnoe-byudzhetirovanie.php           http://салаир-адм.рф/novosti/25490/       https://www.instagram.com/p/B4RTRNRoyQP/             https://mundybash.ru/category/tvoj-kuzbass-tvoya-initsiativa/2020-god-tvoj-kuzbass-tvoya-initsiativa/       http://chebula.ru/sfery-deyatelnosti/ekonomika/iniciativnoe-byudzhetirovanie/ 
http://media-kmr.ru/material/golosuem-podpisyu.html            http://dssf42.ru/otkrytie-futbolnogo-polja-s-iskusstvennym-pokrytiem
http://www.lnkrayon.ru/vlast/finansovoe-upravlenie/initsiativnoe-byudzhetirovanie.php
http://lkbaza.ru/2019/10/08/%D0%BE%D0%B1%D1%8A%D1%8F%D0%B2%D0%BB%D0%B5%D0%BD%D0%B8%D0%B5-2/
http://lkbaza.ru/2019/10/07/объявление/        http://chebula.ru/sfery-deyatelnosti/ekonomika/iniciativnoe-byudzhetirovanie/     https://chebulinsky-district.kuzbass-online.ru/news/9250     https://adm-yaya.ru/district-economy/ekonomika/initsiativnoe-byudzhetirovanie/o-proektakh/
</t>
  </si>
  <si>
    <t>https://www.ofukem.ru/images/logo_iniciative_budg.png</t>
  </si>
  <si>
    <t xml:space="preserve">https://www.youtube.com/watch?v=yStxxSP1eWg https://www.youtube.com/watch?v=4iZ4CeBNjSQ, https://www.youtube.com/watch?v=EDKc1e3uEsE, https://vesti42.ru/uncategorized/80393-vesti-kuzbass-stolitsa/ http://xn--80aeb5cm2e.xn--p1ai/programma-fakt/fakt-5-11-2.html                       https://www.youtube.com/watch?v=490YQcLst5Y                   
http://xn--80aeb5cm2e.xn--p1ai/programma-fakt/fakt-21-08-4.html 
&lt;http://xn--80aeb5cm2e.xn--p1ai/programma-fakt/fakt-21-08-4.html&gt;                                         https://vk.com/public167753951?w=wall-167753951_204     https://ok.ru/group55082045407349/topic/151020591151221                                  https://ok.ru/kuzinfo/topic/151684422731010
</t>
  </si>
  <si>
    <t>Методические рекомендации по реализации проектов инициативного бюджетирования "Твой Кузбасс - твоя иницитива" в Кемеровской области https://www.ofukem.ru/upload/iblock/56e/Metodicheskie-rekomendatsii.pdf</t>
  </si>
  <si>
    <t xml:space="preserve">Обучающие семинары, совещания,  конференции (заместители глав муниципальных образований, начальники финансовых органов, депутаты Законодательного собрания Кузбасса и муниципальных образований, представители совета муниципальных образований, представители  бизнеса) </t>
  </si>
  <si>
    <t>Реализация программ (проектов) инициативного бюджетирования</t>
  </si>
  <si>
    <t>1 января 2020 года</t>
  </si>
  <si>
    <t>30 декабря 2020 года</t>
  </si>
  <si>
    <t>Государственная программа "Региональная политика Брянской области" , мероприятие "Реализация программ (проектов) инициативного бюджетирования"</t>
  </si>
  <si>
    <t>Постановление Правительства Брянской области "О внесении изменений в государственную программу "Региональная политика Брянской области"</t>
  </si>
  <si>
    <t>от 25.12.2017 №706-п</t>
  </si>
  <si>
    <t xml:space="preserve">Постановление Правительства Брянской области 
"Об утверждении Порядка проведения конкурсного отбора программ (проектов) инициативного бюджетирования муниципальных образований Брянской области, методики проведения оценки программ (проектов) инициативного бюджетирования муниципальных образований Брянской области и состава конкурсной комиссии по определению победителей
</t>
  </si>
  <si>
    <t>от 15.04.2019 N 163-п (ред. от 28.09.2020)</t>
  </si>
  <si>
    <t>департамент внутренней политики Брянской области</t>
  </si>
  <si>
    <t>муниципальное образование Брянской области</t>
  </si>
  <si>
    <t xml:space="preserve">число граждан, проживающих в населенном пункте </t>
  </si>
  <si>
    <t>число граждан определяется по данным Федеральной государственной службы статистики</t>
  </si>
  <si>
    <t>https://bryansk.gks.ru/storage/mediabank/agc5YCGp/Nas-2020.htm</t>
  </si>
  <si>
    <t>да (возложены функции центра)</t>
  </si>
  <si>
    <t>Ассоциация "Совет муниципальных образований Брянской области"</t>
  </si>
  <si>
    <t>протокол собрания граждан</t>
  </si>
  <si>
    <t xml:space="preserve">да </t>
  </si>
  <si>
    <t>Протокол собрания жителей ТОС</t>
  </si>
  <si>
    <t>Протокол собрания, фотофиксация</t>
  </si>
  <si>
    <t>Публикации на официальных сайтах администраций муниципальных образований Брянской области, сайтах районных газет, а также печатные статьи в них, сюжеты на телеканале "Брянская губерния"</t>
  </si>
  <si>
    <t>Реализация на территории Оренбургской области проектов развтия общественной инфраструктуры, основанных на местных инициативах</t>
  </si>
  <si>
    <t>Инициативное бюджетирование Оренбургской области</t>
  </si>
  <si>
    <t>15 августа 2019</t>
  </si>
  <si>
    <t xml:space="preserve">31 декабря 2020 </t>
  </si>
  <si>
    <t>Постановление Правительства Оренбургской области от 14.11.2016 № 851-пп «О реализации на территории Оренбургской области проектов развития сельских поселений муниципальных районов Оренбургской области, основанных на местных инициативах»</t>
  </si>
  <si>
    <t>http://budget.orb.ru/images/gritsenko/post.doc</t>
  </si>
  <si>
    <t>Паспорт приоритетного проекта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 от 21.12.2017. Срок действия программы 01.01.2018–01.03.2025.</t>
  </si>
  <si>
    <t>Приказ министерства финансов Оренбургской области от 30.08.2017 № 129 "Об отдельных вопросах организации и проведения конкурсного отбора проектов развития общественной инфраструктуры, основанных на местных инициативах"</t>
  </si>
  <si>
    <t>http://budget.orb.ru/images/gritsenko/prikaz.doc</t>
  </si>
  <si>
    <t>Министерство финансов Оренбургской области</t>
  </si>
  <si>
    <t>Министерство физической культуры и спорта Оренбургской области; 
Министерство строительства, жилищно-коммунального, дорожного хозяйства и транспорта Оренбургской области;
Министерство культуры Оренбургской области</t>
  </si>
  <si>
    <t>субсидия</t>
  </si>
  <si>
    <t>муниципальное образование</t>
  </si>
  <si>
    <t>неоплачиваемый труд, материалы и другие формы</t>
  </si>
  <si>
    <t>нет статистики</t>
  </si>
  <si>
    <t>По данным конкурсных заявок: жители населенных пунктов, непосредственно пользующиеся объектами общественной инфраструктуры</t>
  </si>
  <si>
    <t>https://orenstat.gks.ru/
(раздел "Оперативные показатели")</t>
  </si>
  <si>
    <t>Ведомственный проектный офис министерства финансов Оренбургской области.
Проект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 признан Советом при Губернаторе Оренбургской области приоритетным.</t>
  </si>
  <si>
    <t>Текущая смета расходов министерства финансов Оренбургской области</t>
  </si>
  <si>
    <t>Протоколы собраний граждан по определению проекта</t>
  </si>
  <si>
    <t>Протоколы собраний граждан по определению параметров проекта</t>
  </si>
  <si>
    <t xml:space="preserve">Проводится заседание комиссии по рассмотрению и утверждению результатов конкурсного отбора проектов развития общественной инфраструктуры, основанных на местных инициативах. По проектам, реализованным в 2020 году было проведено 2 комиссии: 07.10.2019 - победителями конкурсного отбора на 2020 год были признаны 120 проектов; 23.06.2020 - победителями конкурсного отбора на 2020 год были признаны дополнительно 15 проектов (http://budget.orb.ru/new/init-budg; https://disk.yandex.ru/d/cIuoooA1ZplzhQ) </t>
  </si>
  <si>
    <t>Ранжирование проектов участников по количеству набранных баллов проводится автоматизированной системой сбора и обработки заявок (http://otbor.orb.ru/)</t>
  </si>
  <si>
    <t>Право на участие в конкурсном отборе имеют сельские поселения и городские округа, в состав которых входят сельские поселения. Таким образом осуществлен стопроцентный охват сельского населения региона.</t>
  </si>
  <si>
    <t>Имеется автоматизированная система сбора и обработки заявок http://otbor.orb.ru/</t>
  </si>
  <si>
    <t>http://budget.orb.ru/new/init-budg</t>
  </si>
  <si>
    <t>Для распространения информации об инициативном бюджетировании используются аккаунты министерства финансов области в социальных сетях (https://www.facebook.com/orenminfin/; https://www.instagram.com/minfin56/ )</t>
  </si>
  <si>
    <t>http://budget.orb.ru/new/init-budg 
https://yadi.sk/d/DfafUC5IEyTGOw</t>
  </si>
  <si>
    <t>1. Размещение информации на официальном сайте министерства финансов Оренбургской области (minfin.orb.ru);
2. Размещение информации на портале "Бюджет для граждан" (http://budget.orb.ru/new/init-budg);
3. Размещение информации на портале Правительства Оренбургской области (http://www.orenburg-gov.ru/);
4. Размещение информации муниципальными образованиями в местных печатных изданиях и на официальных сайтах администраций муниципальных образований Оренбургской области;
5. Проведение областных и зональных семинаров с представителями администраций, финансовых органов и населением.
6. Размещение информации в телевизионных региональных СМИ (например: Инициативное бюджетирование в Саракташском районе "Специальный репортаж" от 12 сентября 2020 года 
https://vestirama.ru/televizionnyie-peredachi/rossiya-1/specz.reportazh/20200913-16.53.33.html)</t>
  </si>
  <si>
    <t>В 2020 году все обучающие мероприятия по инициативному бюджетированию проходили в режиме ВКС, дополнительно были размещены обучающие видеоролики
(https://youtu.be/L6xKcyJsgcc; https://youtu.be/RdvPZ1cvw_0)</t>
  </si>
  <si>
    <r>
      <rPr>
        <b/>
        <sz val="10"/>
        <rFont val="Times New Roman"/>
        <family val="1"/>
      </rPr>
      <t>Государственная программа</t>
    </r>
    <r>
      <rPr>
        <sz val="10"/>
        <rFont val="Times New Roman"/>
        <family val="1"/>
      </rPr>
      <t xml:space="preserve"> «Управление государственными финансами и государственным долгом Оренбургской области»,утвержденная постановлением Правительства Оренбургской области от 25 декабря 2018 года №886-пп
</t>
    </r>
    <r>
      <rPr>
        <b/>
        <sz val="10"/>
        <rFont val="Times New Roman"/>
        <family val="1"/>
      </rPr>
      <t>подпрограмма 4</t>
    </r>
    <r>
      <rPr>
        <sz val="10"/>
        <rFont val="Times New Roman"/>
        <family val="1"/>
      </rPr>
      <t xml:space="preserve"> «Повышение эффективности бюджетных расходов Оренбургской области»;
</t>
    </r>
    <r>
      <rPr>
        <b/>
        <sz val="10"/>
        <rFont val="Times New Roman"/>
        <family val="1"/>
      </rPr>
      <t>приоритетный проект</t>
    </r>
    <r>
      <rPr>
        <sz val="10"/>
        <rFont val="Times New Roman"/>
        <family val="1"/>
      </rPr>
      <t xml:space="preserve"> «Вовлечение жителей муниципальных образований Оренбургской области в процесс выбора и реализации проектов развития общественной инфраструктуры, основанных на местных инициативах»</t>
    </r>
  </si>
  <si>
    <t>Название практики</t>
  </si>
  <si>
    <t>ППМИ</t>
  </si>
  <si>
    <t>ИБ</t>
  </si>
  <si>
    <t>Народный бюджет</t>
  </si>
  <si>
    <t>Твоя инициатива</t>
  </si>
  <si>
    <t>Губернаторский проект "Решаем вместе!"</t>
  </si>
  <si>
    <t>"Решаем вместе!"</t>
  </si>
  <si>
    <t xml:space="preserve"> -государственная программа Ярославской области "Формирование современной городской среды муниципальных образований на территории Ярославской области" на 2018 - 2024 годы, 
 -государственная программа Ярославской области «Местное самоуправление в Ярославской области» на 2021 – 2025 годы, подпрограмма «Развитие инициативного бюджетирования на территории Ярославской области».</t>
  </si>
  <si>
    <t>Указ Губернатора Ярославской области от 20.02.2017 №50 "О губернаторском проекте "Решаем вместе!"</t>
  </si>
  <si>
    <t>https://docs.cntd.ru/document/446168877</t>
  </si>
  <si>
    <t xml:space="preserve"> - </t>
  </si>
  <si>
    <t xml:space="preserve"> -</t>
  </si>
  <si>
    <t xml:space="preserve">  -</t>
  </si>
  <si>
    <t>Департамент финансов Ярославской области</t>
  </si>
  <si>
    <t>Департамент жилищно-коммунального хозяйства, энергетики и регулирования тарифов Ярославской области;
Департамент региональной политики и взаимодействия с органами местного самоуправления Ярославской области</t>
  </si>
  <si>
    <t>Субсидии и иной межбюджетный трансферт</t>
  </si>
  <si>
    <t xml:space="preserve">Бюджеты городских округов, муниципальных районов, городских и сельских поселений Ярославской области </t>
  </si>
  <si>
    <t>Приоритетный проект "Формирование современной городской среды"</t>
  </si>
  <si>
    <t>Минстрой России</t>
  </si>
  <si>
    <t xml:space="preserve">Департамент жилищно-коммунального хозяйства, энергетики и регулирования тарифов Ярославской области
</t>
  </si>
  <si>
    <t>Субботники, уборка мусора, обкос травы, выпиливание деревьев и кустарников, выращивание рассады цветов,  доставка растительного грунта, устройство цветников, посадка цветов, посадка саженцев кустов и деревьев, косметический ремонт, разработка ПСД, установка лавочек, урн, прожекторов освещения, доставка и установка музыкальной аппаратуры, уборка помещений после ремонта, демонтаж старых МАФ, покраска МАФ,</t>
  </si>
  <si>
    <t>Данные взяты из паспортов проектов инициативного бюджетирования. Сумма всех благополучаетлей за вычетом повторяющихся.</t>
  </si>
  <si>
    <t>https://yar.gks.ru/storage/mediabank/yaroslavskaya_oblast_v_tsifrah_2020_god.pdf</t>
  </si>
  <si>
    <t>Государственное казенное учреждение Ярославской области "Центр сопровождения проектов инициативного бюджетирования"</t>
  </si>
  <si>
    <t>средства бюджета Ярославской области</t>
  </si>
  <si>
    <t>Участие жителей в собраниях, а также принятые решения отражаются в протоколе собраний</t>
  </si>
  <si>
    <t>454/25036 чел.</t>
  </si>
  <si>
    <t>Староста выступает в качестве инициатора проекта, что закреплено в паспорте и протоколе проекта.</t>
  </si>
  <si>
    <t>Проектные идеи обсуждаются на встречах депутатов с избирателями, производится видозапись собрания, а также составляется протокол.</t>
  </si>
  <si>
    <t>В образовательных учреждениях, частвующих в реализации направления "Школьное инициативное бюджетирование" разработкой и обсуждением проектов занимаются органы ученического самоуправления.</t>
  </si>
  <si>
    <t>Проверка документации по проектам специалистами главного распорядителя бюджетных средств</t>
  </si>
  <si>
    <t>http://reshaem.vmeste76.ru/</t>
  </si>
  <si>
    <t>https://www.facebook.com/reshaemvmeste76
https://vk.com/reshaemvmeste76</t>
  </si>
  <si>
    <t>https://wampi.ru/image/RvQUm1a</t>
  </si>
  <si>
    <t>В 2020 г. в рамках голосования жителей по новому направлению проекта "Решаем вместе!" - "Приоритетные проекты" проводилась масштабная рекламная кампания с целью привлечения внимания граждан к голосованию. На территории области были размещены 10 информационных стендов с информацией о голосовании, также о голосовании сообщалось в СМИ (газеты и ТВ-репортажи).</t>
  </si>
  <si>
    <t>Раздаточные материалы в 2020 г. не изготавливались</t>
  </si>
  <si>
    <t>Онлайн-семинар</t>
  </si>
  <si>
    <t>Общественные инициативы</t>
  </si>
  <si>
    <t>Дорожная деятельность</t>
  </si>
  <si>
    <t>Благоустройство сельских территорий</t>
  </si>
  <si>
    <t>50/50</t>
  </si>
  <si>
    <t>Реализация проектов развития общественной инфраструктуры, основанных на местных инициативах</t>
  </si>
  <si>
    <t>"Наша инициатива" 
Слоган "Родниковый край - расцветай!"</t>
  </si>
  <si>
    <t>Государственная программа "Управление государственными финансами", подпрограмма "Повышение эффективности расходов бюджета Удмуртской Республики", мероприятие "Развитие инициативного бюджетирования в Удмуртской Республике"</t>
  </si>
  <si>
    <t>Постановление Правительства УР от 06.03.2019 N 79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</si>
  <si>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http://www.udmurt.ru/regulatory/index.php?typeid=All&amp;regnum=79&amp;sdate=06.03.2019&amp;edate=&amp;sdatepub=&amp;edatepub=&amp;q=&amp;doccnt=&amp;page=2&amp;doccnt=</t>
  </si>
  <si>
    <t>Постановление Правительства Удмуртской Республики от 21 мая 2019 года № 196 "О реализации в Удмуртской Республике проектов развития общественной инфраструктуры, основанных на местных инициативах"</t>
  </si>
  <si>
    <t>http://www.udmurt.ru/regulatory/index.php?typeid=31183294&amp;regnum=196&amp;sdate=21.05.2019&amp;edate=&amp;sdatepub=&amp;edatepub=&amp;q=&amp;doccnt=</t>
  </si>
  <si>
    <t>Министерство финансов Удмуртской Республики</t>
  </si>
  <si>
    <t>Администрации муниципальных образований Удмуртской Республики, чьи проекты стали победителями конкурсного отбора</t>
  </si>
  <si>
    <t>да, но учитывается только в балльно-рейтинговой оценке</t>
  </si>
  <si>
    <t>Безвозмездное предоставление материалов/товаров населением и спонсорами; трудовое участие населения (субботники по очистки территории и работы, не требующие специальной квалификации) и безвозмездное проведение работ спонсорами</t>
  </si>
  <si>
    <t>Численность жителей населенного пункта, которые регулярно будут пользоваться результатами выполненного проекта</t>
  </si>
  <si>
    <t>https://udmstat.gks.ru/folder/51924</t>
  </si>
  <si>
    <t>Автономное учреждение дополнительного образования Удмуртской Республики "Центр финансового просвещения"</t>
  </si>
  <si>
    <t>Бюджет Удмуртской Республики</t>
  </si>
  <si>
    <t xml:space="preserve">Заполненные анкеты на бумажном носителе с подписью заполнявшего анкету.
Ссылка на информационный портал об инициативном бюджетировании в Удмуртской Республике  http://ib.mfur.ru/
</t>
  </si>
  <si>
    <t>количество не учитывается при балльно-рейтинговой оценке</t>
  </si>
  <si>
    <t>Фотографии +Реестр участников собраний с подписями участников
Ссылка на информационный портал об инициативном бюджетировании в Удмуртской Республике http://ib.mfur.ru/</t>
  </si>
  <si>
    <t>Протоколы итоговых собраний жителей населенных пунктов, входящих в состав муниципальных образований на территории Удмуртской Республики. Протоколы прикреплены к каждой заявки участника конкурсного отбора в информационном портале. Ссылка на информационный портал http://ib.mfur.ru/</t>
  </si>
  <si>
    <t xml:space="preserve">Протокол заседания конкурсной комиссии по проведению ежегодного конкурсного отбора 
проектов развития общественной инфраструктуры, 
основанных на местных инициативах. Ссылка http://www.mfur.ru/news/3190/
</t>
  </si>
  <si>
    <t>Предварительная подача заявок и их проверка в электронном виде через информационный портал, посвященный инициативному бюджетированию</t>
  </si>
  <si>
    <t>http://ib.mfur.ru/</t>
  </si>
  <si>
    <t>https://vk.com/public184274800</t>
  </si>
  <si>
    <t>https://cloud.mail.ru/public/WEih/2g8FYmMBH/</t>
  </si>
  <si>
    <t>Участие в телевизионной программе "Экспертное мнение", регулярные новостные сюжеты на региональном телевидении  о ходе реализации проекта, репортажи с участием инициативных граждан на местах реализации проектов, участие в передачах на радио, посвященных инициативному бюджетированию, публикации в региональных газетах, пресс-конференции для журналистов с дальнейшей публикацией статей в региональных СМИ</t>
  </si>
  <si>
    <t>Методические рекомендации http://ib.mfur.ru/%d0%b4%d0%be%d0%ba%d1%83%d0%bc%d0%b5%d0%bd%d1%82%d1%8b-2/
Инфографика http://ib.mfur.ru/%d0%be%d0%b1%d0%b7%d0%be%d1%80-%d1%80%d0%b5%d0%b0%d0%bb%d0%b8%d0%b7%d0%b0%d1%86%d0%b8%d0%b8-%d0%b8%d0%bd%d0%b8%d1%86%d0%b8%d0%b0%d1%82%d0%b8%d0%b2%d0%bd%d0%be%d0%b3%d0%be-%d0%b1%d1%8e%d0%b4%d0%b6/
Буклет о проекте "Наша инициатива".
https://cloud.mail.ru/public/WEih/2g8FYmMBH/</t>
  </si>
  <si>
    <t>Обучение сотрудников администраций муниципальных образований, глав муниципальных образований и инициативных граждан в начале очередного раунда.
В 2020 году прошли обучающие мероприятия для раунда 2021 года.</t>
  </si>
  <si>
    <t>12 очных мероприятий - 
6 обучающих мероприятий в онлайн формате 
итого: 18 мероприятий</t>
  </si>
  <si>
    <t>470 участников  очных мероприятий, 
240 участников онлайн мероприятий
Итого: 510 участников</t>
  </si>
  <si>
    <t>Реализация проектов молодежное инициативное бюджетирование</t>
  </si>
  <si>
    <t>"Атмосфера"</t>
  </si>
  <si>
    <t>Постановление Правительства УР от 31.03.2020 N 84
"О внесении изменений в постановление Правительства Удмуртской Республики от 17 июня 2013 года N 252 "Об утверждении государственной программы Удмуртской Республики "Управление государственными финансами"</t>
  </si>
  <si>
    <t>http://www.udmurt.ru/regulatory/index.php?typeid=31183294&amp;regnum=84&amp;sdate=&amp;edate=&amp;sdatepub=&amp;edatepub=&amp;q=&amp;doccnt=</t>
  </si>
  <si>
    <t>Постановление Правительства Удмуртской Республики от 31 марта 2020 года № 94 "О реализации в Удмуртской Республике проектов молодежного инициативного бюджетирования"</t>
  </si>
  <si>
    <t>http://www.udmurt.ru/regulatory/index.php?typeid=31183294&amp;regnum=94&amp;sdate=&amp;edate=&amp;sdatepub=&amp;edatepub=&amp;q=&amp;doccnt=</t>
  </si>
  <si>
    <t>Иные межбюджетные трансферты</t>
  </si>
  <si>
    <t>Региональная экспертная комиссия по утверждению сводного перечня проектов молодежного инициативного бюджетирования</t>
  </si>
  <si>
    <t>Протокол заседания региональной экспертной комиссии по утверждению сводного перечня проектов молодежного инициативного бюджетирования</t>
  </si>
  <si>
    <t>да - проведение кейс-турниров для проектных команд, в ходе которых ребята сами голосовали за понравившиеся им представленные проекты</t>
  </si>
  <si>
    <t>Протоколы заседаний муниципальных экспертных комиссий по результатам проведения на территории муниципальных районов/городских округов конкурсных отборов проектов молодежного инициативного бюджетирования, реестры проектных предложений, утвержденные муниципальными экспертными комиссиями</t>
  </si>
  <si>
    <t>1. Практика подразумевает регистрацию участников через сайт. Проведение обучения и непосредственно кейс-турниров (этапы обучения, создания проектных команд, проектной деятельности, презентации проектов и голосования) - в очном формате.
2. В условиях карантина 2020 года все этапы были проведены в онлайн формате: регистрация участников - на сайте проекта; непосредственно кейс-турниры (обучающие мероприятия, проектная работа работа команд, презентация проектов и голосование) - через работу в google-классах и конференциях в zoom.
3. В 2021 году использовался смешанный формат - часть муниципальных образований  этапы презентации проектов и голосования провели очно.</t>
  </si>
  <si>
    <t xml:space="preserve">Практика может быт ь реализована и в офлайн и  онлайн формате. </t>
  </si>
  <si>
    <t>http://ur.atmosphere.team/</t>
  </si>
  <si>
    <t>https://vk.com/atmosfera_ur</t>
  </si>
  <si>
    <t>https://drive.google.com/drive/folders/1MYbJzRmRvyaMKYKfMObu8cFaLAwx2xLw?usp=sharing</t>
  </si>
  <si>
    <t>Информационная кампания проводилась с использованием всех информационных ресурсов. На официальном портале проекта и в верифицированном сообществе ВКонтакте размещались новости о начале регистрации, о старте конкурса и о ходе реализации проекта. Наибольший охват населения обеспечили информационные посты в сообществе проекта ВКонтакте - https://vk.com/atmosfera_ur?w=wall-192810396_2,
а также сюжеты местного телевидения:
2.1. https://www.myudm.ru/news/2020-07-14/144-proekta-molodezhnogo-initsiativnogo-byudzhetirovaniya-v-udmurtii-poluchili-finan 
2.2. https://www.youtube.com/watch?v=x3nyXAIh3Yc
2.3. https://www.youtube.com/watch?v=Qgki3vSVz9w</t>
  </si>
  <si>
    <t>Инфографика отражающая самые значимые для целевой аудитории показатели представлена в верифицированном сообществе ВКонтакте. Данные были собраны на основе опроса молодёжи. Участники опроса от 14 до 25 лет отвечали на вопросы о командной работе, об участии молодёжи в принятии решений и об информированности в сфере инициативного бюджетирования. Ссылка на макеты: https://vk.com/atmosfera_ur?w=wall-192810396_85</t>
  </si>
  <si>
    <t xml:space="preserve">1. Обучение сотрудников администраций муниципальных образований,молодежных активистов на обучающих онлайн и офлайн мероприятиях управленческой школы инициативного бюджетирования  - 1345 человек
2.Обучение модераторов кейс-турниров - 126 человек
3.Обучение участников кейс-турниров - 1049 человек
</t>
  </si>
  <si>
    <t>3 очных мероприятия 
9 обучающих мероприятий в онлайн формате
итого: 12 мероприятий</t>
  </si>
  <si>
    <t>360 участников  очных мероприятий, 
955 участников онлайн мероприятий,
126 модераторов
1049 - участников кейс-турниров
Итого: 2490 участников</t>
  </si>
  <si>
    <t>ШКИБ</t>
  </si>
  <si>
    <t>Подготовленные проектные идеи подаются командами, сформированными в ходе кейс-турниров</t>
  </si>
  <si>
    <t>Государственная программа Забайкальского края "Комплексное развитие сельских территорий"</t>
  </si>
  <si>
    <t>1 мая 2020 года</t>
  </si>
  <si>
    <t xml:space="preserve">31 октября 2020 года </t>
  </si>
  <si>
    <t>Постановление правительства Забайкальского края от 17 декабря 2019 года № 490</t>
  </si>
  <si>
    <t>2020-2025 г.г.</t>
  </si>
  <si>
    <t xml:space="preserve">Министерство сельского хозяйства Забайкальского края </t>
  </si>
  <si>
    <t xml:space="preserve">субсидия </t>
  </si>
  <si>
    <t>трудовое участие, техника</t>
  </si>
  <si>
    <t>Данные территориального органа федеральной службы государтсвенной статистики по Забайкальскому краю</t>
  </si>
  <si>
    <t>список граждан, подтверждающий участие в реализации проекта</t>
  </si>
  <si>
    <t>протокол схода граждан</t>
  </si>
  <si>
    <t>собрание граждан</t>
  </si>
  <si>
    <t xml:space="preserve">протокол </t>
  </si>
  <si>
    <t>Комплексное развитие сельских территорий</t>
  </si>
  <si>
    <t>Народная инициатива</t>
  </si>
  <si>
    <t>?</t>
  </si>
  <si>
    <t>«Содействие развитию исторических и иных местных традиций»</t>
  </si>
  <si>
    <t>мероприятие 1.2 "Поддержка мер по обеспечению сбалансированности местных бюджетов и компенсация дополнительных расходов, возникших в результате решений, принятых органами власти другого уровня" подпрограммы 1 "Выравнивание финансовых возможностей и содействие сбалансированности местных бюджетов" государственной программы "Создание условий для эффективного управления муниципальными финансами"</t>
  </si>
  <si>
    <t>Постановление Правительства ХМАО - Югры от 09.10.2013 N 416-п (ред. от 02.11.2018) "О государственной программе Ханты-Мансийского автономного округа - Югры "Создание условий для эффективного и ответственного управления муниципальными финансами, повышения устойчивости местных бюджетов Ханты-Мансийского автономного округа - Югры на 2018 - 2025 годы и на период до 2030 года" (действовала до конца 2018 года), с 1 января 2019 года по 31 декабря 2020 года - постановление Правительства ХМАО - Югры от 05.10.2018 N 360-п "О государственной программе Ханты-Мансийского автономного округа - Югры "Создание условий для эффективного управления муниципальными финансами"</t>
  </si>
  <si>
    <t>https://depfin.admhmao.ru/gosudarstvennye-i-tselevye-programmy/gosudarstvennye-programmy/sozdanie-usloviy-dlya-effektivnogo-i-otvetstvennogo-upravleniya-munitsipalnymi-finansami-povysheniya/proekt-na-2020-2022-gody/4125373/postanovlenie-pravitelstva-khmao-yugry-ot-05-10-2018-n-360-p-o-gosudarstvennoy-programme-khanty-mans/</t>
  </si>
  <si>
    <t xml:space="preserve">Департамент внутренней политики Ханты-Мансийского автономного округа - Югры </t>
  </si>
  <si>
    <t>муниципальные образования автономного округа</t>
  </si>
  <si>
    <t>нет данных</t>
  </si>
  <si>
    <t>Общее количество граждан, проживающих на территории где были реализованы проекты ИБ</t>
  </si>
  <si>
    <t>протоколы собрания граждан (инициативной группы), видеозаписи собраний</t>
  </si>
  <si>
    <t>регистрация в журналах поселений</t>
  </si>
  <si>
    <t>Предусматривает возможность участия всех муниципальных образований, но при условии наступления юбилейной даты в отдельном населенном пункте, входящем в состав городского округа или муниципального района (юбилейная дата каждые 10 лет) в конкретном финансовом году.</t>
  </si>
  <si>
    <t>Наступление юбилейной даты в отдельном населенном пункте, входящем в состав городского округа или муниципального района (юбилейная дата каждые 10 лет) в конкретном финансовом году</t>
  </si>
  <si>
    <t xml:space="preserve">http://nvraion.ru/ekonomika-i-finansy/initsiativnoe-byudzhetirovanie/; http://www.adminvata.ru/pamyatnik-vov.html;   http://admlariak.ru/otchet-za-2019-god.html;
http://admbel.ru/info/news/?ELEMENT_ID=65817;
http://admmul.ru/narodnyy-byudzhet.html; http://www.admkonda.ru/narodnyy-byudzhet-sp-leushi.html;
 http://www.admoil.ru/narodnyj-byudzhet </t>
  </si>
  <si>
    <t>www.admoil.ru/finans/narodni-budget/logotip.rar</t>
  </si>
  <si>
    <t>Объявления на информационных стендах при проведении собраний трудовых коллективов. 
Информационные листовки, размещение объявлений, статей о конкурсе Народная инициатива на официальных сайтах администрации района. 
Ящики для сбора проектных идей.
В средствах массовой информации, на стендах в МФЦ, а также в учреждениях образования, культуры и спорта. 
Также к работе по развитию ИБ были привлечены Общественные советы поселений.  
Обсуждение в коллективах, объявления, информационные письма.</t>
  </si>
  <si>
    <t>В информационных документах, в простой, понятной любому жителю форме. Инфографика не используется.
Памятка участникам конкурсного отбора "Народный бюджет" в Сургутском районе https://cloud.mail.ru/public/3Bte/3Gn3wHY16</t>
  </si>
  <si>
    <t>консультации по телефону специалистов муниципальных образований Ханты-Мансийского автономного округа - Югры</t>
  </si>
  <si>
    <t>по мере обращений специалистов муниципальных образований Ханты-Мансийского автономного округа - Югры</t>
  </si>
  <si>
    <t>(закон о бюджете автономного округа от 21.11.2019 № 75-оз)</t>
  </si>
  <si>
    <t xml:space="preserve">Благоустройство </t>
  </si>
  <si>
    <t>Постановление Администрации Костромской области от 23.12.2019 N 513-а "Об утверждении государственной программы Костромской области "Комплексное развитие сельских территорий Костромской области"</t>
  </si>
  <si>
    <t>Постановление Администрации Костромской области от 23.12.2019 N 513-а (ред. от 01.04.2021) "Об утверждении государственной программы Костромской области "Комплексное развитие сельских территорий Костромской области" {КонсультантПлюс}</t>
  </si>
  <si>
    <t>Департамент агропромышленного комплекса Костромской области</t>
  </si>
  <si>
    <t>Администрации муниципальных образований</t>
  </si>
  <si>
    <t>Государственная программа Российской Федерации "Комплексное развитие сельских территорий"</t>
  </si>
  <si>
    <t>Министерство сельского хозяйства Российской Федерации</t>
  </si>
  <si>
    <t>http://www.statdata.ru/naselenie/kostromskoi-oblasti</t>
  </si>
  <si>
    <t>Протокол схода граждан</t>
  </si>
  <si>
    <t>Сельские поселенения согласно перечня населенных пунктов указанных в государственной программе "Комплексное развитие сельских территорий Костромской области"</t>
  </si>
  <si>
    <t>https://apkkostroma.ru/industry-info/krst/index.aspx</t>
  </si>
  <si>
    <t>"О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</si>
  <si>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администрации Костромской области от 30.01.2014 № 13-а "Об утверждении Государственной программы Костромской области "Государственная поддержка социально ориентированных некоммерческих организаций и содействие развитию местного самоуправления на территории Костромской области"</t>
  </si>
  <si>
    <t>Постановление администрации Костромской области от 06.08.2015 № 281-а "О внесении изменений в постановление администрации Костромской области от 30.01.2014 № 13-а"</t>
  </si>
  <si>
    <t>Постановление Администрации Костромской области от 06.08.2015 N 281-а "О внесении изменений в постановление администрации Костромской области от 30.01.2014 N 13-а" (вместе с "Порядком предоставления субсидий бюджетам муниципальных образований Костромской области на реализацию муниципальных программ развития административных центров сельских поселений Костромской области", "Порядком предоставления субсидий из областного бюджета бюджетам муниципальных образований Костромской области на софинансирование расходных обязательств муниципальных образований Костромской области, возникших при реализации проектов развития территорий сельских и городских поселений, включая городские округа Костромской области, и сельских населенных пунктов Костромской области, основанных на местных инициативах") {КонсультантПлюс}</t>
  </si>
  <si>
    <t>Постановление губернатора Костромской области
от 29 декабря 2017 г. №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</si>
  <si>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Постановление Губернатора Костромской области от 29.12.2017 N 275 (ред. от 02.12.2020) "О конкурсном отборе муниципальных образований Костромской области в целях реализации проектов развития, основанных на общественных инициативах" (вместе с "Положением о конкурсном отборе муниципальных образований Костромской области в целях реализации проектов развития, основанных на общественных инициативах") {КонсультантПлюс}</t>
  </si>
  <si>
    <t>Администрация Костромской области</t>
  </si>
  <si>
    <t>Администрация муниципальных образований</t>
  </si>
  <si>
    <t>трудовое участие</t>
  </si>
  <si>
    <t>Количество благополучателей устанавливают заявители</t>
  </si>
  <si>
    <t>Формируется лист регистрации граждан</t>
  </si>
  <si>
    <t xml:space="preserve">Формируется протокол схода граждан </t>
  </si>
  <si>
    <t>Скриншот</t>
  </si>
  <si>
    <t>Протокол собрания/схода градан и листы регистрации</t>
  </si>
  <si>
    <t>https://ipr.kostroma.gov.ru/realizatsiya-proektov-razvitiya-osnovannykh-na-obshchestvennykh-initsiativakh/konkursnyy-otbor.php</t>
  </si>
  <si>
    <t>Социальные сети (группы органов местного самоуправленя), портал государственных органов Костромской области, местные газеты.
http://www.gradkostroma.ru/news/82daee3c-f5c0-4108-81a1-8eb5ee2942f0.aspx
https://gtrk-kostroma.ru/news/Finansirovanie-programmi-mestnih-initsiativ-v-Kostromskoy-oblasti-budet-uvelicheno-pochti-vdvoe/</t>
  </si>
  <si>
    <t>Разъяснительная работа муниципалитетов с жителями</t>
  </si>
  <si>
    <t>Постановление Администрации Костромской области от 25.02.2014 N 61-а "Об утверждении государственной программы Костромской области "Развитие транспортной системы Костромской области"</t>
  </si>
  <si>
    <t xml:space="preserve">Постановление Администрации Костромской области от 26.04.2017 N 176-а "О внесении изменения в постановление администрации Костромской области от 25.02.2014 N 61-а" </t>
  </si>
  <si>
    <t>Постановление Администрации Костромской области от 26.04.2017 N 176-а "О внесении изменения в постановление администрации Костромской области от 25.02.2014 N 61-а" (вместе с "Государственной программой Костромской области "Развитие транспортной системы Костромской области") {КонсультантПлюс}</t>
  </si>
  <si>
    <t>Постановление администрации Костромской области от 29.12.2017 г. №275 "О конкурсном отборе муниципальных образований Костромской области в целях реализации проектов развития, основанных на общественных инициативах"</t>
  </si>
  <si>
    <t>Департамент транспорта и дорожного хозяйства Костромской области</t>
  </si>
  <si>
    <t>Администрации муниципальных образований Костромской области</t>
  </si>
  <si>
    <t>Формируется протокол опроса граждан</t>
  </si>
  <si>
    <t>Формируется протокол очного голосования</t>
  </si>
  <si>
    <t>http://trans.adm44.ru/sfera/deytelnost/obshinic/</t>
  </si>
  <si>
    <t>Репортажи на региональном телевидение и местных газетах</t>
  </si>
  <si>
    <t>Поддержка государственных программ (подпрограмм)  субъектов Российской Федерации и муниципальных  программ формирования современной городской среды</t>
  </si>
  <si>
    <t>Благоустройство дворовых и общественных территорий</t>
  </si>
  <si>
    <t>Постановление администрации Костромской области от 28.08.2017 г. № 316-а "Об утверждении государственной программы Костромской области "Формирование современной городской среды"</t>
  </si>
  <si>
    <t>Постановление Администрации Костромской области от 28.08.2017 N 316-а (ред. от 22.03.2021) "Об утверждении государственной программы Костромской области "Формирование современной городской среды" {КонсультантПлюс}</t>
  </si>
  <si>
    <t>Департамент строительства, ЖКХ и ТЭК Костромской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</si>
  <si>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</si>
  <si>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информация муниципальных образований</t>
  </si>
  <si>
    <t>сходы, собрания граждан</t>
  </si>
  <si>
    <t>протокол очного голосования</t>
  </si>
  <si>
    <t>http://gkh.adm44.ru/sov_sreda/</t>
  </si>
  <si>
    <t>Формирование комфортной городской среды</t>
  </si>
  <si>
    <t xml:space="preserve">Государственная программа Курганской области «Формирование комфортной городской среды» </t>
  </si>
  <si>
    <t xml:space="preserve">Постановление Правительства Курганской области от 28.08.2017 N 320  "О государственной Программе Курганской области "Формирование комфортной городской среды" </t>
  </si>
  <si>
    <t>http://docs.cntd.ru/document/450332653</t>
  </si>
  <si>
    <t>Департамент строительства, госэкспертизы и жилищно-коммунального хозяйства Курганской области.</t>
  </si>
  <si>
    <t>муниципальные образования</t>
  </si>
  <si>
    <t xml:space="preserve">Государственная программа Курганской области «Формирование комфортной городской среды», национальный проект "Жильё и городская среда" </t>
  </si>
  <si>
    <t>Министерство строительства и жилищно-коммунального хозяйсва Россйской Федерации</t>
  </si>
  <si>
    <t>Способ(-ы) расчета количества благополучателей: (косвенно – благополучателями является все население Курганской области, так как объекты благоустройства находятся в пространственной доступности для всех жителей)</t>
  </si>
  <si>
    <t>https://sverdl.gks.ru/storage/mediabank/00104_2020.pdf</t>
  </si>
  <si>
    <t>http://gkh.kurganobl.ru/wp-content/uploads/2017/09/О-государственной-программе-Курганской-области-Формирование-комфортной-гор-среды-на-2018-2022-годы-7.pdf</t>
  </si>
  <si>
    <t>Муниципальные образования, в состав которых входят населенные пункты с численностью свыше 1000 человек</t>
  </si>
  <si>
    <t>346 материалов</t>
  </si>
  <si>
    <t>45 материалов, на телевизионных каналах - 38 сюжетов, на радиоканалах - 28 материалов, в социальных сетях и пабликах - 112 публикаций</t>
  </si>
  <si>
    <t xml:space="preserve">раздаточный материал, информационные стенды, формы для волонтеров: 300 футболок и кепи для волонтеров, 300 шариковых ручек, 4 билбордов (3х6 метров), 150 наклеек на урны для голосования, 150 журналов для регистрации. </t>
  </si>
  <si>
    <t>«Комплексное развитие сельских территорий Курганской области», утвержденная постановлением Правительства Курганской области от 28 декабря 2019 года № 458                                                        Ведомственный проект «Благоустройство сельских территорий»</t>
  </si>
  <si>
    <t>28 декабря 2019 г. № 458</t>
  </si>
  <si>
    <t>«Комплексное развитие сельских территорий Курганской области», утвержденная постановлением Правительства Курганской области от      28 декабря 2019 года № 458   2020-2025 гг.</t>
  </si>
  <si>
    <t>http://dsh.kurganobl.ru/assets/files/Invest/PPKO_28122019_458.pdf</t>
  </si>
  <si>
    <t>Департамент агропромышленного комплекса Курганской области</t>
  </si>
  <si>
    <t>Государственная программа Российской Федерации «Комплексное развитие сельских территорий»</t>
  </si>
  <si>
    <t>трудовое участие граждан</t>
  </si>
  <si>
    <t>оформление протокола схода граждан</t>
  </si>
  <si>
    <t>Реализация проектов общественной инфраструктуры муниципальных образований Калужской области, основанных на местных инициативах</t>
  </si>
  <si>
    <t>Программа поддержки местных инициатив Калужской области</t>
  </si>
  <si>
    <t xml:space="preserve">Ведомственная целевая программа  "Совершенствование
системы управления общественными финансами Калужской
области" - Предоставление межбюджетных субсидий на мероприятие
"Реализация проектов развития общественной инфраструктуры муниципальных образований, основанных на местных инициативах" (Раздел II, задача 1, пункт п))                                                                 
</t>
  </si>
  <si>
    <t xml:space="preserve">Постановление Правительства Калужской области от 21.04.2017 N 232 (ред. от 26.03.2019)
"Об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 рамках ведомственной целевой программы "Совершенствование системы управления общественными финансами Калужской области"
</t>
  </si>
  <si>
    <t>Постановление Правительства Калужской области от 21.04.2017 N 232 (ред. от 26.03.2019) "Об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 рамках ведомственной целевой программы "Совершенствование системы управления общественными финансами Калужской области" {КонсультантПлюс}</t>
  </si>
  <si>
    <t xml:space="preserve">Постановление Правительства Калужской области от 21.01.2020 N 30 (ред. от 23.12.2020)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t>
  </si>
  <si>
    <t>Постановление Правительства Калужской области от 21.01.2020 N 30 (ред. от 23.12.2020) "Об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 {КонсультантПлюс}</t>
  </si>
  <si>
    <t xml:space="preserve">Закон Калужской области от 30.12.2020 N 55-ОЗ
"О мерах поддержки реализации на территории Калужской области инициативных проектов"
</t>
  </si>
  <si>
    <t>Закон Калужской области от 30.12.2020 N 55-ОЗ "О мерах поддержки реализации на территории Калужской области инициативных проектов" (принят постановлением Законодательного Собрания Калужской области от 24.12.2020 N 118) {КонсультантПлюс}</t>
  </si>
  <si>
    <t xml:space="preserve">Приказ Министерства финансов Калужской обл. от 31.01.2020 N 30
"О реализации постановления Правительства Калужской области от 21.01.2020 N 30 "Об утверждении Положения о порядке предоставления и распределения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t>
  </si>
  <si>
    <t>Приказ Министерства финансов Калужской обл. от 31.01.2020 N 30 "О реализации постановления Правительства Калужской области от 21.01.2020 N 30 "Об утверждении Положения о порядке предоставления и распределения бюджетам муниципальных образований Калужской области субсидий на реализацию проектов развития общественной инфраструктуры муниципальных образований, основанных на местных инициативах" (вместе с "Положением о порядке проведения конкурсного отбора проектов развития общественной инфраструктуры муниципальных образований, основанных на местных инициативах", "Положением о конкурсной комиссии по проведению конкурсного отбора проектов развития общественной инфраструктуры муниципальных образований, основанных на местных инициативах") (Зарегистрировано в Администрации Губернатора Калужской обл. 20.02.2020 N 9462) {КонсультантПлюс}</t>
  </si>
  <si>
    <t>Министерство финансов Калужской области</t>
  </si>
  <si>
    <t>Городские и сельские поселения,  реализующие проекты развития общественной инфраструктуры муниципальных образований, основанные на местных инициативах, и прошедшие отбор проектов в соответствии с порядком, утвержденным министерством финансов Калужской области</t>
  </si>
  <si>
    <t xml:space="preserve">1. В форме безвозмездного выполнения работ (оказания услуг);
2. В форме продукции, товаров, материалов и т.д.;
3. В форме предоставления техники и оборудования.
</t>
  </si>
  <si>
    <t>Подсчет благополучателей осуществляется непосредственно местными администрациями поселений, получателями субсидии. В зависимости от направления проекта в число благополучателей могут быть включены как отдельные группы населения одного населенного пункта, входящего в состав поселения, так и жители всего поселения или даже муниципального района.</t>
  </si>
  <si>
    <t xml:space="preserve">нет </t>
  </si>
  <si>
    <t>https://kalugastat.gks.ru/storage/mediabank/ncXYIgHW/Численность%20постоянного%20населения%20Калужской%20области.pdf</t>
  </si>
  <si>
    <t>Сопровождением мероприятий практики инициативного бюджетирования занимаются сотрудники отдела мониторинга и взаимоотношений с бюджетами муниципальных образований министерства финансов Калужкой области</t>
  </si>
  <si>
    <t>Разработка анкет, распространение анкет, подведение итогов</t>
  </si>
  <si>
    <t>фотофиксация, в отдельных случаях</t>
  </si>
  <si>
    <t>не подсчитано</t>
  </si>
  <si>
    <t>фиксация не осуществлялась</t>
  </si>
  <si>
    <t>Лист регистрации</t>
  </si>
  <si>
    <t>В программе поддержки местных инициатив на территории Калужской области  участвуют  городские и сельские поселения</t>
  </si>
  <si>
    <t xml:space="preserve">Основные критерии выбора участников:  более низкий уровень социально-экономического развития поселений в сравнении с городскими округами (налоговые и неналоговые доходы округов позволяют выполнять принятые бюджетные обязательства), большая часть населения области проживает в поселениях. </t>
  </si>
  <si>
    <t xml:space="preserve">https://admoblkaluga.ru/sub/finan/inciativ.php </t>
  </si>
  <si>
    <t>Социальные сети, проведение обучающих семинаров с органами местного самоуправления, консультативная помощь</t>
  </si>
  <si>
    <t xml:space="preserve">1.  Семинар-совещание  с руководителями финансовых органов муниципальных районов и городских округов  Калужской области на тему «Итоги исполнения местных бюджетов в 2019 году и задачи финансовых органов муниципальных образований Калужской области в 2020 году» (февраль 2020) 70 человек, продолжительность 2 часа.                                                                                       2.Выездные семинары-совещания с органами местного самоуправления и депутатами представительных органов муниципальных образований Калужской области (1 квартал) - от 30 до 100 человек, продолжительность 2 часа.                                                                                            3.  Семинар-совещание "Исполнение местных бюджетов и реализация межбюджетных отношений в 2020году" (август 2020) 78 человек,  продолжительность 2 часа.    </t>
  </si>
  <si>
    <t>Предоставление субсидий из областного бюджета местным бюджетам на софинансирование расходных обязательств муниципальных образований Калининградской области, направленных на решение вопросов местного значения в сфере жилищно-коммунального хозяйства</t>
  </si>
  <si>
    <t>Муниципальные программы «конкретных дел» (ПКД)</t>
  </si>
  <si>
    <t>Государственная программа «Доступное и комфортное жилье», утвержденная постановлением Правительства Калининградской области от 31.12.2013 № 1026</t>
  </si>
  <si>
    <t>Постановление Правительства Калининградской области от 31.12.2013 № 1026</t>
  </si>
  <si>
    <t xml:space="preserve">http://docs.cntd.ru/document/460267690
</t>
  </si>
  <si>
    <t>Министерство строительства и жилищно-коммунального хозяйства Калининградской области</t>
  </si>
  <si>
    <t>субсидия из областного бюджета местному бюджету муниципального образования Калининградской области на софинансирование расходных обязательств местного бюджета, направленных на решение вопросов местного значения в сфере жилищно-коммунального хозяйства</t>
  </si>
  <si>
    <t>21 муниципальное образование (кроме города Калининграда)</t>
  </si>
  <si>
    <t>4,86% (от 3735,010 млн. руб ЗКО приложение №20)</t>
  </si>
  <si>
    <t>Общая численность минус численность ГО Калининград</t>
  </si>
  <si>
    <t>https://kaliningrad.gks.ru/population</t>
  </si>
  <si>
    <t>66 (сотрудники администраций муниципальных образований)</t>
  </si>
  <si>
    <t>анкетирование, интернет-голосование, опрос граждан волонтерами,  прием заявок, письменное обращение, регистрация обращений, проведение соц.опросов</t>
  </si>
  <si>
    <t>публичные слушания+сход граждан, собрание жителей</t>
  </si>
  <si>
    <t>через социальные сети</t>
  </si>
  <si>
    <t>Окружной совет депутатов</t>
  </si>
  <si>
    <t>подписчики газеты</t>
  </si>
  <si>
    <t>протокол</t>
  </si>
  <si>
    <t>Протокол  общего собрания жителей, а также обращение граждан на благоустройство общественных территорий через письменное обращения и сайт в АМО «Янтарный городской округ» и Правительство КО</t>
  </si>
  <si>
    <t>численность населения муниципального образования - до 80 тысяч человек</t>
  </si>
  <si>
    <t>частично</t>
  </si>
  <si>
    <t>публикации в социальных сетях, на официальных страницах администраций муниципальных образований</t>
  </si>
  <si>
    <t>не проводились</t>
  </si>
  <si>
    <t>Государственная программа Калининградской области «Формирование современной городской среды»</t>
  </si>
  <si>
    <t>Постановление Правительства Калининградской области от 31.08.2017 № 465 "Об утверждении государственной программы Калининградской области "Формирование современной городской среды"</t>
  </si>
  <si>
    <t>https://minstroy39.ru/upload/%D0%9F%D0%9F%D0%9A%D0%9E%20465%20%D0%BE%D1%82%2031%2008%202017%20%D0%B3%D0%BE%D1%81%20%D0%BF%D1%80%D0%BE%D0%B3%D1%80%D0%B0%D0%BC%D0%BC%D0%B0.pdf</t>
  </si>
  <si>
    <t>администрации муниципальных образований</t>
  </si>
  <si>
    <t>Постановление Правительства РФ от 30.12.2017 № 1710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 Национальный проект "Жильё и городская среда", Федеральный проект "Формирование комфортной городской среды"</t>
  </si>
  <si>
    <t>Министерство строительства и жилищно-коммунального хозяйства Российской Федерации</t>
  </si>
  <si>
    <t>Расчет производился администрациями муниципальных образований в зависимости от количества жителей населенных пунктов и конкретных районов</t>
  </si>
  <si>
    <t xml:space="preserve">опросные листы, социальные сети, обращения граждан, анкетирование, сбор предложений, протокольное решение,проведение социологического  опроса населения по показателям, отражающим удовлентворенность населения </t>
  </si>
  <si>
    <t>протоколы собраний, сходов, публичные слушания, сход граждан, прием заявлений, протокол  общего собрания жителей, а также обращение граждан на благоустройство общественных территорий через письменное обращения и сайт</t>
  </si>
  <si>
    <t>были установлены в ТЦ, МФЦ</t>
  </si>
  <si>
    <t>https://krasnoznamensk.gov39.ru/formirovanie-komfortnoy-gorodskoy-sredy-na-2018-2022-gg.html,    https://pionersk.gov39.ru/index.php/formirovanie-sovremennoj-gorodskoj-sredy,      Сайты администраций, социальные сети</t>
  </si>
  <si>
    <t>956 примерно, не все муниципалитеты фиксировали, определяли по большенству</t>
  </si>
  <si>
    <t>подписчики газеты/общие собрания собственников помещений многоквартирных домов</t>
  </si>
  <si>
    <t>инстаграмм, вконтакте, однокласники - официальные страницы</t>
  </si>
  <si>
    <t>1214 примерно, не все муниципалитеты фиксировали, определяли по большенству</t>
  </si>
  <si>
    <t>протоколы, опросный листы,сборы, встречи, протоколы  общего собрания жителей</t>
  </si>
  <si>
    <t>Постановлдения, Протоколы</t>
  </si>
  <si>
    <t>(от 4157,637 млн. руб ЗКО приложение №12_21)</t>
  </si>
  <si>
    <t>Формирование современной городской среды</t>
  </si>
  <si>
    <t>Государственная программа Кабардино-Балкарской Республики "Формирование современной городской среды", подпрограмма "Формирование современной городской среды"</t>
  </si>
  <si>
    <t>Постановление Правительства КБР от 31.08.2017г. № 156-ПП "Об утверждении государственной программы Кабардино-Балкарской Республики "Формирование современной городской среды"</t>
  </si>
  <si>
    <t>https://pravitelstvo.kbr.ru/documents/post/index.php?ELEMENT_ID=16584</t>
  </si>
  <si>
    <t>Постановление Правительства КБР от 30.12.2016г. № 253-ПП "О порядке предоставления субсидий местным бюджетам на реализацию проектов развития территорий муниципальных образований в Кабардино-Балкарской Республике, основанных на местных инициативах"</t>
  </si>
  <si>
    <t>https://pravitelstvo.kbr.ru/documents/post/index.php?ELEMENT_ID=12897</t>
  </si>
  <si>
    <t>Министерство строительства и жилищно-коммунального хозяйства КБР</t>
  </si>
  <si>
    <t>муниципальные образования (практика ИБ только в г.о. Нальчик)</t>
  </si>
  <si>
    <t>Национальный проект "Жилье и городская среда"</t>
  </si>
  <si>
    <t>Министерство строительства и жилищно-коммунального хозяйства РФ</t>
  </si>
  <si>
    <t>https://stavstat.gks.ru/storage/mediabank/%D0%9E%D1%86%D0%B5%D0%BD%D0%BA%D0%B0%20%D1%87%D0%B8%D1%81%D0%BB%D0%B5%D0%BD%D0%BD%D0%BE%D1%81%D1%82%D0%B8%20%D0%BD%D0%B0%D1%81%D0%B5%D0%BB%D0%B5%D0%BD%D0%B8%D1%8F%20%D0%9A%D0%91%D0%A0%20%D0%BD%D0%B0%2001.01.2020%D0%B3.%20%D0%B8%20%D0%B2%20%D1%81%D1%80%D0%B5%D0%B4%D0%BD%D0%B5%D0%BC%20%D0%B7%D0%B0%202019%D0%B3..pdf</t>
  </si>
  <si>
    <t>Протокол общего собрания собственников помещений в многоквартирном доме</t>
  </si>
  <si>
    <t>протокол заседания общей комиссии</t>
  </si>
  <si>
    <t>Репортаж в главной новостной телевизионной программе республики "Вести КБР"; информация в еженедельной городской газете "Нальчик", в социальных сетях:  на официальном сайте Местной администрации г.о. Нальчик (admnalchik.ru), в Инстаграм (nalchiknews)</t>
  </si>
  <si>
    <t>Подпрограмма "Формирование современной городской среды на территории муниципальных образований Владимирской области в 2018-2024 годах" государственной программы Владимирской области "Благоустройство территорий муниципальных образований Владимирской области", утвержденной постановлением администрации области от 30.08.2017 № 758</t>
  </si>
  <si>
    <t>Постановление администрации Владимирской области от 30.08.2017 № 758 " Об утверждении государственной программы Владимирской области "Благоустройство территорий муниципальных образований Владимирской области"</t>
  </si>
  <si>
    <t>https://clck.ru/Ueacz</t>
  </si>
  <si>
    <t>Департамент жилищно-коммунального хозяйства Владимирской области</t>
  </si>
  <si>
    <t>Органы местного самоуправления</t>
  </si>
  <si>
    <t>Государственная программа Российской Федерации "Обеспечение доступным и комфортным жильем и коммунальными услугами граждан Российской Федерации"/Федеральный проект "Формирование комфортной городской среды" национального проекта "Жилье и городская среда"</t>
  </si>
  <si>
    <t>Численность граждан, проживающих в муниципальных образованиях области, в которых проводилось благоустройство</t>
  </si>
  <si>
    <t>Подсчитано количества граждан, принявших участие в опросах, интервьюировании, анкетировании в муниципальных образованиях</t>
  </si>
  <si>
    <t>Подсчитано количества граждан, принявших участие в общественных обсуждениях и иных очных мероприятиях</t>
  </si>
  <si>
    <t>Подсчитано количество граждан, оставивших предложения на он-лайн сервисах (сайты, соцсети), в муниципальных образованиях,где было проведено рейтинговое голосование</t>
  </si>
  <si>
    <t>Подсчет голосов, принявших участие в голосовании на сайтах муниципальных образований, он-лайн сервисах (сайты, соцсети)</t>
  </si>
  <si>
    <t>Подсчет голосов, принявших участие в голосовании во время общественных слушаний и общественных обсуждений</t>
  </si>
  <si>
    <t>В программе принимают участие города и городские поселения области</t>
  </si>
  <si>
    <t>https://jkx.avo.ru/formirovanie-komfortnoj-gorodskoj-sredy</t>
  </si>
  <si>
    <t>https://www.instagram.com/vl.komfortnayasreda/</t>
  </si>
  <si>
    <t xml:space="preserve">Поддержка проектов местных инициатив граждан по благоустройству сельских территорий </t>
  </si>
  <si>
    <t xml:space="preserve">Государственная программа Владимирской области «Комплексное развитие сельских территорий Владимирской области»;                                                     Подпрограмма «Создание и развитие инфраструктуры на сельских территориях»;                                                   Основное мероприятие «Благоустройство сельских территорий» </t>
  </si>
  <si>
    <t>Постановление администрации Владимирской области от 20 декабря 2019 г. № 904 "Об утверждении государственной программы Владимирской области "Комплексное развитие сельских территорий Владимирской области"</t>
  </si>
  <si>
    <t>https://dsx.avo.ru/search?q=постановление+от+20.12.2019+№904</t>
  </si>
  <si>
    <t>Постановление Департамента сельского хозяйства Владимирской области от 17 апреля 2020 г. № 6 "О реализации мероприятий государственной программы "Комплексное развитие сельских территорий".</t>
  </si>
  <si>
    <t>Департамент сельского хозяйства Владимирской области</t>
  </si>
  <si>
    <t>Органы местного самоуправления сельских поселений</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</si>
  <si>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t>
  </si>
  <si>
    <t>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трудового участия, волонтерской деятельности, предоставления помещений и технических средств</t>
  </si>
  <si>
    <t>не учитывалось</t>
  </si>
  <si>
    <t>Подсчет благополучателей осуществляется на основании информации, представленной органами местного самоуправления</t>
  </si>
  <si>
    <t xml:space="preserve">https://vladimirstat.gks.ru/demograf
</t>
  </si>
  <si>
    <t>проведение органами местного самоуправления собраний (сходов) граждан</t>
  </si>
  <si>
    <t>протоколы собрания (сходов) граждан</t>
  </si>
  <si>
    <t>протокол заседания комиссии по отбору общественно-значимых некоммерческих проектов местных инициатив граждан, проживающих на сельских территориях</t>
  </si>
  <si>
    <t>https://dsx.avo.ru/ustojcivoe-razvitie-sel-skih-territorij?inheritRedirect=true</t>
  </si>
  <si>
    <t xml:space="preserve">Официальный сайт Департамента сельского хозяйства Владимирской области </t>
  </si>
  <si>
    <t>О порядках предоставления и распределения дотаций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t>
  </si>
  <si>
    <t>01 января 2020</t>
  </si>
  <si>
    <t>15 декабря 2020</t>
  </si>
  <si>
    <t>Государственная программа Владимирской области "Управление государственными финансами и государственным долгом Владимирской области". Подпрограмма "Создание условий для развития инициативного бюджетирования во Владимирской области". Основное мероприятие "Стимулирование муниципальных образований, реализующих инициативы граждан"</t>
  </si>
  <si>
    <t>Постановление Губернатора области от 22.03.2013 №319</t>
  </si>
  <si>
    <t xml:space="preserve">https://dtf.avo.ru/podderzka-iniciativ-naselenia
</t>
  </si>
  <si>
    <t>Департамента финансов, бюджетной и налоговой политики администрации Владимирской области</t>
  </si>
  <si>
    <t>Дотации на поддержку мер по обеспечению сбалансированности местных бюджетов бюджетам муниципальных образований в целях стимулирования органов местного самоуправления, способствующих развитию гражданского общества путем введения самообложения граждан и через добровольные пожертвования (Межбюджетные трансферты)</t>
  </si>
  <si>
    <t>Муниципальные образования Владимирской области</t>
  </si>
  <si>
    <t>Отбор заявок не производится. Удовлетворяются все правильно оформленные заявки. За счет средств областного бюджета стимулируются доходы в размере 100% от собранных средств. Средства предоставляются в форме дотации</t>
  </si>
  <si>
    <t>Количество жителей населенных пунктов, в которых реализованы проекты</t>
  </si>
  <si>
    <t>Протокол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t>
  </si>
  <si>
    <t>выписка из протокола собрания граждан, проживающих в населенном пункте, входящем в состав поселения, по вопросу принятия решения об использовании средств добровольных пожертвований</t>
  </si>
  <si>
    <t xml:space="preserve">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t>
  </si>
  <si>
    <t>Поддержка местных инициатив</t>
  </si>
  <si>
    <t xml:space="preserve">Государственная программа Ивановской области "Формирование современной городской среды", Подпрограмма "Благоустройство дворовых и общественных территорий", Основное мероприятие "Региональный проект "Формирование комфортной городской среды",  Мероприятие "Субсидии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t>
  </si>
  <si>
    <t>Постановление Правительства Ивановской области от 05.08.2019 N 304-п</t>
  </si>
  <si>
    <t>http://publication.pravo.gov.ru/Document/View/3700201908060002</t>
  </si>
  <si>
    <t>Департамент внутренней политики Ивановской области</t>
  </si>
  <si>
    <t xml:space="preserve">Субсидии </t>
  </si>
  <si>
    <t>Органы местного самоуправления Ивановской области</t>
  </si>
  <si>
    <t>добровольное трудовое участие, которое может выражаться в выполнении неоплачиваемых работ, не требующих специальной квалификации (уборка мелкого летучего мусора после производства работ, покраска бордюрного камня, озеленение территории (посадка саженцев деревьев, кустарников) и иные виды работ по усмотрению заинтересованных лиц), и (или) добровольное имущественное участие (например, предоставление материалов, оборудования, инвентаря, техники)</t>
  </si>
  <si>
    <t>по данным, представленным в заявке от ОМСУ</t>
  </si>
  <si>
    <t>https://ivanovo.gks.ru/storage/mediabank/S04UMNc3/NAS20.pdf</t>
  </si>
  <si>
    <t>протокол органов ТОС</t>
  </si>
  <si>
    <t>протокол собрания граждан/протокол органов ТОС</t>
  </si>
  <si>
    <t>http://dvp.ivanovoobl.ru/?type=news&amp;id=44014</t>
  </si>
  <si>
    <t xml:space="preserve">http://dvp.ivanovoobl.ru/search/?type=news&amp;id=/?type=news&amp;id=42185                                                           http://dvp.ivanovoobl.ru/search/?type=news&amp;id=/?type=news&amp;id=41533                                                   http://dvp.ivanovoobl.ru/search/?type=news&amp;id=/?type=news&amp;id=38911                                                            http://dvp.ivanovoobl.ru/search/?type=news&amp;id=/?type=news&amp;id=36543                                                                                          http://dvp.ivanovoobl.ru/search/?type=news&amp;id=/?type=news&amp;id=43549                                                            http://dvp.ivanovoobl.ru/search/?type=news&amp;id=/?type=news&amp;id=37752                                                                                   http://dvp.ivanovoobl.ru/search/?type=news&amp;id=/?type=news&amp;id=44014                                                           http://dvp.ivanovoobl.ru/search/?type=news&amp;id=/?type=news&amp;id=36635                                                                    http://dvp.ivanovoobl.ru/search/?type=news&amp;id=/?type=news&amp;id=35660                                                            https://i3vestno.ru/-506851                                                                                                             https://иваново.рф/novosti/lenta-novostey/201209-1/                                                                                                    https://www.ivanovonews.ru/news/1068781/                                                     https://runews24.ru/ivanovo/09/12/2020/c2750226ad78965f55b9a4a1b8e332ae                                                    http://gazeta-zarya.ru/2020/09/04/в-муниципалитетах-ивановской-област/                                              https://vk.com/wall-23491940_17716                                                                                                                                           https://vk.com/wall-23491940_14479
https://vk.com/wall-167525690_327                                                                                                                                             https://vk.com/wall-167525690_310
 https://vk.com/wall-167525690_294                                                                                                                                            https://vk.com/wall-167525690_291
 https://vk.com/wall-167525690_265                                                                                                                                              https://vk.com/wall-167525690_230
 https://vk.com/wall-167525690_226                                                                                                                                               https://vk.com/wall-167525690_216
 https://vk.com/wall-167525690_214                                                                                                                                                https://www.instagram.com/p/B93mugMqD4w/                                                                        https://www.instagram.com/p/B8dPs9NlBph/?igshid=jmtw7245c0po                                                                             https://www.instagram.com/p/CEt04eKCe2r/                                                                                             https://www.instagram.com/p/CF_3qeklWjF/                                                                                                                              https://www.instagram.com/p/CGZ7NyNFcV6/                                                                            https://www.instagram.com/p/CHXx_m1CQo4/                                                                                                                         https://www.instagram.com/p/CIY7FG-iOJf/                                                                                                    </t>
  </si>
  <si>
    <t xml:space="preserve">http://dvp.ivanovoobl.ru/?type=news&amp;id=44014                          </t>
  </si>
  <si>
    <t xml:space="preserve">Информационная кампании инициативного бюджетирования в рамках реализации проектов местных инициатив проводилась посредсвом размещения в средствах массовой информации и на официальных сайтах органов власти информации о всех этапах реалициализации проекта.                                                      http://dvp.ivanovoobl.ru/search/?type=news&amp;id=/?type=news&amp;id=42185                                                           http://dvp.ivanovoobl.ru/search/?type=news&amp;id=/?type=news&amp;id=41533                                                   http://dvp.ivanovoobl.ru/search/?type=news&amp;id=/?type=news&amp;id=38911                                                            http://dvp.ivanovoobl.ru/search/?type=news&amp;id=/?type=news&amp;id=36543                                                                                          http://dvp.ivanovoobl.ru/search/?type=news&amp;id=/?type=news&amp;id=43549                                                            http://dvp.ivanovoobl.ru/search/?type=news&amp;id=/?type=news&amp;id=37752                                                                                   http://dvp.ivanovoobl.ru/search/?type=news&amp;id=/?type=news&amp;id=44014                                                           http://dvp.ivanovoobl.ru/search/?type=news&amp;id=/?type=news&amp;id=36635                                                                    http://dvp.ivanovoobl.ru/search/?type=news&amp;id=/?type=news&amp;id=35660                                                            https://i3vestno.ru/-506851                                                                                                             https://иваново.рф/novosti/lenta-novostey/201209-1/                                                                                                    https://www.ivanovonews.ru/news/1068781/                                                     https://runews24.ru/ivanovo/09/12/2020/c2750226ad78965f55b9a4a1b8e332ae                                                    http://gazeta-zarya.ru/2020/09/04/в-муниципалитетах-ивановской-област/                                              https://vk.com/wall-23491940_17716                                                                                                                                           https://vk.com/wall-23491940_14479
https://vk.com/wall-167525690_327                                                                                                                                             https://vk.com/wall-167525690_310
 https://vk.com/wall-167525690_294                                                                                                                                            https://vk.com/wall-167525690_291
 https://vk.com/wall-167525690_265                                                                                                                                              https://vk.com/wall-167525690_230
 https://vk.com/wall-167525690_226                                                                                                                                               https://vk.com/wall-167525690_216
 https://vk.com/wall-167525690_214                                                                                                                                                https://www.instagram.com/p/B93mugMqD4w/                                                                        https://www.instagram.com/p/B8dPs9NlBph/?igshid=jmtw7245c0po                                                                             https://www.instagram.com/p/CEt04eKCe2r/                                                                                             https://www.instagram.com/p/CF_3qeklWjF/                                                                                                                              https://www.instagram.com/p/CGZ7NyNFcV6/                                                                            https://www.instagram.com/p/CHXx_m1CQo4/                                                                                                                         https://www.instagram.com/p/CIY7FG-iOJf/                                                                                                    </t>
  </si>
  <si>
    <t>Инициативное бюджетирование</t>
  </si>
  <si>
    <t>Государственная программ Чувашской Республики "Развитие сельского хозяйства и регулирование рынка сельскохозяйственной продукции, сырья и продовольствия Чувашской Республики" (подпрограмма "Устойчивое развитие сельских территорий Чувашской Республики") 
Государственная программа Чувашской Республики "Формирование современной городской среды на территории Чувашской Республики" на 2018 - 2022 годы (подпрограмма  "Благоустройство дворовых и общественных территорий муниципальных образований Чувашской Республики")</t>
  </si>
  <si>
    <t>Постановление Кабинета Министров Чувашской Республики от 22 февраля 2017 г. №71 "О реализации на территории Чувашской Республики проектов развития общественной инфраструктуры, основанных на местных инициативах"
Постановление Кабинета Министров Чувашской Республики от 26 октября 2018 г. № 433
Постановление Кабинета Министров Чувашской Республики от 31.08.2017 N 343
Постановление Кабинета Министров Чувашской Республики от 26 декабря 2019 №606</t>
  </si>
  <si>
    <t>http://agro.cap.ru/action/activity/</t>
  </si>
  <si>
    <t xml:space="preserve">Постановление Кабинета Министров Чувашской Республики от 03.02.2020 № 40 "О распределении в 2020 году субсидий из республиканского бюджета Чувашской Республики бюджетам городских округов на реализацию проектов развития общественной инфраструктуры, основанных на местных инициативах"
Постановление Кабинета Министров Чувашской Республики от 26 февраля 2020 г. № 71 "О распределении в 2020 году субсидий из республиканского бюджета Чувашской Республики бюджетам муниципальных районов на реализацию проектов развития общественной инфраструктуры, основанных на местных инициативах" </t>
  </si>
  <si>
    <t xml:space="preserve">Закон Чувашской Республики от 18.10.2004 № 19 "Об организации местного самоуправления в Чувашской Республике"
</t>
  </si>
  <si>
    <t>Указ Главы Чувашской Республики от 2 июля 2018 г. № 70 "Об основных направлениях бюджетной политики Чувашской Республики на 2019 год и на плановый период 2020 и 2021 годов"</t>
  </si>
  <si>
    <t xml:space="preserve">http://www.cap.ru/doc/laws/2018/07/02/decree_311127/
</t>
  </si>
  <si>
    <t>Постановление Кабинета Министров Чувашской Республики от 22 февраля 2017 г. №71 "О реализации на территории Чувашской Республики проектов развития общественной инфраструктуры, основанных на местных инициативах"</t>
  </si>
  <si>
    <t xml:space="preserve">Министерство сельского хозяйства Чувашской Республики
Министерство строительства, архитектуры и жилищно-коммунального хозяйства Чувашской Республики
</t>
  </si>
  <si>
    <t>Министерство сельского хозяйства Чувашской Республики/ распорядитель бюджетных средств на проекты ИБ, инициативные проекты на территории сельских территорий Чувашской Республики
Министерство строительства, архитектуры и жилищно-коммунального хозяйства Чувашской Республики/ распорядитель бюджетных средств на проекты ИБ, инициативные проекты на территории городских округов Чувашской Республики</t>
  </si>
  <si>
    <t>Субсидии местным бюджетам</t>
  </si>
  <si>
    <t xml:space="preserve">Бюджеты муниципальных районов, Администрации городских округов Чувашской Республики , бюджеты городских и сельских поселений (бюджеты муниципальных образований)
</t>
  </si>
  <si>
    <t>При расчете данного показателя учитывается численность прямых благополучателей, которые регулярно будут пользоваться результатами реализованного проекта (например, в случае ремонта улицы благополучатели - это жители этой и прилегающих к ней улиц,       которые регулярно ходят или ездят по отремонтированной улице). Расчет благополучателей по проекту инициативного бюджетирования администрациями муниципальных образований  осуществляется на основании статистических данных о численности жителей того населенного пункта, в котором планируется реализовать проект.</t>
  </si>
  <si>
    <t>https://chuvash.gks.ru/demog</t>
  </si>
  <si>
    <t>Проводился сбор подписей населения, протокол проведения опроса</t>
  </si>
  <si>
    <t>Протоколы собраний участников очных встреч, листы регистрации</t>
  </si>
  <si>
    <t>голосование</t>
  </si>
  <si>
    <t>установка ящиков для сбора проектных идей в учреждениях и организациях муниципльных образований Чувашской Республики</t>
  </si>
  <si>
    <t>1 этап. В целях реализации  проекта общественной инфраструктуры с участием граждан проводятся предварительные собрания и встречи, где обсуждаются проблемы и возможности реализации проекта. Результаты предварительных собраний фиксируются в протоколах собраний и встреч.                                                                                                                                                                                                                                                                  2 этап. На заключительном собрании граждан населенного пункта с учетом актуальности реализуемого проекта определяются параметры проекта и на основании очного голосования граждан принимается решение о реализации проекта на территории населенного пункта, составляется протокол заключительного собрания жителей.</t>
  </si>
  <si>
    <t>Протокол конкурсной комисси</t>
  </si>
  <si>
    <t>Информация о проектах  инициативного бюджетирования размещается на официальных сайтах в сети интернет органами местного самоуправления, публикуются фотографии в формате "до" и "после". Также реализованные проекты освещаются  национальной телерадиокомпаниией Чувашии и  средствами массовой информации. Информация о проектах инициативного бюджетирования публикуется на официальных сайтах органов власти Чувашской Республики и социальных сетях.
http://agro.cap.ru/news/2020/08/14/shumerlinci-aktivno-uchastvuyut-v-programme-inicia http://agro.cap.ru/news/2020/07/20/v-shemurshinskom-rajone-prodolzhayutsya-realizaciy http://agro.cap.ru/news/2020/05/27/v-alatirskom-rajone-iniciativa-zhitelej-pomogaet-b http://agro.cap.ru/news/2020/05/08/k-75-letiyu-pobedi-v-sele-shihazani-kanashskogo-ra</t>
  </si>
  <si>
    <t>http://agro.cap.ru/action/activity/ http://minstroy.cap.ru/action/activity/zhilischno-kommunaljnoe-hozyajstvo/iniciativnoe-byudzhetirovanie</t>
  </si>
  <si>
    <t>http://www.cap.ru/doc/laws/2020/02/03/ruling-40 http://www.cap.ru/doc/laws/2020/09/28/ruling-543</t>
  </si>
  <si>
    <t>3 этап. Органы местного самоуправления на основании протокола заключительного собрания жителей представляют комплект документов к участию в конкурсном отборе проектов на конкурсную комиссию по проведению конкурсного отбора проектов развития общественной инфраструктуры, основанных на местных инициативах, на территории городских и сельских поселений, муниципальных районов (далее - конкурсная комиссия), состав которой утверждается распоряжением Кабинета 4 этап. В состав конкурсной комиссии включаются представители органов исполнительной власти Чувашской Республики, а также по согласованию депутаты Государственного Совета Чувашской Республики, члены Общественной палаты Чувашской Республики, представители иных общественных организаций Чувашской Республики. Для участия в заседаниях конкурсной комиссии могут приглашаться независимые эксперты.Члены конкурсной комиссии рассмотривают заявки на участие в конкурсном отборе и осуществляют оценку проектов исходя из заданных критериев отбора (степень участия населения, юридических лиц и индивидуальных предпринимателей в определении и решении проблемы; социально-экономическая эффективность проекта; софинансирование проекта за счет средств местного бюджета, внебюджетных источников), а также  принимают участие в формировании рейтинга проектов по балльной шкале оценки, определяют перечень проектов, подлежащих финансированию из республиканского бюджета Чувашской Республики. Процедура проведения конкурсного отбора проектов регламентирована порядком проведения конкурсного отбора и исключает субъективный подход к принятию решений конкурсной комиссией. Решение конкурсной комиссии по итогам рассмотрения проектов принимается открытым голосованием простым большинством голосов.  По результатам заседания конкурсной комиссии в трехдневный срок составляется протокол, который подписывается всеми присутствовавшими на заседании членами конкурсной комиссии. Протокол заседания конкурсной комиссии является основанием для разработки проекта решения Кабинета Министров Чувашской Республики о распределении субсидий. Информационное сообщение о результатах конкурсного отбора на основании протокола заседания конкурсной комиссии размещается на официальном сайте организатора конкурсного отбора (орган исполнительной власти Чувашской Республики) на Портале органов власти Чувашской Республики в информационно-телекоммуникационной сети "Интернет" не позднее следующего рабочего дня после подписания протокола конкурсной комиссии. Министров Чувашской Республики.</t>
  </si>
  <si>
    <t>http://www.agro.cap.ru/action/activity/iniciativnoe-byudzhetirovanie  http://minstroy.cap.ru/action/activity/zhilischno-kommunaljnoe-hozyajstvo/iniciativnoe-byudzhetirovanie</t>
  </si>
  <si>
    <t>Проект поддержки местных инициатив на территории Ульяновской области (ППМИ)</t>
  </si>
  <si>
    <t>01 декабря 2019 года</t>
  </si>
  <si>
    <t>01 декабря 2020 года</t>
  </si>
  <si>
    <t>Основное мероприятие "Региональный приоритетный проект "Поддержка местных инициатив на территории Ульяновской области" Государственной программы Ульяновской области "Управление государственными  финансами Ульяновской области" (постановление Правительства Ульяновской области №26/584-П  от 14.11.2019, приложение №9)</t>
  </si>
  <si>
    <t>Постановление Правительства Ульяновской области от 08.09.2014 №22/412-П "Об утверждении государственной программы  Ульяновской области "Управление государственными  финансами Ульяновской области" на 2015-2021 годы</t>
  </si>
  <si>
    <t>https://docs.cntd.ru/document/463707762</t>
  </si>
  <si>
    <t>Паспорт регионального приоритетного проекта "Поддержка местных инициатив на территории Ульяновской области", утверждённого Губернатором Ульяновской области 16.03.2020 (в ред. от 22.09.2020)</t>
  </si>
  <si>
    <t xml:space="preserve"> http://ufo.ulntc.ru:8080/ppmi/npa
</t>
  </si>
  <si>
    <t>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 (на период 2020-2024 годы)</t>
  </si>
  <si>
    <t>https://law.ulgov.ru/doc/14746</t>
  </si>
  <si>
    <t>1) В Стратегии социально-экономического развития Ульяновской области до 2030 года, утвержденной постановлением Правительства Ульяновской области от 13.07.2015 №16/319-П: мероприятие «Развитие практик инициативного бюджетирования на территории Ульяновской области» в рамках задачи «Долгосрочные приоритеты бюджетной политики в Ульяновской области». 2) В   Стратегии развития государственных финансов Ульяновской области до 2030 года, утверждённой распоряжением Министерства финансов Ульяновской области от 10.09.2019 №41-р: направление «Реализация регионального приоритетного проекта «Поддержка местных инициатив» в рамках задачи «Повышение прозрачности и открытости бюджетного процесса Ульяновской области»</t>
  </si>
  <si>
    <t>Министерство финансов Ульяновской области</t>
  </si>
  <si>
    <t>Субсидии из областного бюджета Ульяновской области  бюджетам муниципальных образований Ульяновской области  в целях софинансирования  расходных обязательств, связанных с реализацией проектов развития  муниципальных образований, подготовленных  на основе местных инициатив граждан</t>
  </si>
  <si>
    <t>Бюджеты муниципальных образований Ульяновской области</t>
  </si>
  <si>
    <t>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 (приложение №9)</t>
  </si>
  <si>
    <t>Население и хозяйствующие субъекты, осуществляющие свою деятельность на территории муниципальных образований Ульяновской области, могут принять участие в реализации проектов развития в натуральной форме (безвозмездное предоставление товаров, техники и оборудования, выполнения работ). Наличие данного вклада в заявке проекта развития учитывается при оценке проектов развития в соответствии с утверждённой Методикой (Постановление Правительства Ульяновской области от 14.11.2019 №26/584-П "Об утверждении государственной программы  Ульяновской области "Управление государственными  финансами Ульяновской области".)</t>
  </si>
  <si>
    <t>Количество благополучателей рассчитывается на основании подсчёта данных, предоставленных в заявках муниципальных образований для участия  конкурсном отборе ППМИ. Предоставленная информация сверяется с данными Ульяновскстата.</t>
  </si>
  <si>
    <t>http://ufo.ulntc.ru:8080/ppmi/npa</t>
  </si>
  <si>
    <t xml:space="preserve"> http://ufo.ulntc.ru:8080/ppmi/o-proekte</t>
  </si>
  <si>
    <t>https://uln.gks.ru/</t>
  </si>
  <si>
    <t>Приложенные к заявкам копии протоколов сходов граждан, проведённых  на территории населённых пунктов муниципальных образований Ульяновской области по выбору приоритетного проекта развития с приложением списка граждан, присутствовавших на сходе, содержащий их собственноручные подписи</t>
  </si>
  <si>
    <t>Участие членов конкурсной комиссии в заседании</t>
  </si>
  <si>
    <t>На портале "Открытый бюджет Ульявской области" созданы открытая и закрытая  части. Открытая часть в разделе ППМИ предусматривает размещение всей актуальной информации о Проекте поддержки местных инициатив, в т.ч. предусмотрены разделы: о проекте, новости реестр реализованных проектов, проекты 2021 года, интерактивная карта, НПА, рейтинг муниципальных образований по итогам реализации ППМИ, контакты.  Закрытая часть Портала предусматривает: 1) подачу заявок и материалов к ней на участие в конкурсном отборе в электронном виде через личные кабинеты для муниципальных образований, возможность просмотра стадии прохождения заявки; 2) автоматический подсчёт баллов каждого проекта развития в соответствии с утверждённой Методикой, формирование рейтинга проектов-победителей; 3) формирование аналитической информации (количество сходов граждан, количество участников, типология проектов, стоимость проектов, в т.. в разрезе источников финансирования, количество благополучателей и т.п.)</t>
  </si>
  <si>
    <t>На портале "Открытый бюджет Ульяновской области" в разделе ППМИ  размещены  подразделы "Новости проекта" и "СМИ о проекте"  где размещена новостная лента о реализации проектов и телерепортажи, интервью  с непосредственными благополучателями</t>
  </si>
  <si>
    <t xml:space="preserve">На портале "Открытый бюджет Ульяновской области" в разделе ППМИ  размещены  вкладки "Новости проекта" и "СМИ о проекте"  где размещена новостная лента о реализации проектов и телерепортажи, интервью  с непосредственными благополучателями. Также  размещена Интерактивная карта реализованных проектов развития на территории муниципальных образований Ульяновской области за 2015-2020 годы с фото объектов, реализованных в рамках ППМИ. </t>
  </si>
  <si>
    <t>Министерством финансов Ульяновской области 1 раз в  квартал  в рамках ВКС проводились обучающие мероприятия (семинары, совещания) для участников реализации ППМИ и заинтересованных лиц, в т.ч. для руководителей финансовых органов муниципальных образований, Глав муниципальных образований, сельских старост, представителей инициативных групп,  депутов, представителей НКО. Например, 10 сентября 2020 года  сентября проведён семинар-совещание на тему "Инициативное бюджетирование в Ульяновской области: итоги и перспективы развития". На данном семинаре-совещании рассмотрены вопросы реализации инициативного бюджетирования  на территории Ульяновской области: итоги, новации и перспективы  развития, в  также особенности реализации Проекта поддержки местных инициатив  на территории Ульяновской области  в 2020-2021 годах</t>
  </si>
  <si>
    <t>1) "Проекты развития муниципальных образований Ульяновской области, подготовленных на основе местных инициатив граждан" в соответствии с НПА: постановление Правительства Ульяновской области №22/412-П от 08.09.2014 "Об утверждении государственной программы Ульяновской области "Управление государственными финансами Ульяновской области" на 2015-2021 годы", постановление Правительства Ульяновской области №26/584-П от 14.11.2019 "Об утверждении государственной программы Ульяновской области "Управление государственными финансами Ульяновской области"; 2) "Проект поддержки местных инициатив" в соответствии с паспортом регионального приоритетного проекта "Поддержка местных инициатив на территории Ульяновской области", утверждённого Губернатором Ульяновской области С.И.Морозовым 16.03.2020</t>
  </si>
  <si>
    <t>https://docs.cntd.ru/document/463710828 http://ufo.ulntc.ru/index.php?mgf=struct/pub&amp;slep=net</t>
  </si>
  <si>
    <t xml:space="preserve"> http://ufo.ulntc.ru:8080/ppmi/o-proekte https://uln.gks.ru/</t>
  </si>
  <si>
    <t xml:space="preserve"> Постановление Правительства Ульяновской области от 14.11.2019 года № 26/578-П "Об утверждении государственной программы Ульяновской области "Развитие агропромышленного комплекса, сельских территорий и регулирование рынков сельскохозяйственной продукции, сырья и продовольствия в Ульяноской области"</t>
  </si>
  <si>
    <t>https://law.ulgov.ru/doc/14744</t>
  </si>
  <si>
    <t>Министерство агропромышленного комплекса и развития сельских территорий Ульяновской области</t>
  </si>
  <si>
    <t xml:space="preserve">Министерство агропромышленного комплекса и развития сельских территорий Ульяновской области </t>
  </si>
  <si>
    <t xml:space="preserve"> Бюджеты сельские и городские поселений Ульяновской области</t>
  </si>
  <si>
    <t>Министерство сельского хозяйства РФ</t>
  </si>
  <si>
    <t>Количество благополучателей рассчитывается на основании подсчёта данных, предоставленных в заявках муниципальных образований Ульяновской области. Предоставленная информация сверяется с данными Ульяновскстата.</t>
  </si>
  <si>
    <t>приложение №7 к госпрограмме "Комплексное развитие сельских территорий" Постановления Правительства РФ № 696 от 31 мая 2019 года. Субсидии предоставляются муниципальным образованиям Ульяновской области за исключениема исключением городских округов, на территориях которых находятся административные центры субъектов.</t>
  </si>
  <si>
    <t>Формат ВКС, обучающие семинары с выездом: февраль 2020 года - Уфа, сентябрь 2020 года - Казань. Повышение квалификации по государственной программе</t>
  </si>
  <si>
    <t>2020</t>
  </si>
  <si>
    <t xml:space="preserve">Постановление Правительства Ульяновской области от 14.11.2019 N 26/574-П "Об утверждении государственной программы Ульяновской области "Формирование комфортной городской среды в Ульяновской области"
</t>
  </si>
  <si>
    <t>Национальный проект "Жильё и городская среда"</t>
  </si>
  <si>
    <t>государственная программа Ульяновской области "Формирование комфортной городской среды в Ульяновской области"</t>
  </si>
  <si>
    <t>https://docs.cntd.ru/document/463732391</t>
  </si>
  <si>
    <t>_</t>
  </si>
  <si>
    <t>Департамент городской среды Министерства энергетики, жилищно-коммунального комплекса и городской среды Ульяновской области</t>
  </si>
  <si>
    <t>Министерство энергетики, жилищно-коммунального комплекса и городской среды Ульяновской области</t>
  </si>
  <si>
    <t>Бюджеты поселений и городских округов Ульяновской области</t>
  </si>
  <si>
    <t>Государственная программа Ульяновской области "Формирование комфортной городской среды в Ульяновской области", нацональный проект "Жильё и  городская  среда"</t>
  </si>
  <si>
    <t>Министерство энергетики, жилищно-коммунального комплекса и городской среды Ульяновской области, администрация муниципального образования</t>
  </si>
  <si>
    <t>Ежемесячный отчет органов местного самоуправления поселений и городских округов Ульяновской области</t>
  </si>
  <si>
    <t>Анкетирование</t>
  </si>
  <si>
    <t>http://energy.ulregion.ru/</t>
  </si>
  <si>
    <t>Адресный перечень инвентаризрованных территорий общего пользования  поселений и городских округов  Ульяновской области, нуждающихся в благоустройстве утверждён постановлением Правительства Ульяновской области  от 14 ноября 2019 г. N 26/574-П "Об утверждении государственной программы Ульяновской области "Формирование комфортной городской среды в Ульяновской области"</t>
  </si>
  <si>
    <t>https://ulgov.ru/news/regional/2020.12.04/58446/     http://gorsreda.ulregion.ru/2020/12/04/ульяновская-область-в-числе-первых-по-2/        https://vk.com/gor_sreda73?w=wall-152991101_877        https://www.facebook.com/beautification73/posts/161317262343360              https://governors.ru/news/Ulyanovskaya-oblast-v-chisle-pervykh-polnostyu-zavershila-blagoustroystvo-obektov-po-naczionalnomu/314918              https://media73.ru/2020/ulyanovskaya-oblast-v-chisle-pervykh-vypolnila-godovoy-plan-po-blagoustroystvu</t>
  </si>
  <si>
    <t>https://minstroyrf.gov.ru/upload/iblock/7b3/Gorsreda_brandbook_new.pdf</t>
  </si>
  <si>
    <t>Размещение в СМИ, ТВ, радио, наружная реклама, социальные сети и др.</t>
  </si>
  <si>
    <t>Инициативное бюджетирование на территории Чукотского автономного округа</t>
  </si>
  <si>
    <t>1 февраля 2020</t>
  </si>
  <si>
    <t>31 декабря 2020</t>
  </si>
  <si>
    <t>Государственная программа "Управление региональными финансами и имуществом Чукотского автономного округа", подпрограмма "Организация межбюджетных отношений и повышение уровня бюджетной обеспеченности местных бюджетов", основное мероприятие "Развитие инициативного бюджетирования на территории Чукотского автономного округа"</t>
  </si>
  <si>
    <t>Постановление Правительства Чукотского автономного округа от 15 марта 2019 года № 131 "О внесении изменений в Постановление Правительства Чукотского автономного округа от 28 марта 2014 года № 142"</t>
  </si>
  <si>
    <t>http://чукотка.рф/documents/gosudarstvennye-programmy-chukotskogo-ao/</t>
  </si>
  <si>
    <t>Постановление Правительства Чукотского автономного округа от 28 марта 2014 г. № 142 "Об утверждении Государственной программы "Управление региональными финансами и имуществом Чукотского автономного округа", основное мероприятие: "Развитие инициативного бюджетирования на территории Чукотского автономного округа"  2019-2023 год</t>
  </si>
  <si>
    <t>Постановление Правительства Чукотского автономного округа от 26 октября 2018 г. № 337 
«О реализации проектов инициативного бюджетирования на территории Чукотского автономного округа»</t>
  </si>
  <si>
    <t>http://чукотка.рф/ekonomika/initsiativnoe-byudzhetirovanie/</t>
  </si>
  <si>
    <t>Департамент финансов, экономики и имущественных отношений Чукотского автономного округа</t>
  </si>
  <si>
    <t>Муниципальные образования</t>
  </si>
  <si>
    <t>Население муниципального образования, индивидуальные предприниматели, юридические лица помимо денежной формы непосредственного участия в проекте имеют право участия в проекте в неденежной форме (использование строительных материалов, оборудования, инструмента, транспорта, уборка мусора и иное участие)</t>
  </si>
  <si>
    <t>Все проекты, финансирование которых осуществлялось в 2020 году имеет социальную направленность, поэтому благополучателями являются все жители населенных пунктов, на территории которых эти проекты были реализованы</t>
  </si>
  <si>
    <t>https://habstat.gks.ru/folder/27977#</t>
  </si>
  <si>
    <t>Заполнение анкет, результат фиксируется в протоколе</t>
  </si>
  <si>
    <t>http://provadm.ru/society/polls/</t>
  </si>
  <si>
    <t>Протокол заседания конкурсной комиссии муниципального образования</t>
  </si>
  <si>
    <t>Новости на официальном сайте Чукотского автономного округа
чукотка.рф, по радио "Пурга", в газете "Крайний Север"
http://чукотка.рф/press-tsentr/novosti-chao/</t>
  </si>
  <si>
    <t>Обущающие меропрития по инициативному бюджетированию не проводились</t>
  </si>
  <si>
    <t>Проект "Народный бюджет " в Курской области</t>
  </si>
  <si>
    <t>"Народный  бюджет" в Курской области</t>
  </si>
  <si>
    <t>20 февраля 2019</t>
  </si>
  <si>
    <t>Бюджетные ассигнования на реализацию проекта "Народный бюджет" в Курской области" предусматриваются в законе об областном бюджет при его формировании на очередной финансовый год, в том числе с распределением по ГРБС и в разрезе муниципальных образований (таблица 22 Приложения 20 к Закону Курской области от 09.12.2019  № 113-ЗКО "Об областном бюджете на 2020 год и на плановый период 2021 и 2022 годов")</t>
  </si>
  <si>
    <t>https://adm.rkursk.ru/index.php?id=693&amp;mat_id=111028&amp;page=3</t>
  </si>
  <si>
    <t>Постановление Администрации Курской области от 27.09.2016 № 732-па "О вопросах реализации проекта "Народный бюджет" в Курской области</t>
  </si>
  <si>
    <t>https://adm.rkursk.ru/index.php?id=109&amp;mat_id=60146&amp;page=30&amp;sort_field=103&amp;sort_order=0&amp;year=2016,    http://www.consultant.ru/regbase/cgi/online.cgi?req=doc;base=RLAW417;n=58694#031400186708197 (нпа в актуальной редакции)</t>
  </si>
  <si>
    <t>Департамент внутренней политики Администрации Курской области, комитет жилищно-коммунального хозяйства и ТЭК Курской области, комитет образования и науки Курской области, комитет строительства Курской области,  комитет транспорта и автомобильных дорог Курской области, комитет по культуре Курской области,  комитет по физической культуре и спорту Курской области, комитет по экономике и развитию Курской области, комитет финансов Курской области</t>
  </si>
  <si>
    <t>комитет транспорта и автомобильных дорог Курской области, комитет стоительства Курской области, комитет по культуре Курской области, комитет жилищно-коммунального хозяйства и ТЭК Курской области, комитет по физической культуре и спорту Курской области, комитет образования Курской области, комитет образования и науки Курской области</t>
  </si>
  <si>
    <t>муниципальные образования, прошедшие конкурсный отбор в 2019 году</t>
  </si>
  <si>
    <t>практика реализуется без привлечения средств федерального бюджета</t>
  </si>
  <si>
    <t>Количество благополучателей указывается главой муниципального образования в заявке для участия в конкурсном отборе в рамках «Народного бюджета» и рассчитывается методом прямого счета жителей населенных пунктов, на которых оказывает влияние изменения в общественной структуре муниципальных образований, последовавшие в результате реализации проектов, учитываются жители, проживающие в близлежащих  к объекту, реализованному в рамках проекта «Народный бюджет», районах,  и  непосредственно пользующиеся благами.</t>
  </si>
  <si>
    <t>https://kurskstat.gks.ru/storage/mediabank/ЧИСЛЕННОСТЬ%20НАСЕЛЕНИЯ.pdf</t>
  </si>
  <si>
    <t>количество граждан, принявших участие в обсуждении, фиксируется в протоколе собрания жителей муниципального образования</t>
  </si>
  <si>
    <t>граждане не участвуют в процедурах конкурсного отбора  проектов, представленных в конкурсную комиссию</t>
  </si>
  <si>
    <t>в состав конкурсной комиссии входят представители органов исполнительной власти Курской области, органов местного самоуправления, депутаты Курской областной Думы, представители общественности. Всего членов конкурсной комиссии - 16</t>
  </si>
  <si>
    <t xml:space="preserve">https://adm.rkursk.ru/index.php?id=10&amp;mat_id=89749&amp;query=%ED%E0%F0%EE%E4%ED%FB%E9+%E1%FE%E4%E6%E5%F2+%E8%E7%E2%E5%F9%E5%ED%E8%E5+2019; https://vk.com/wall-201762324_322                                                              </t>
  </si>
  <si>
    <t>Информация о проекте «Народный бюджет» в Курской области регулярно освещалась в информационно-телекоммуникационной сети Интернет на официальном сайте Администрации Курской области, а также в региональных печатных СМИ  и местных.  (https://news.rambler.ru/other/43763450-v-kurskoy-oblasti-nachali-realizovyvat-proekt-narodnyy-byudzhet-2020/; https://kpravda.ru/2020/11/25/kursk-prodolzhat-preobrazhat-po-narodnomu-byudzhetu/; http://вести-касторное.рф/po-ukazam-prezidenta/7035-proekt-narodnyj-byudzhet.html; https://adm.rkursk.ru/index.php?id=13&amp;mat_id=99508&amp;query=%ED%E0%F0%EE%E4%ED%FB%E9+%E1%FE%E4%E6%E5%F2; https://adm.rkursk.ru/index.php?id=13&amp;mat_id=99761&amp;query=%ED%E0%F0%EE%E4%ED%FB%E9+%E1%FE%E4%E6%E5%F2; https://adm.rkursk.ru/index.php?id=13&amp;mat_id=99799&amp;query=%ED%E0%F0%EE%E4%ED%FB%E9+%E1%FE%E4%E6%E5%F2; https://adm.rkursk.ru/index.php?id=13&amp;mat_id=99928&amp;query=%ED%E0%F0%EE%E4%ED%FB%E9+%E1%FE%E4%E6%E5%F2; https://adm.rkursk.ru/index.php?id=13&amp;mat_id=113366&amp;query=%ED%E0%F0%EE%E4%ED%FB%E9+%E1%FE%E4%E6%E5%F2; https://adm.rkursk.ru/index.php?id=13&amp;mat_id=114703&amp;query=%ED%E0%F0%EE%E4%ED%FB%E9+%E1%FE%E4%E6%E5%F2)</t>
  </si>
  <si>
    <t>не использовались</t>
  </si>
  <si>
    <t>За отчетный период проведены совещания с представителями ТОС, органами местного самоуправления</t>
  </si>
  <si>
    <t xml:space="preserve">Содействие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государственная поддержка проектов местных инициатив граждан </t>
  </si>
  <si>
    <t>Тысяча добрых дел</t>
  </si>
  <si>
    <t xml:space="preserve">Государственная программа "Устойчивое общественное развитие в Ленинградской области", подпрограмма "Создание условий для эффективного выполнения органами местного самоуправления своих полномочий и содействие развитию участия населения в осуществлении местного самоуправления", основное мероприятие "Государственная поддержка проектов местных инициатив граждан" </t>
  </si>
  <si>
    <t>Постановление Правительства Ленинградской области от 25 декабря 2015 года № 506 "О внесении изменений в постановление Правительства Ленинградской области от 14 ноября 2013 года № 399 "Об утверждении государственной программы Ленинградской области "Устойчивое общественное развитие в Ленинградской области"</t>
  </si>
  <si>
    <t>https://lenobl.ru/ru/dokumenty/opublikovanie-pravovyh-aktov/oficialno-opublikovanie-npa-s-10-iyunya-2013-goda/oficialnoe-opublikovanie-pravovyh-aktov-leningradskoj-oblasti-s-10-iyu/</t>
  </si>
  <si>
    <t>Областной закон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(в ред. Постановления Правительства Ленинградской области от 19.03.2020 № 133)</t>
  </si>
  <si>
    <t>https://msu.lenobl.ru/ru/programmy-i-plany/selskie-starosty/</t>
  </si>
  <si>
    <t>Комитет по местному самоуправлению, межнациональным и межконфессиональным отношениям Ленинградской области</t>
  </si>
  <si>
    <t>Муниципальные образования Ленинградской области (городские и сельские поселения)</t>
  </si>
  <si>
    <t xml:space="preserve">В Ленинградской области в рамках инициативного бюджетирования нефинансовый вклад граждан, юридических лиц (индивидуальных предпринимателей) осуществляется в виде трудового участия (предоставление смет по трудовому участию с указанием видов, объемов работ, выраженных в стоимостном эквиваленте), материально-технического участия (предоставление техники, оборудования; закупка каких-либо материалов юридическими лицами (индивидуальными предпринимателями) и безвозмездная передача их на реализацию проекта)
</t>
  </si>
  <si>
    <t>не учитывалось в общей стоимости проектов</t>
  </si>
  <si>
    <t xml:space="preserve">Число благополучателей оценивается по численности населения в сельских населенных пунктах, где реализованы проекты </t>
  </si>
  <si>
    <t>https://petrostat.gks.ru/folder/29437</t>
  </si>
  <si>
    <t>Проектный центр инициативного бюджетирования Ленинградской области в составе государственного казенного учреждения Ленинградской области «Дом дружбы Ленинградской области» при Комитете по местному самоуправлению, межнациональным и межконфессиональным отношениям Ленинградской области</t>
  </si>
  <si>
    <t>областной бюджет Ленинградской области</t>
  </si>
  <si>
    <t>Основные функции администрирования реализации практики ИБ выполняют 4 сотрудника отдела государственной поддержки развития местного самоуправления департамента развития местного самоуправления комитета по местному самоуправлению, межнациональным и межконфессиональным отношениям Ленинградской области</t>
  </si>
  <si>
    <t>При выборе проектов на муниципальном уровне проходит сбор подписей в поддержку инициативных предложений</t>
  </si>
  <si>
    <t>Граждане выдвигают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</si>
  <si>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Граждане выдвигают инициативные предложения на собраниях (конференциях) граждан сельского населенного пункта с участием старосты.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</si>
  <si>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сельского населенного пункта с участием старосты, собраниях (конференциях) граждан  и заседаниях общественных советов или  заседаниях общественных советов с участием населения. Решения оформляются протоколом. Также ведется фото или видеофиксация</t>
  </si>
  <si>
    <t>да (на муниципальном уровне на этапе отбора проектов для включения в муниципальную программу проводятся заседания рабочих групп, на региональном уровне комиссия при комитете по местному самоуправлению, межнациональным и межконфессиональным отношениям Ленинградской области проводит окончательный отбор муниципальных образований для предоставления субсидий)</t>
  </si>
  <si>
    <t>протоколы</t>
  </si>
  <si>
    <t>В реализации практики ИБ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t>
  </si>
  <si>
    <t>В реализации практики ИБ могут участвовать муниципальные образования, на территории которых есть сельские населенные пункты, не являющиеся административными центрами, где постоянно или преимущественно проживают граждане. Отбор муниципальных образований для предоставления субсидии осуществляется в соответствии с критериями, установленными пунктом 3.6. Порядка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28 декабря 2018 года № 147-оз «О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 государственной программы "Устойчивое общественное развитие в Ленинградской области", утвержденной постановлением Правительства Ленинградской области от 14 ноября 2013 года № 399</t>
  </si>
  <si>
    <t>В социальных сетях Контакт группа Совет старост Ленинградской области https://vk.com/starosta47, Инстаграм группа Старосты Ленобласти (@starosta47) https://www.instagram.com/starosta47/, группа Инициативное бюджетирование ЛО https://www.instagram.com/inbud_lo,  информация на странице Комитета https://msu.lenobl.ru/ru/news/proektnyj-centr-iniciativnogo-byudzhetirovaniya/, https://msu.lenobl.ru/ru/programmy-i-plany/formy-uchastiya-zhitelej-leningradskoj-oblasti-v-osushestvlenii-mestno/</t>
  </si>
  <si>
    <t>В 2020 году издано 2 номера альманаха о местном самоуправлении в Ленинградской области "Муниципальный меридиан". Тираж одного номера - 999 экз. Также был издан Справочник инициативного гражданина Ленинградской области (тираж - 2000 экз.). Данные издания распространялись  в администрациях муниципальных образований Ленинградской области, на конференциях и совещаниях старост, общественных советов, инициативных комиссий</t>
  </si>
  <si>
    <t>http://msu.lenobl.ru/news/mediaproekty/</t>
  </si>
  <si>
    <t>Комитетом в 2020 году впервые была запущена серия образовательных онлайн - семинаров, посвященных развитию практик инициативного бюджетирования. Семинары являются развитием практики «Школа активного земляка»</t>
  </si>
  <si>
    <t xml:space="preserve"> (на муниципальном уровне на этапе отбора проектов для включения в муниципальную программу проводятся заседания рабочих групп, на региональном уровне комиссия при комитете по местному самоуправлению, межнациональным и межконфессиональным отношениям Ленинградской области проводит окончательный отбор муниципальных образований для предоставления субсидий)</t>
  </si>
  <si>
    <t>9 января 2020 года</t>
  </si>
  <si>
    <t>31 декабря 2020 года</t>
  </si>
  <si>
    <t>Областной закон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областных законов Ленинградской области от 18.06.2018 № 48-оз, от 18.03.2019 № 10-оз, от 22.04.2019 № 25-оз, от 27.12.2019 № 114-оз); государственная программа "Устойчивое общественное развитие в Ленинградской области", утвержденная постановлением Правительства Ленинградской области от 14 ноября 2013 года № 399
(Порядок предоставления и распределения субсидии бюджетам муниципальных образований Ленинградской области из областного бюджета Ленинградской области на реализацию областного закона от 15 января 2018 года № 3-оз «О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 (в ред. Постановления Правительства Ленинградской области от 19.03.2020 № 133)</t>
  </si>
  <si>
    <t>Муниципальные образования Ленинградской области (городские и сельские поселения, городской округ)</t>
  </si>
  <si>
    <t>Количество благополучателей указывается в паспортах проектов администрациями муниципальных образований, исходя из числа жителей административных центров и городских поселков муниципальных образований, численности туристов, транзитных пассажиров, т.п., которые будут пользоваться результатами реализации проектов (распоряжение комитета по местному самоуправлению, межнациональным и межконфессиональным отношениям Ленинградской области от 26 марта 2020 года № 26)</t>
  </si>
  <si>
    <t>https://msu.lenobl.ru/ru/programmy-i-plany/iniciativnye-komissii-v-administrativnyh-centrah/2020-god/</t>
  </si>
  <si>
    <t>Граждане выдвигают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</si>
  <si>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Граждане голосуют за инициативные предложения на собраниях (конференциях) граждан, заседаниях инициативных комиссий или на заседаниях инициативных комиссий с участием населения. Решения оформляются протоколом. Также ведется фото или видеофиксация</t>
  </si>
  <si>
    <t>100% (городские и сельские поселения, городской округ)</t>
  </si>
  <si>
    <t>В социальных сетях Контакт группа Совет старост Ленинградской области https://vk.com/starosta47, Инстаграм группа Старосты Ленобласти (@starosta47) https://www.instagram.com/starosta47/, в которых участвуют и представители инициативных комиссий, группа Инициативное бюджетирование ЛО https://www.instagram.com/inbud_lo,  информация на странице Комитета https://msu.lenobl.ru/ru/news/proektnyj-centr-iniciativnogo-byudzhetirovaniya/, https://msu.lenobl.ru/ru/programmy-i-plany/formy-uchastiya-zhitelej-leningradskoj-oblasti-v-osushestvlenii-mestno/</t>
  </si>
  <si>
    <t>https://msu.lenobl.ru/ru/programmy-i-plany/iniciativnye-komissii-v-administrativnyh-centrah/ https://lenobl.ru/ru/dokumenty/opublikovanie-pravovyh-aktov/oficialno-opublikovanie-npa-s-10-iyunya-2013-goda/oficialnoe-opublikovanie-pravovyh-aktov-leningradskoj-oblasti-s-10-iyu/</t>
  </si>
  <si>
    <t xml:space="preserve">Программа по поддержке местных инициатив  </t>
  </si>
  <si>
    <t xml:space="preserve">Инициативное бюджетирование  Программа по поддержке местных инициатив  </t>
  </si>
  <si>
    <t>Государственная программа Мурманской области "Формирование современной городской среды Мурманской области" (подпрограмма "Комплексное развитие". Основное мероприятие 7. "Реализация проектов местных инициатив граждан в муниципальных образованиях Мурманской области")</t>
  </si>
  <si>
    <t>постановление Правительства Мурманской области от 30.12.2019 N 622-ПП "О внесении изменений в государственную программу Мурманской области "Формирование современной городской среды Мурманской области"</t>
  </si>
  <si>
    <t xml:space="preserve"> https://mingrad.gov-murman.ru/activities/init_bydjet/npa/</t>
  </si>
  <si>
    <t>Министерство градостроительства и благоустройства Мурманской области (с 2020 года); до 2020 года - Министерство по внутренней политике и массовым коммуникациям Мурманской области</t>
  </si>
  <si>
    <t>Министерство градостроительства и благоустройства Мурманской области</t>
  </si>
  <si>
    <t>местные бюджеты муниципальных образований</t>
  </si>
  <si>
    <t>в каждом отдельном случае применялась разная методика расчета</t>
  </si>
  <si>
    <t>https://murmanskstat.gks.ru/folder/72764</t>
  </si>
  <si>
    <t>В муниципальных образованиях на местном уровне проведены опросы граждан путем анкетирования, размещения информации на стендах, в социальных стеях, на официальных сайтах, сбора подписей. При подведении итогов, материалы оформлялись протоколами, актами.</t>
  </si>
  <si>
    <t>анкетирование, опросы граждан и сбор подписей проводились на местном уровне администрациями ОМСУ</t>
  </si>
  <si>
    <t>В муниципальных образованиях на местном уровне проведены сборы граждан путем собраний, после введения ограничительных мер в связи с пандемией проводились интернет-опросы населения с целью выбора проектов для участия в конкурсном отборе</t>
  </si>
  <si>
    <t>очные встречи проводились на местном уровне администрациями ОМСУ</t>
  </si>
  <si>
    <t>информация по голосованию размещалась на официальных сайтах органов местного самоуправления</t>
  </si>
  <si>
    <t>В муниципальных образованиях на местном уровне до ввода ограничительных мер в связи с пандемией, были проведены сборы граждан путем собраний, очных встреч с населением с целью выбора проектов для участия в конкурсном отборе</t>
  </si>
  <si>
    <t>сходы, собрания граждан проводились на местном уровне</t>
  </si>
  <si>
    <t>Ппротокол заседания конкурсной комиссии. Граждане и представители ОМСУ в подсчете голосов и выборе проектов для предоставления субсидии из областного бюджета бюджетам муниципальных образований на поддержку местных инициатив участие не принимают.</t>
  </si>
  <si>
    <t xml:space="preserve">В каждом муниципальном образовании информация о проекте ППМИ и его дальнейшей реализации размещалась на официальных сайтах, на страницах органов местного самоуправления в социальных сетях и в муниципальных СМИ. Кроме того, с органами местного самоуправления проводилась организационно-методическая работа по популяризации и реализации ППМИ. Особое внимание к реализации проектов ППМИ привлекалось со стороны региональных СМИ. </t>
  </si>
  <si>
    <t xml:space="preserve">Проведение консультаций (разъяснительной работы)  с представителями администраций муниципальных образований Мурманской области по вопросам, связанным с  реализацией проектов. Указанные мероприятия проводились на постоянной основе, в течении времени реализации проекта (с момента оформления и подготовки пакета документов для участия в конкурсном отборе до момента принятия выполненных работы).  
</t>
  </si>
  <si>
    <t>Программа по поддержке местных инициатив в Тверской области</t>
  </si>
  <si>
    <t>ППМИ ТО</t>
  </si>
  <si>
    <t xml:space="preserve">Государственная программа Тверской области "Управление общественными финансами и совершенствование региональной налоговой политики" на 2017 - 2022 годы
Подпрограмма 2 "Обеспечение сбалансированности и устойчивости местных бюджетов муниципальных образований Тверской области"
Задача 3 "Вовлечение граждан в бюджетный процесс Тверcкой области и участие в решении вопросов местного значения муниципальных образований Тверской области"
Мероприятие 3.01 "Осуществление софинансирования программ развития общественной инфраструктуры городских и сельских поселений Тверской области в рамках Программы поддержки местных инициатив в Тверской области"
Мероприятие 3.03 "Осуществление софинансирования программ развития общественной инфраструктуры городских округов, муниципальных округов Тверской области в рамках Программы поддержки местных инициатив в Тверской области"
В целях реализации ППМИ в Тверской области приняты Порядки предоставления из областного бюджета Тверской области соответствующих субсидий местным бюджетам. Указанные порядки являются приложениями к государственной программе Тверской области «Управление общественными финансами и совершенствование региональной налоговой политики» на 2017 – 2022 годы, утвержденной постановлением Правительства Тверской области от 29.12.2016 № 440-пп. 
Порядками предусмотрены все процедуры, связанные с проведением конкурсного отбора, предоставлением субсидий и контролем за целевым и эффективным их использованием.
На реализацию положений порядков предоставления субсидий Министерством финансов Тверской области принят приказ от 19.02.2016 № 3-нп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которым установлены: состав конкурсной документации для участия в конкурсном отборе на получение субсидий, значения критериев конкурсного отбора, формы соглашений о предоставлении субсидий, а также образована конкурсная комиссия в состав которой входят представители исполнительных органов государственной власти Тверской области, Законодательного собрания Тверской области, главы муниципальных образований и представители общественных организаций.
</t>
  </si>
  <si>
    <t xml:space="preserve">Ранее действовали следующие нормативные правовые акты:
- постановление Правительства Тверской области от 29.01.2013 № 25-пп «Об отдельных вопросах реализации программ по поддержке местных инициатив в Тверской области» (признано утратившим силу с 10.02.2016); приложения к государственной программе Тверской области «Управление общественными финансами и совершенствование региональной налоговой политики» на 2013 – 2018 годы, утвержденной постановлением Правительства Тверской области от 16.10.2012 № 604-пп (признано утратившим силу с 01.01.2017)). 
- приказ Министерства финансов Тверской области от 06.02.2013 № 11-нп «Об отдельных вопросах реализации Постановления Правительства Тверской области от 29.01.2013 № 25-пп»(признан утратившим силу с 19.02.2016)), которым установлены: состав конкурсной документации для участия в конкурсном отборе на получение субсидий, значения критериев конкурсного отбора, формы соглашений о предоставлении субсидий, а также образована конкурсная комиссия в состав которой входят представители исполнительных органов государственной власти Тверской области, Законодательного собрания Тверской области, главы муниципальных образований и представители общественных организаций.
</t>
  </si>
  <si>
    <t xml:space="preserve">Закон Тверской области от 30.12.2019 N 102-ЗО "Об областном бюджете Тверской области на 2020 год и на плановый период 2021 и 2022 годов" (ред. от 01.10.2020)
(принят Законодательным Собранием Тверской области 20.12.2019)
</t>
  </si>
  <si>
    <t>http://publication.pravo.gov.ru/Document/View/6900201912310001</t>
  </si>
  <si>
    <t>Постановление Правительства Тверской области от 29.12.2016 N 440-пп (ред. от 10.12.2020) "О государственной программе Тверской области "Управление общественными финансами и совершенствование региональной налоговой политики" на 2017 - 2022 годы"</t>
  </si>
  <si>
    <t xml:space="preserve">
Приказ Министерства финансов Тверской области от 19.02.2016 N 3-нп (ред. от 27.07.2020)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Приказ Министерства финансов Тверской области от 05.02.2020 N 3-нп (ред. от 18.08.2020) "Об утверждении типовой формы соглашения о предоставлении субсидии из областного бюджета Тверской области бюджету муниципального образования Тверской области"</t>
  </si>
  <si>
    <t>Министерство финансов Тверской области</t>
  </si>
  <si>
    <t xml:space="preserve">Главным распорядителем средств областного бюджета Тверской области, предусмотренных на предоставление субсидий в 2020 году, являлись:
1) Министерство финансов Тверской области – в отношении средств субсидии, не распределенной по муниципальным образованиям;
2) отраслевой исполнительный орган государственной власти Тверской области, осуществляющий функции по выработке региональной политики и нормативно-правовому регулированию в соответствующей сфере реализации Программы – со дня доведения ему как получателю средств областного бюджета лимитов бюджетных обязательств на предоставление субсидии.
</t>
  </si>
  <si>
    <t xml:space="preserve"> - Субсидии на реализацию программ по поддержке местных инициатив в Тверской области на территории муниципальных районов Тверской области;
 - Субсидии на реализацию программ по поддержке местных инициатив в Тверской области на территории городских округов Тверской области.
</t>
  </si>
  <si>
    <t>Муниципальное образование Тверской области, орган местного самоуправления которого осуществляет полномочие по решению вопроса местного значения, в рамках которого реализуется проект: 
-городской округ Тверской области;
- муниципальный округ Тверской области;
- муниципальный район Тверской области;
- поселение Тверской области;
- городской округ Тверской области.</t>
  </si>
  <si>
    <t>Заявкой на участие в конкурсном отборе предусмотрен показатель - число благополучателей (человек). Общая статистика ведется путем простого подсчета в экселе, как сумма чисел по данному показателю.</t>
  </si>
  <si>
    <t>https://tverstat.gks.ru/storage/mediabank/81BLvTpb/%D0%A7%D0%98%D0%A1%D0%9B%D0%95%D0%9D%D0%9D%D0%9E%D0%A1%D0%A2%D0%AC%20%D0%9D%D0%90%D0%A1%D0%95%D0%9B%D0%95%D0%9D%D0%98%D0%AF%20%D0%A2%D0%92%D0%95%D0%A0%D0%A1%D0%9A%D0%9E%D0%99%20%D0%9E%D0%91%D0%9B%D0%90%D0%A1%D0%A2%D0%98.htm</t>
  </si>
  <si>
    <t>Заявкой на участие в конкурсном отборе предусмотрены предварительные обсуждения проектов, подтверждением, которых являются копии и своды опросных листов, анкет, фотографии и протоколы с предварительных обсуждений, фотографии и подписные листы с подомового обхода и т.д., подтверждающие фактическое проведение мероприятий.</t>
  </si>
  <si>
    <t>Протоколом собрания и Заявкой на участие в конкурсном отборе предусмотрено присутствие ЮЛ, НКО, в том числе и ТОСы подтверждением является, которых являются копии и своды опросных листов, анкет, фотографии и протоколы с предварительных обсуждений, фотографии и подписные листы с подомового обхода и т.д., подтверждающие фактическое проведение мероприятий, а также видеофиксация.</t>
  </si>
  <si>
    <t>Заявкой на участие в конкурсном отборе предусмотрено наличие изданий полиграфической продукции посвященной реализации Программы поддержки местных инициатив (буклет, листовка и т.д.), прикладывается согласлванный  экземпляр полиграфической продукции, макет которого согласован с Министерством финансов Тверской области, в 2018 году с полиграфической продукцией было заявлен 4 проекта.</t>
  </si>
  <si>
    <t xml:space="preserve">Выбор проекта населением производится на собрании прямым голосованием участников собрания.
Выбор проектов для реализации на территории Тверской области производится по итогам конкурсного отбора в соответствии с критериями конкурсного отбора, утвержденными Приказом Министерства финансов Тверской области от 19.02.2016 N 3-нп (ред. от 27.07.2020)
"Об отдельных вопросах реализации программ по поддержке местных инициатив в Тверской области и признании утратившими силу отдельных приказов Министерства финансов Тверской области"
</t>
  </si>
  <si>
    <t>Участниками конкурсного отбора являются муниципальные образования, за исключением городских округов, в отношении которых федеральным законодательством определен особый правовой режим и особенности организации местного самоуправления.</t>
  </si>
  <si>
    <t>https://ppmi.tverfin.ru/</t>
  </si>
  <si>
    <t xml:space="preserve">https://www.tverfin.ru/
https://vk.com/public188542037
</t>
  </si>
  <si>
    <t>https://www.tverfin.ru/</t>
  </si>
  <si>
    <t>В газетах Тверского региона и в новостях канала «Россия» Новости Тверь постоянно публиковались статьи и сюжеты о начале и ходе реализации Программы поддержки местных инициатив на территории Тверского региона.</t>
  </si>
  <si>
    <t>Все необходимые материалы для подготовки к реализации и реализации Программы поддержки местных инициатив в Тверской области размещены на сайте www.tverfin.ru</t>
  </si>
  <si>
    <t xml:space="preserve">Ежегодно в октябре - ноябре Министерство финансов Тверской области проводит обучающие мероприятия («Школа ППМИ») для органов местного самоуправления муниципальных образований Тверской области по проведению собраний, выбора проектов, подготовке пакетов документов для конкурсного отбора, также доводится график приема заявок и примерной даты проведения конкурсного отбора. Количество участников около 200.
После заседания конкурсной комиссии Министерство финансов Тверской области собирает победителей конкурсного отбора где проводит обучение по дальнейшей работе по реализации проектов инициативного бюджетирования (заключение соглашений, внесение изменений в бюджеты, графики и планы-графики, размещение документов на торги, заключение контрактов с подрядчиками, контроль и приемка работ, сбор средств с населения и спонсоров, расчеты с подрядчиками, отчетность в Министерство финансов Тверской области, торжественные открытия готовых объектов). Количество участников около 200.
</t>
  </si>
  <si>
    <t>Субсидии бюджетам муниципальных образований Томской области из областного бюджета для софинансирования расходных обязательств по решению вопросов местного значения, возникающих в связи с реализацией проектов, предложенных непосредственно населением муниципальных образований Томской области, отобранных на конкурсной основе</t>
  </si>
  <si>
    <t>Инициативное бюджетирование в Томской области</t>
  </si>
  <si>
    <t>01 сентября 2020 года</t>
  </si>
  <si>
    <t xml:space="preserve">Государственная программа: Эффективное управление региональными финансами, государственными закупками и совершенствование межбюджетных отношений в Томской области; 
Подпрограмма: Повышение финансовой грамотности и развитие инициативного бюджетирования на территории Томской области; 
Основное мероприятие: Содействие в реализации в муниципальных образованиях Томской области инфраструктурных проектов, предложенных населением Томской области  </t>
  </si>
  <si>
    <t xml:space="preserve">Постановление Администрации Томской области от 23.03.2018 N 115а
"О внесении изменения в постановление Администрации Томской области от 26.11.2014 N 433а"
</t>
  </si>
  <si>
    <t xml:space="preserve">Документ утратил силу с 1 января 2020 года в связи с изданием постановления Администрации Томской области от 20.09.2019 N 329а.
 </t>
  </si>
  <si>
    <t>https://depfin.tomsk.gov.ru/uploads/ckfinder/285/userfiles/files/%D0%9F42%D0%B0.pdf</t>
  </si>
  <si>
    <t>https://depfin.tomsk.gov.ru/pravovoe-regulirovanie</t>
  </si>
  <si>
    <t>Департамент финансов Томской области</t>
  </si>
  <si>
    <t>Бюджеты муниципальных образований Томской области</t>
  </si>
  <si>
    <t xml:space="preserve">1) в форме неоплачиваемых работ;
2) в форме предоставления материалов и оборудования;
3) в форме предоставления транспортных средств или иной техники </t>
  </si>
  <si>
    <t xml:space="preserve">такая статистика не велась </t>
  </si>
  <si>
    <t>Статистика не велась. Ориентировочно по 2-3 предложения на каждое собрание</t>
  </si>
  <si>
    <t>подсчет, исходя из типологии проекта и численности населения (отдельных категорий населения) населенного пункта, на территории которого реализуется проект</t>
  </si>
  <si>
    <t>численность населения Томской области на 01.01.2020 года  по данным Росстата</t>
  </si>
  <si>
    <t>https://tmsk.gks.ru/storage/mediabank/%D0%A7%D0%B8%D1%81%D0%BB%D0%B5%D0%BD%D0%BD%D0%BE%D1%81%D1%82%D1%8C%20%D0%BD%D0%B0%D1%81%D0%B5%D0%BB%D0%B5%D0%BD%D0%B8%D1%8F(12).pdf</t>
  </si>
  <si>
    <t xml:space="preserve">сотрудники комитета методологии и бюджетной политики Департамента финансов Томской области </t>
  </si>
  <si>
    <t>анкеты (опросные листы), подписные листы подомовых обходов, фото с укуазанием даты съемки во время подомового обхода</t>
  </si>
  <si>
    <t xml:space="preserve">протоколы собраний граждан (предварительных и итоговых собраний по выбору проекта для подачи заявки), фото с указанием даты съемки с собраний граждан </t>
  </si>
  <si>
    <t xml:space="preserve">ссылки на интернет-страницы в соц.сетях и на официальных сайтах МО с результатами опросов </t>
  </si>
  <si>
    <t>протокол заседания комиссии из состава представителей власти (граждане не принимают участие в заседаниях комиссии)</t>
  </si>
  <si>
    <t>по протоколу участвовало 6 членов комисси, а также присутсвовало трое приглашенных</t>
  </si>
  <si>
    <t>участие предусмотрено для всех МО, в состав которых входят населенные пункты численностью до 35 тыс.человек (могут участвовать все сельские и городские поселения, муниципальные районы и три из четырех городских округов)</t>
  </si>
  <si>
    <t>в конкурсном отборе не может участвовать городской округ Стрежевой, поскольку в его составе нет населенных пунктов численностью населения до 35 тыс.человек</t>
  </si>
  <si>
    <t>57 поселений (от 15 муниципальных районов), 1 р-н и 2 городских округа</t>
  </si>
  <si>
    <t>не предусмотрена</t>
  </si>
  <si>
    <t>https://depfin.tomsk.gov.ru/initsiativnoe-bjudzhetirovanie</t>
  </si>
  <si>
    <t>http://vlfin.ru/nashi-stati/lichnye-finansy/zdes-moya-kopeechka-vot-nasha-skameechka-initsiativnoe-byudzhetirovanie-prineslo-oshchutimye-plody/?sphrase_id=7835;
http://vlfin.ru/galereya/videogalereya/chast-2-initsiativnoe-byudzhetirovanie-v-tomskoy-oblasti-kakie-proekty-realizovany-v-2019/?sphrase_id=7835;
https://www.youtube.com/watch?v=YEnLKAHgH8o</t>
  </si>
  <si>
    <t>https://depfin.tomsk.gov.ru/uploads/ckfinder/285/userfiles/images/%D0%BA%D1%80%D1%83%D0%B3%D0%B8.jpg</t>
  </si>
  <si>
    <t>ТВ (http://vlfin.ru/galereya/videogalereya/chast-2-initsiativnoe-byudzhetirovanie-v-tomskoy-oblasti-kakie-proekty-realizovany-v-2019/?sphrase_id=7835);
радио;
официальный сайт Департамента финансов Томской области;
официальный сайт Администрации Томской области;
сайт журнала "Ваши личные финансы" (http://vlfin.ru/nashi-stati/lichnye-finansy/zdes-moya-kopeechka-vot-nasha-skameechka-initsiativnoe-byudzhetirovanie-prineslo-oshchutimye-plody/?sphrase_id=7835)</t>
  </si>
  <si>
    <t xml:space="preserve">Использовались презентационные материалы (https://depfin.tomsk.gov.ru/realizatsija-proektov);
опубликованы Методические рекомендации по формированию конкурсной заявки на участие в конкурсном отборе проектов, предложенных непосредственно населением муниципальных образований Томской области (https://depfin.tomsk.gov.ru/konkursnyj-otbor)
</t>
  </si>
  <si>
    <t>Онлайн семинар по теме "Инициативное бюджетирование в Томской области" (23.09.2020)</t>
  </si>
  <si>
    <t>https://depfin.tomsk.gov.ru/news/front/view/id/70196</t>
  </si>
  <si>
    <t>Государственная программа Тамбовской области комплексного развития сельских территорий, подпрограмма "Создание и развитие инфраструктуры на сельских территориях"</t>
  </si>
  <si>
    <t>Постановление администрации Тамбовской области от 31.12.2019 № 1506</t>
  </si>
  <si>
    <t>https://agro.tmbreg.ru/assets/files/prv/01_2020/PAO-2019-1506.pdf</t>
  </si>
  <si>
    <t>Разрабатывается</t>
  </si>
  <si>
    <t>Управление сельского хозяйства Тамбовской области</t>
  </si>
  <si>
    <t>МО</t>
  </si>
  <si>
    <t xml:space="preserve">Государственная программа Российской Федерации "Комплексное развитие сельских территорий"
</t>
  </si>
  <si>
    <t>обязательный 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t>
  </si>
  <si>
    <t>https://tmb.gks.ru/folder/33717</t>
  </si>
  <si>
    <t>протоколы схода граждан</t>
  </si>
  <si>
    <t>https://agro.tmbreg.ru/inv.html</t>
  </si>
  <si>
    <t>Освещение в СМИ, официальные сайты, РОИВ, ГРБС, ОМС.</t>
  </si>
  <si>
    <t xml:space="preserve">Государственная программа "Формирование современной городской среды в Тамбовской области" </t>
  </si>
  <si>
    <t xml:space="preserve">Государственная программа "Формирование современной городской среды в Тамбовской области"  </t>
  </si>
  <si>
    <t>Постановление администрации Тамбовской области от 29.08.2018 № 864</t>
  </si>
  <si>
    <t>https://www.tambov.gov.ru/assets/files/urt/pao-864.pdf</t>
  </si>
  <si>
    <t xml:space="preserve">Управление топливно-энергетического комплекса и жилищно-коммунального хозяйства области </t>
  </si>
  <si>
    <t>городские округа и сельские поселения</t>
  </si>
  <si>
    <t>Федеральный проект "Формирование комфортной городской среды"</t>
  </si>
  <si>
    <t>прием заявок на официальных сайтах муниципальных образований области</t>
  </si>
  <si>
    <t>прием голосов на официальных сайтах муниципальных образований области</t>
  </si>
  <si>
    <t>участвуют городские округа и сельские поселения с численностью свыше 1000 человек</t>
  </si>
  <si>
    <t>https://gkh.tmbreg.ru/form/Dostup_Sreda/Dostup_sreda_ogl.htm</t>
  </si>
  <si>
    <t>Проект "Народная инициатива"</t>
  </si>
  <si>
    <t>Государственная программа Тамбовской области "Формирование современной городской среды Тамбовской области" на 2018 — 2022 годы. Мероприятие: Субсидия на поддержку местных инициатив граждан и реализацию проекта "Народная инициатива"</t>
  </si>
  <si>
    <t>Департамент государственной, муниципальной службы и противодействия коррупции аппарата главы администрации области (Управление по развитию территорий)</t>
  </si>
  <si>
    <t>Администрация Тамбовской области</t>
  </si>
  <si>
    <t>Городские округа, городские и сельские поселения Тамбовской области</t>
  </si>
  <si>
    <t>~1500</t>
  </si>
  <si>
    <t>Показателем результативности использования субсидий администрациями городских округов, городских и сельских поселений области является доля граждан в общем количестве жителей Тамбовской области, непосредственно пользующихся результатами реализованных проектов «Народная инициатива».
Значение показателя результативности устанавливается в соглашении о предоставлении субсидии из бюджета области бюджету муниципального образования  на поддержку местных инициатив граждан и реализацию проектов «Народная инициатива». Численность граждан, непосредственно пользующихся результатами реализованных проектов, представленная муниципальными образ0ованиями суммируется и определяется их доля от численности населения области.</t>
  </si>
  <si>
    <t>Проведение заседаний общественных Советов, опрос граждан членами общественных Советов (опросные листы, протоколы заседаний)</t>
  </si>
  <si>
    <t>опрос проводился через официальные сайты муниципальных образований экспериментально</t>
  </si>
  <si>
    <t>протоколы общественных Советов муниципальных образований</t>
  </si>
  <si>
    <t>Участвуют все городские округа, сельские и городские поселения. Муниципальные районы не участвуют по причине вхождения в их состав сельских и городских поселений.</t>
  </si>
  <si>
    <t>https://www.tambov.gov.ru/gmspk/urt.html</t>
  </si>
  <si>
    <t>https://www.facebook.com/groups/965650083551503/</t>
  </si>
  <si>
    <t>https://www.tambov.gov.ru/news/view/proekt-narodnaya-iniciativa-novye-usloviya-novye-idei.html</t>
  </si>
  <si>
    <t xml:space="preserve">Проект «Народная инициатива» активно освещается в областных и местных средствах массовой информации, а также в сети «Интернет» (социальная сеть: «Фейсбук», группы «За Никитина», «Тамбовщина муниципальная» и др.), в которых органами местного самоуправления описывается каждый этап проекта. </t>
  </si>
  <si>
    <t>Современный облик сельских территорий</t>
  </si>
  <si>
    <t>Постановление администрации Тамбовской области от 31.12.2019 №1506</t>
  </si>
  <si>
    <t>Протокол собрания представителей граждан</t>
  </si>
  <si>
    <t>Протокол заседания Комиссии по организации проведения и отбору проектов, а также  по оценке эффективности использования субсидий от 15.11.2019 № ОЛ-10-92</t>
  </si>
  <si>
    <t>"Народный бюджет"</t>
  </si>
  <si>
    <t>Постановление правительства Тульской области от 29.11.2019 № 578 "Об утверждении Положения о проекте "Народный бюджет" в Тульской области"</t>
  </si>
  <si>
    <t>http://npatula.ru/storage/files/132969520-132986687.pdf</t>
  </si>
  <si>
    <t xml:space="preserve">Закон Тульской области от 29.01.2021 N 3-ЗТО
"О внесении изменения в статью 8 Закона Тульской области "О системе органов исполнительной власти Тульской области"
(принят Тульской областной Думой 28.01.2021)
</t>
  </si>
  <si>
    <t>http://publication.pravo.gov.ru/Document/View/7100202102010001</t>
  </si>
  <si>
    <t xml:space="preserve">Постановление правительства Тульской области от 24.09.2015 № 433 "Об утверждении Правила предоставления субсидий из бюджета Тульской области бюджетам муниципальных образований Тульской области в целях софинансирования расходных обязательств в рамках реализации проекта "Народный бюджет" </t>
  </si>
  <si>
    <t>http://publication.pravo.gov.ru/Document/View/7100201509280006</t>
  </si>
  <si>
    <t>Министерство внутренней политики и развития местного самоуправления в Тульской области</t>
  </si>
  <si>
    <t>Министерство жилищно-коммунального хозяйства Тульской области, министерство транспорта и дорожного хозяйства Тульской области</t>
  </si>
  <si>
    <t>Муниципальные образования Тульской области</t>
  </si>
  <si>
    <t>Отдельно не выделяется, включено в показатель строки 7.С.1</t>
  </si>
  <si>
    <t>rosinfostat.ru</t>
  </si>
  <si>
    <t>Протокол собрания жителей, реестр подписей участников собрания</t>
  </si>
  <si>
    <t>Организационная форма инициативной группы указывается в заявке</t>
  </si>
  <si>
    <t>168 заявок</t>
  </si>
  <si>
    <t>https://or71.ru/primi_uchastie/narodniy_budjet_new/</t>
  </si>
  <si>
    <t>Интернет -голосование за заявки через портал "Открытый регион 71" (www.or71.ru) через адрес электронной почты</t>
  </si>
  <si>
    <t>Заседание конкурсной комиссии по подведению итогов конкурсного отбора (порядок работы утвержден ППТО от 20.02.2021 № 63 "Об утверждении Положения о проекте "Народный бюджет" в Тульской области")</t>
  </si>
  <si>
    <t>Подача заявок осуществляется через портал "Открытый регион": администрацией муниципального образования при подачи заявке заполняется вся основная информация (количественные показатели, адрес, копии документов, фотографии текущего состояния объекта). Интернет-голосование осуществляется также через указанный выше портал с использованием адреса электронной почты. Также разработана удаленная система мониторинга текущей стадии реализации заявки</t>
  </si>
  <si>
    <t>https://my-files.su/5e671t</t>
  </si>
  <si>
    <t>Рекламная кампания осуществлялась посредствам инетрнет-источников (официальных сайтов Правительства Тульской области, муниципальных образований Тульской области, социальных сетей), на собраниях жителей с представителями администраций муниципальных образований</t>
  </si>
  <si>
    <t>Государственная поддержка на реализацию общественно значимых проектов по благоустройству сельских территорий</t>
  </si>
  <si>
    <t>Государственная программа Тюменской области «Развитие агропромышленного комплекса» на 2013 — 2025 годы
Подпрограмма «Комплексное развитие сельских территорий»  на 2020–2025»
Мероприятие «Государственная поддержка на реализацию общественно значимых проектов по благоустройству сельских территорий»</t>
  </si>
  <si>
    <t>№ 699-п от 30.12.2014</t>
  </si>
  <si>
    <t>https://admtyumen.ru/ogv_ru/finance/programs/program.htm?id=1190@egTargetGrant</t>
  </si>
  <si>
    <t>Департамент агропромышленного комплекса Тюменской области</t>
  </si>
  <si>
    <t>Орган местного самоуправления или орган территориального общественного самоуправления, расположенный на сельской территории в Тюменской области</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</si>
  <si>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t>
  </si>
  <si>
    <t xml:space="preserve">Трудовое участие граждан, безвозмездное предоставление помещений, технических средств, строительных материалов, оборудования, малых архитектурных форм, безвозмездное выполнение работ (оказание услуг). </t>
  </si>
  <si>
    <t>Информация о количестве граждан, получивших пользу от реализации проектов представлена органами местного самоуправления, реализовавшими проекты</t>
  </si>
  <si>
    <t>https://showdata.gks.ru/report/278928/?filter_1_0=2015-01-01+00%3A00%3A00%7C-56%2C2016-01-01+00%3A00%3A00%7C-56%2C2017-01-01+00%3A00%3A00%7C-56%2C2018-01-01+00%3A00%3A00%7C-56%2C2019-01-01+00%3A00%3A00%7C-56%2C2020-01-01+00%3A00%3A00%7C-56%2C2021-01-01+00</t>
  </si>
  <si>
    <t>протокол собрания граждан, публичных слушаний, общественных обсуждений</t>
  </si>
  <si>
    <t>Протокол</t>
  </si>
  <si>
    <t>Получателями субсидии являются органы местного самоуправления или органы территориального общественного самоуправления, расположенные на сельской территории в Тюменской области.
Под сельскими территориями понимаются сельские поселения или сельские поселения и межселенные территории, объединенные общей территорией в границах муниципального района, сельские населенные пункты, рабочие поселки, входящие в состав Голышмановского и Заводоуковского городских округов.
Муниципальные образования Тюменской области — городские округа Ишим, Тобольск, Тюмень, Ялуторовск и муниципальные районы участие в реализации мероприятия не принимают.</t>
  </si>
  <si>
    <t>Государственная программа Тюменской области "Развитие жилищно-коммунального хозяйства" / подпрограмма "Формирование современной городской среды" / Региональный проект.
«Формирование комфортной городской среды» в рамках реализации национального проекта «Жилье и городская среда» / Мероприятие проекта.
Реализация программ формирования современной городской среды</t>
  </si>
  <si>
    <t>№527-п от 21.12.2018</t>
  </si>
  <si>
    <t>https://gkh.admtyumen.ru/OIGV/gkh/actions/programs/program.htm?id=1138@egTargetGrant</t>
  </si>
  <si>
    <t>Постановление Правительства Тюменской области от 28.12.2007 № 348-п (ред. от 18.03.2020) "О порядке предоставления субсидий и иных межбюджетных трансфертов местным бюджетам" (вместе с "Порядком предоставления субсидий местным бюджетам на поддержку муниципальных программ формирования современной городской среды")</t>
  </si>
  <si>
    <t>https://login.consultant.ru/link/?req=doc&amp;base=RLAW026&amp;n=153135&amp;dst=1000000005</t>
  </si>
  <si>
    <t>Департамент жилищно-коммунального хозяйства Тюменской области</t>
  </si>
  <si>
    <t>бюджеты городских округов</t>
  </si>
  <si>
    <t>ориентировочный подсчет: 1. исходя из численности жителей МКД, расположенных на благоустраиваемых дворовых территориях; 2. исходя из проходимости благоустраиваемых скверов (парков).</t>
  </si>
  <si>
    <t>протокол территориальной счетной комиссии</t>
  </si>
  <si>
    <t>Практика предусматривает участие только части муниципальных образований - городских округов</t>
  </si>
  <si>
    <t>Субсидии на поддержку муниципальных программ формирования современной городской среды в рамках реализации подпрограммы "Формирование современной городской среды" государственной программы Тюменской области "Развитие жилищно-коммуналнього хозяйства" предоставляются муниципальным образованиям имеющим статус города. (Постановление Правительства Тюменской области от 28.12.2007 № 348-п "О порядке предоставления субсидий и иных межбюджетных трансфертов местным бюджетам")</t>
  </si>
  <si>
    <t>интернет-голосование с использованием системы электронных опросов "Я решаю!"</t>
  </si>
  <si>
    <t>http://gorodsreda.ru/</t>
  </si>
  <si>
    <t>https://vk.com/tmncomfort</t>
  </si>
  <si>
    <t xml:space="preserve">https://minstroy.49gov.ru/common/upload/25/editor/file/Gorsreda_brandbook_new.pdf </t>
  </si>
  <si>
    <t>https://dom.tyumen-city.ru/ir/
https://ng72.ru/news/view/10595
https://vk.com/mkuugp?w=wall-164928910_400
https://park72.ru/city/210530/
https://fedpress.ru/news/72/society/2444746
https://t-l.ru/279221.html</t>
  </si>
  <si>
    <t>Предоставление грантов муниципальным образованиям края в целях поддержки проектов, инициируемых муниципальными образованиями края по развитию территориального общественного самоуправления в рамках государственной программы Хабаровского края "Содействие развитию институтов и инициатив гражданского общества в Хабаровском крае" (утверждена постановлением Правительства края от 29 декабря 2012 г. № 482-пр)</t>
  </si>
  <si>
    <t>Конкурс проектов ТОС</t>
  </si>
  <si>
    <t>государственная программа Хабаровского края "Содействие развитию институтов и инициатив гражданского общества в Хабаровском крае"  (содействие развитию территориального общественного самоуправления)</t>
  </si>
  <si>
    <t>постановление Правительства края от 29 декабря 2012 г. № 482-пр</t>
  </si>
  <si>
    <t>consultantplus://offline/ref=9178811C41C6440B691B8C54AA866C6418F67439DE68880EFBD21DE6FB18A91D0CB000D8C0540295F1519CFCD257104C20506ED3078BDC3AB6EBF2B360DC44FDl1TDF</t>
  </si>
  <si>
    <t>Постановление Правительства края от 24.06.2016 № 199-пр "Об утверждении Положения о предоставлении грантов в форме иных межбюджетных трансфертов из краевого бюджета бюджетам муниципальных образований Хабаровского края в целях поддержки проектов, инициируемых муниципальными образованиями края по развитию территориального общественного самоуправления", Распоряжение Правительства края от 05.02.2016 № 51-рп "Об утверждении Концепции развития территориального общественного самоуправления в Хабаровском крае до 2020 года"</t>
  </si>
  <si>
    <t>https://guvp.khabkrai.ru/Deyatelnost/TOS/Obschaya-informaciya-i-normativnye-pravovye-akty</t>
  </si>
  <si>
    <t xml:space="preserve">главное управление внутренней политики Правительства Хабаровского края </t>
  </si>
  <si>
    <t>гранты в форме иных межбюджетных трансфертов</t>
  </si>
  <si>
    <t>муниципальные образования Хабаровского края</t>
  </si>
  <si>
    <t>личное участие граждан в реализации проекта (трудоучастие), использование строительных материалов,  предоставление техники, оборудования и инструментов, имеющихся у населения и юридических лиц; выполнение вспомогательных/иных работ – подготовка территории, уборка мусора, использование неквалифицированного труда</t>
  </si>
  <si>
    <t>количество граждан,  проживающих в границах ТОС (на основании данных, указанных бюджетополучателями в проектах ТОС)</t>
  </si>
  <si>
    <t>https://habstat.gks.ru/</t>
  </si>
  <si>
    <t>Фонд "Краевой центр развития гражданских инициатив и социально ориентированных некоммерческих организаций"</t>
  </si>
  <si>
    <t>главное управление внутренней политики Правительства Хабаровского края</t>
  </si>
  <si>
    <t>информационные встречи, гражданские форумы, обучающие семинары, личные приемы</t>
  </si>
  <si>
    <t>участие в краевом конкурсе ТОС</t>
  </si>
  <si>
    <t>протокол заседания конкурсной комиссии, оценка проектов ТОС</t>
  </si>
  <si>
    <t xml:space="preserve">https://guvp.khabkrai.ru </t>
  </si>
  <si>
    <t>https://instagram.com/guvp_khabkrai, https://t.me/guvp_khabkrai, https://ok.ru/mvpkhv, https://vk.com/guvp_khabkrai</t>
  </si>
  <si>
    <t xml:space="preserve">краевые СМИ: в печатных СМИ, в сети "Интернет", телевидение, радио </t>
  </si>
  <si>
    <t>методические материалы https://guvp.khabkrai.ru/Deyatelnost/TOS/Obschaya-informaciya-i-normativnye-pravovye-akty/Metodicheskie-materialy-tipovye-akty</t>
  </si>
  <si>
    <t xml:space="preserve">с января по декабрь 2020 г. проведено 25 обучающих семинаров, информационных встреч для специалистов органов местного самоуправления и лидеров территориального общественного самоуправления, жителей края </t>
  </si>
  <si>
    <t>1 февраль 2020 г.</t>
  </si>
  <si>
    <t>1 июль 2020 г.</t>
  </si>
  <si>
    <t xml:space="preserve">Постановление Правительства края от 31 августа 2017 г. № 356-пр Об утверждении государственной программы Хабаровского края "Формирование современной городской среды"
</t>
  </si>
  <si>
    <t>Использования фирменного стиля по брендбуку федерального проекта "Формирование комфортной городской среды" национального проекта "Жилье и городская среда"</t>
  </si>
  <si>
    <t>Формирование современной городской среды, основное мероприятие госпрограммы - "реализация регионального проекта "Формирование комфортной городской среды""</t>
  </si>
  <si>
    <t>Постановление Правительства Хабаровского края от 22.03.2019 № 94-пр "О внесении изменений в постановление Правительства Хабаровского края от 31 августа 2017 г. № 356-пр "Об утверждении государственной программы Хабаровского края "Формирование современной городской среды на 2018-2022 годы"</t>
  </si>
  <si>
    <t>http://publication.pravo.gov.ru/Document/View/2700201903260005?index=0&amp;rangeSize=1</t>
  </si>
  <si>
    <t>Ответственный орган исполнительной власти за реализацию регионального проекта "Формирование комфортной городоской среды" - министерство жилищно-коммунального хозяйства края</t>
  </si>
  <si>
    <t>министерство жилищно-коммунального хозяйства края</t>
  </si>
  <si>
    <t>муниципальные образования края - участники регионального проекта</t>
  </si>
  <si>
    <t>https://habstat.gks.ru/folder/25028</t>
  </si>
  <si>
    <t>Рейтинговое голосование по отбору общественных территорий подлежащих благоустройству</t>
  </si>
  <si>
    <t xml:space="preserve">Протоколы общественных комиссий </t>
  </si>
  <si>
    <t>Участники - муниципальные образования численность свыше 1000 человек, прошедшие отбор</t>
  </si>
  <si>
    <t xml:space="preserve">Отбор муниципальных образований края проведен в соответствии с Правилами предоставления и распределения из краевого бюджета бюджетам муниципальных образований Хабаровского края на софинансирование расходных обязательств муниципальных образований края по реализации муниципальных программ формирования современной городской среды на мероприятия по благоустройству общественных территорий, утвержденными постановлением Правительства Хабаровского края от 31.08.2017 № 356-пр "Об утверждении государственной программы Хабаровского края "Формирование современной городской среды" </t>
  </si>
  <si>
    <t>Субсидий бюджетам муниципальных образований
Хабаровского края на софинансирование расходных обязательств Муниципальных образований Хабаровского края на реализацию
мероприятий по благоустройству сельских территорий</t>
  </si>
  <si>
    <t>01 января 2020 г.</t>
  </si>
  <si>
    <t>Государственная программа Хабаровского края "Развитие сельского хозяйства и регулирование рынков сельскохозяйственной продукции, сырья и продовольствия в Хабаровском крае", утвержденная постановлением Правительства Хабаровского края  от 17 августа 2012 г.
№ 277-пр (далее - государственная программа края)</t>
  </si>
  <si>
    <t>Постановление Правительства Хабаровского края
от 20 мая 2016 г. № 152-пр "О внесении изменений в отдельные постановления Правительства Хабаровского края"</t>
  </si>
  <si>
    <t>https://laws.khv.gov.ru</t>
  </si>
  <si>
    <t>Министерство сельского хозяйства, торговли, пищевой и перерабатывающей промышленности Хабаровского края</t>
  </si>
  <si>
    <t>Субсидии из краевого бюджета</t>
  </si>
  <si>
    <t xml:space="preserve">Сельские поселения и межселенные территории, объединенные общей территорией в границах муниципального района, сельские населенные пункты и рабочие поселки, входящие в состав городских поселений, рабочие поселки, наделенные статусом городских поселений, перечень которых утвержден постановлением Правительства Хабаровского края от 04 декабря 2019 г. N 505-пр.
</t>
  </si>
  <si>
    <t xml:space="preserve">Ведомственный проект "Благоустройство сельских территорий" направления (подпрограммы) "Создание и развитие инфраструктуры на сельских территориях" государственной программы Российской Федерации "Комплексное развитие сельских территорий", утвержденной Постановлением Правительства Российской Федерации от 31 мая 2019 г. N 696
</t>
  </si>
  <si>
    <t>Участие граждан и (или) юридических лиц (индивидуальных предпринимателей), общественных, включая волонтерские, организаций в неденежной форме в том числе в форме трудового участия, волонтерской деятельности, предоставления помещений и технических средств</t>
  </si>
  <si>
    <t>Пунктом 3.4 заявки предусмотрено указание численности благополучателей. Расчет числа благополучателей производится поселениями самостоятельно в зависимости от направления проекта</t>
  </si>
  <si>
    <t>Пунктом 5.1 заявки учитывается степень участия населения в определении приоритетности проекта согласно протоколам собраний граждан и (или) итогов анкетирования. Отражается общее число человек принявших участие в собраниях и в анкетировании. К заявке прикладываются оформленные итоги анкетирования и образцы анкет</t>
  </si>
  <si>
    <t>В практике возможно участие только городских и сельских поселений Хабаровского края. Городские округа и муниципальные районы участвовать не могут.</t>
  </si>
  <si>
    <t>Участники предусмотрены Порядком предоставления субсидий, являющимся Приложением № 10 к государственной программе края</t>
  </si>
  <si>
    <t xml:space="preserve">https://minsh.khabkrai.ru/Gospodderzhka/Programmy-/Kraevye/Podprogramma-quot-Kompleksnoe-razvitie-selskih-territorij-quot-/Meropriyatiya-podprogrammy-quot-Kompleksnoe-razvitie-selskih-territorij-quot-/574
</t>
  </si>
  <si>
    <t>https://minsh.khabkrai.ru/events/Informaciya-o-konkursah/2238, https://minsh.khabkrai.ru/events/Video/2321, https://minsh.khabkrai.ru/events/Novosti/2276, https://www.khabkrai.ru/events/news/178565, https://www.khabkrai.ru/events/news/179015, https://www.khabkrai.ru/events/news/180696</t>
  </si>
  <si>
    <t>Проведенние информационных встреч с населением и сотрудниками администраций муниципальных образований, размещение статей в печатных СМИ, официальные сайты администраций муниципальных образований Хабаровского края, официальный сайт Правительства Хабаровского края</t>
  </si>
  <si>
    <t>Министерством сельского хозяйства, торговли, пищевой и перерабатывающей промышленности Хабаровского края разработана брошюра о ППМИ (напечатано 300 экз.) и буклеты (напечатано 500 экз.) https://minsh.khabkrai.ru/Gospodderzhka/Programmy-/Kraevye/Podprogramma-quot-Kompleksnoe-razvitie-selskih-territorij-quot-/Meropriyatiya-podprogrammy-quot-Kompleksnoe-razvitie-selskih-territorij-quot-/574</t>
  </si>
  <si>
    <t>Ежеквартально в муниципальных образованиях края проводились обучающие мероприятия о реализации ППМИ в форме семинаров и информационных встреч. Участие принимали главы муниципальных образований края и инициативные жители</t>
  </si>
  <si>
    <t>ТОС</t>
  </si>
  <si>
    <t>Государственная программа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 подпрограмма 3 «Эффективное местное самоуправление в Московской области», 
Основное мероприятие 07. Реализация практик инициативного бюджетирования на территории муниципальных образований Московской области, Мероприятие 07.01. Предоставление субсидий муниципальным образованиям Московской области на реализацию проектов граждан, сформированных в рамках практик инициативного бюджетирования</t>
  </si>
  <si>
    <t>Постановление Правительства Московской области от 14.01.2020 № 1/1 "О внесении изменений в государственную программу Московской области "Развитие институтов гражданского общества, повышение эффективности местного самоуправления и реализации молодежной политики в Московской области"</t>
  </si>
  <si>
    <t>https://ovmf2.consultant.ru/cgi/online.cgi?rnd=66D8B55318E3190061A470AE6405CD26&amp;req=doc&amp;base=MOB&amp;n=307719&amp;dst=100011&amp;fld=134&amp;REFFIELD=134&amp;REFDST=1000000048&amp;REFDOC=331165&amp;REFBASE=MOB&amp;stat=refcode%3D19827%3Bdstident%3D100011%3Bindex%3D73#25og239zvnb</t>
  </si>
  <si>
    <t>Закон Московской области от 19.10.2018 № 170/2018-ОЗ "О развитии инициативного бюджетирования в Московской области"</t>
  </si>
  <si>
    <t>https://ovmf2.consultant.ru/cgi/online.cgi?req=doc&amp;ts=155202624105309729631190472&amp;cacheid=BE3771CA87324EE9826D00E861E8CF15&amp;mode=splus&amp;base=MOB&amp;n=309201&amp;rnd=66D8B55318E3190061A470AE6405CD26#2i5rxv5zruk</t>
  </si>
  <si>
    <t>Постановление Правительства Московской области от 17.12.2019 № 992/44 "Об образовании Московской областной конкурсной комиссии по проведению конкурсного отбора проектов инициативного бюджетирования в Московской области и о Порядке проведения конкурсного отбора проектов инициативного бюджетирования в Московской области"</t>
  </si>
  <si>
    <t>https://ovmf2.consultant.ru/cgi/online.cgi?req=doc&amp;ts=1221384029048017265032415124&amp;cacheid=0B4A555950C6A7B3B7F5320E42485259&amp;mode=splus&amp;base=MOB&amp;n=326046&amp;rnd=766ED2922F66E41589131AB5C030BDB0#21zi403wzt4</t>
  </si>
  <si>
    <t xml:space="preserve">Главное управление территориалной политики Московской области </t>
  </si>
  <si>
    <t xml:space="preserve">Администрации муниципальных образований Московской области </t>
  </si>
  <si>
    <t>76.16%</t>
  </si>
  <si>
    <t>21.74%</t>
  </si>
  <si>
    <t xml:space="preserve"> 2.1%</t>
  </si>
  <si>
    <t>Размещение проектов на интернет-портале</t>
  </si>
  <si>
    <t>https://vote.dobrodel.ru/narodniy_budjet</t>
  </si>
  <si>
    <t>142, 34091858</t>
  </si>
  <si>
    <t>Отбор общественно значимых проектов муниципальных районов (включая поселения, входящие в состав района) и городских округов в рамках участия населения Нижегородской области в формировании модельных расходов муниципальных образований Нижегородской области</t>
  </si>
  <si>
    <t>"ВАМ РЕШАТЬ"</t>
  </si>
  <si>
    <t>Постановление Правительства Нижегородской области "Об утверждении Порядка отбора общественно значимых проектов муниципальных районов (включая поселения, входящие в состав района) и городских округов в рамках участия населения Нижегородской области в формировании модельных расходов муниципальных образований Нижегородской области"</t>
  </si>
  <si>
    <t xml:space="preserve"> от 30.08.2019 №616 
(вступление в силу  - 30.08.2019) </t>
  </si>
  <si>
    <t>http://mf.nnov.ru/files/budget/N_PA/Proekt/2019/Postanovlenie_616_ot_30.08.2019.zip</t>
  </si>
  <si>
    <t xml:space="preserve"> от 30.08.2019 №616 
(срок действия не установлен) </t>
  </si>
  <si>
    <t>Постановление Правительства Нижегородской области от 30.08.2019 № 616 "Об утверждении Порядка отбора общественно значимых проектов муниципальных районов (включая поселения, входящие в состав района) и городских округов в рамках участия населения Нижегородской области в формировании модельных расходов муниципальных образований Нижегородской области"</t>
  </si>
  <si>
    <t>http://publication.pravo.gov.ru/Document/View/5200201909030008</t>
  </si>
  <si>
    <t xml:space="preserve">Министерство финансов Нижегородской области </t>
  </si>
  <si>
    <t>Дотации</t>
  </si>
  <si>
    <t xml:space="preserve">Органы местного самоуправления муниципальных районов и городских округов Нижегородской области </t>
  </si>
  <si>
    <t>https://nizhstat.gks.ru/storage/mediabank/%D0%A7%D0%B8%D1%81%D0%BB%D0%B5%D0%BD%D0%BD%D0%BE%D1%81%D1%82%D1%8C%20%D0%BD%D0%B0%D1%81%D0%B5%D0%BB%D0%B5%D0%BD%D0%B8%D1%8F%20%D0%BF%D0%BE%20%D0%BC%D1%83%D0%BD%D0%B8%D1%86%D0%B8%D0%BF%D0%B0%D0%BB%D1%8C%D0%BD%D1%8B%D0%BC%20%D0%BE%D0%B1%D1%80%D0%B0%D0%B7%D0%BE%D0%B2%D0%B0%D0%BD%D0%B8%D1%8F%D0%BC(1).xlsx</t>
  </si>
  <si>
    <t>регистрация входящей корреспонденции</t>
  </si>
  <si>
    <t>по номеру мобильного телефона с использованием блокчейн платформы</t>
  </si>
  <si>
    <t>Тип муниципальных образований (участвуют только муниципальные районы и городские округа)</t>
  </si>
  <si>
    <t>Размещение проектов, процедура онлайн-голосования, информирования о ходе реализации проектов-победителей, отобранных в ходе голосования</t>
  </si>
  <si>
    <t>http://mf.nnov.ru:8025/nnbudget</t>
  </si>
  <si>
    <t>https://disk.yandex.ru/d/2dnqKuGttaliDg</t>
  </si>
  <si>
    <t>Телевидение (тематические видеоролики, выступление высшего должностного лица, прямой эфир с жителями, пресс-тур с участием жителей), тематические платкаты (информационные и обучающие), реклама в общественных местах, печатные СМИ, социальные сети.
Пример наибольшего охвата населения: https://disk.yandex.ru/d/2dnqKuGttaliDg</t>
  </si>
  <si>
    <t>Проведение вебинаров и совещаний с органами местного самоуправления (ежемесячно)</t>
  </si>
  <si>
    <t xml:space="preserve">Проект по поддержке местных инициатив </t>
  </si>
  <si>
    <t>Закон Нижегородской области от 19.12.2019 г. №165-З "Об областном бюджете на 2020 год и на плановый период 2020 и 2021 годов" (в ред. Закона Нижегородской области от 26.11.2020 г. №133-З)</t>
  </si>
  <si>
    <t>http://publication.pravo.gov.ru/Document/View/5200202011300004</t>
  </si>
  <si>
    <t>Закон Нижегородской области от 17.12.2020 № 173-З "Об инициативном бюджетировании в Нижегородской области"</t>
  </si>
  <si>
    <t>http://publication.pravo.gov.ru/Document/View/5200202012300004</t>
  </si>
  <si>
    <t>Постановление Правительства Нижегородской области от    22.12.2017 г. № 945 "О реализации на территории Нижегородской области проекта по поддержке местных инициатив"</t>
  </si>
  <si>
    <t>http://publication.pravo.gov.ru/Document/View/5200201712270003
http://publication.pravo.gov.ru/Document/View/5200201804260005
http://publication.pravo.gov.ru/Document/View/5200201903130012
http://publication.pravo.gov.ru/Document/View/5200201905290004
http://publication.pravo.gov.ru/Document/View/5200201908300009
http://publication.pravo.gov.ru/Document/View/5200201911290004 http://publication.pravo.gov.ru/Document/View/5200202002250006 http://publication.pravo.gov.ru/Document/View/5200202008270005</t>
  </si>
  <si>
    <t xml:space="preserve">Министерство внутренней региональной и муниципальной политики Нижегородской области </t>
  </si>
  <si>
    <t xml:space="preserve">Муниципальные образования Нижегородской области </t>
  </si>
  <si>
    <t>Порядком конкурсного отбора программ (проектов) развития территорий муниципальных образований Нижегородской области, основанных на местных инициативах, и критериями конкурсного отбора, утвержденными постановлением Правительства Нижегородской области от 22 декабря 2017 г. №945, предусмотрено участие населения (неоплачиваемый труд, материалы и др. формы) в реализации программы (проекта). Нефинансовый вклад носит добровольный характер, влияет на оценку программы (проекта) при конкурсном отборе</t>
  </si>
  <si>
    <t xml:space="preserve">Данные представлены в программах участников конкурсного отбора </t>
  </si>
  <si>
    <t>https://nizhstat.gks.ru/</t>
  </si>
  <si>
    <t>Данные представлены в программах участников конкурсного отбора</t>
  </si>
  <si>
    <t>Состав конкурсной комиссии утвержден постановлением Правительства Нижегородской области от 22 декабря 2017 г. №945. Участие членов конкурсной комиссии фиксируется в протоколе заседания конкурсной комиссии</t>
  </si>
  <si>
    <t>В соответствии с Порядком конкурсного отбора программ (проектов) развития территорий муниципальных образований, основанных на местных инициативах, утвержденного постановлением Правительства Нижегородской области от 22 декабря 2017 г. №945, ППМИ охвачены все городские и сельские поселения, входящие в состав муниципальных районов Нижегородской области (сами муниципальные районы не участвуют), и все городские округа</t>
  </si>
  <si>
    <t>Участниками конкурсного отбора являются муниципальные образования наиболее приближенные к населению</t>
  </si>
  <si>
    <t>https://mvp.government-nnov.ru/?id=48287</t>
  </si>
  <si>
    <t>Освещение этапов реализации ППМИ проводилось на постоянной основе пресс-службой Губернатора и Правительства Нижегородской области на сайте Правительства Нижегородской области в ленте новостей. Кроме того информация о ППМИ активно освещалась в СМИ и обсуждалась на публичных страницах в социальных сетях</t>
  </si>
  <si>
    <t>Приоритетный региональный проект "Дорога к дому"</t>
  </si>
  <si>
    <t>"Дорога к дому"</t>
  </si>
  <si>
    <t>09 января 2020 г.</t>
  </si>
  <si>
    <t>О государственной программе Новгородской области "Совершенствование и содержание дорожного хозяйства Новгородской области (за исключением автомобильных дорог федерального значения) на 2020 - 2024 годы"</t>
  </si>
  <si>
    <t>постановление Правительства Новгородской области от 09.07.2020 №312</t>
  </si>
  <si>
    <t>https://docs.cntd.ru/document/570845985?marker</t>
  </si>
  <si>
    <t>Постановление Правительства Новгородской области от 12.10.2017 № 347 «Об организации проектной деятельности в Правительстве Новгородской области и органах исполнительной власти Новгородской области»</t>
  </si>
  <si>
    <t>https://mgu.novreg.ru/npa.html</t>
  </si>
  <si>
    <t>министерство транспорта и дорожного хозяйства  Новгородской области</t>
  </si>
  <si>
    <t>муниципальные районы, городской округ, городские и сельские поселения</t>
  </si>
  <si>
    <t>в  соотвествии с расчетми муниципальных образований</t>
  </si>
  <si>
    <t>https://novgorodstat.gks.ru/storage/mediabank/%D0%9D%D0%B0%D1%81%D0%B5%D0%BB%D0%B5%D0%BD%D0%B8%D0%B5%202020.pdf</t>
  </si>
  <si>
    <t>технологический подсчет</t>
  </si>
  <si>
    <t>протоколы предварительных собраний, сходов граждан с листами регистрации участвующих</t>
  </si>
  <si>
    <t>https://xn--h1ahj0a.xn--p1ai/proekty/doroga-k-domu/</t>
  </si>
  <si>
    <t>https://vk.com/ppmi53; https://www.facebook.com/groups/1825803114105110/</t>
  </si>
  <si>
    <t>https://цмпи.рф/</t>
  </si>
  <si>
    <t>Межрайонные кустовые форумы "Развитие территориального общественного самоуправления и практик инициативного бюджетирования в Новгородской области" прошли в августе 2020 года в р.п. Парфино, р.п. Демянске, п.Батецкий, с.Мошенское и г. Чудово. Участники: председатели и активисты ТОС, главы и специалисты Администраций муниципальных образований.</t>
  </si>
  <si>
    <t>Участниками стали более 200 представителей.</t>
  </si>
  <si>
    <t>"О государственной программе Новгородской области "Комплексное развитие сельских территорий Новгородской области до 2025 года"</t>
  </si>
  <si>
    <t>от 16.12.2019 N 490</t>
  </si>
  <si>
    <t>https://apk.novreg.ru/documents/501.html</t>
  </si>
  <si>
    <t>сайт министерства сельского хозяйства Новгородской области</t>
  </si>
  <si>
    <t>министерство сельского хозяйства Новгородсмкой области</t>
  </si>
  <si>
    <t>министерство сельского хозяйства Новгородской области</t>
  </si>
  <si>
    <t>орган исполнительной власти (муниципальные округа, городские и сельские поселения)</t>
  </si>
  <si>
    <t>Постановление Правительства РФ от 31.05.2019 N 696 (ред. от 31.12.2020) "Об утверждении государственной программы Российской Федерации "Комплексное развитие сельских территорий" и о внесении изменений в некоторые акты Правительства Российской Федерации"</t>
  </si>
  <si>
    <t>министерство сельского хозяйства Российской Федерации</t>
  </si>
  <si>
    <t>по данным органов местного самоуправления</t>
  </si>
  <si>
    <t>муниципальный округ, городские и сельские поселения</t>
  </si>
  <si>
    <t xml:space="preserve">Предоставление и распределение субсидий бюджетам муниципальных округов, городских и сельских поселений в целях софинансирований расходных обязательств на реализацию общественно значимых проектов по благоустройству сельских территорий Новгородской области
</t>
  </si>
  <si>
    <t>Предоставление субсидий бюджетам муниципальных районов, муниципальных округов, городских и сельских поселений Новгородской области в целях софинансирования расходных обязательств на реализацию проектов комплексного развития сельских территорий Новгородской области</t>
  </si>
  <si>
    <t>трудовое участие граждан не предусмотрено</t>
  </si>
  <si>
    <t>муниципальный округ, муниципальный район</t>
  </si>
  <si>
    <t>не участвуют городские округа</t>
  </si>
  <si>
    <t>https://apk.novreg.ru/documents/82.html</t>
  </si>
  <si>
    <t>https://apk.novreg.ru/o-planakh-realizatcii-meropriyatiy-gosprogrammy-kompleksnoe-razvitie-selskikh-territoriy-novgorodskoy-oblasti-do-2025-goda-v-2021-godu.html   ;   https://apk.novreg.ru/luchshie-praktiki-po-realizatcii-gosprogrammy-kompleksnogo-razvitiya-selskikh-territoriy-obsudili-na-mezhregionalnom-seminare.html</t>
  </si>
  <si>
    <t>совещания в муниципальных районах (округах)</t>
  </si>
  <si>
    <t>Приоритетный региональный проект "Народный бюджет"</t>
  </si>
  <si>
    <t>Государственная программа Новгородской области "Управление государственными финансами Новгородской области на 2019 - 2024 годы"                                                                        (Подпрограмма "Повышение эффективности бюджетных расходов Новгородской области" государственной программы Новгородской области "Управление государственными финансами Новгородской области на 2019 - 2024 годы".  Направление 1.4. Роль и влияние населения Новгородской области на состояние финансово-бюджетной сферы.                                                 Мероприятие 1.4.3. Участие населения в управлении государственными и муниципальными финансами в Новгородской области.</t>
  </si>
  <si>
    <t>постановление Правительства Новгородской области от 06.06.2019 №205</t>
  </si>
  <si>
    <t>http://docs.cntd.ru/document/553364140</t>
  </si>
  <si>
    <t>Закон Новгородской области от 04.04.2019 №394-ОЗ "О Стратегии социально-экономического развития Новгородской области до 2026 года"</t>
  </si>
  <si>
    <t>http://docs.cntd.ru/document/553230534</t>
  </si>
  <si>
    <t>Министерство финансов Новгородской области</t>
  </si>
  <si>
    <t>Городские и сельские поселения Новгородской области, отобранные для получения субсидии</t>
  </si>
  <si>
    <t>Приложение N 3. Порядок предоставления и методика распределения субсидий бюджетам городских и сельских поселений Новгородской области на реализацию приоритетного регионального проекта "Народный бюджет"</t>
  </si>
  <si>
    <t>государственное областное казенное учреждение "Центр муниципальной правовой информации" https://цмпи.рф/upload/iblock/dcb/dcbc133f80b6f485f8f2b8a66d35ebf5.pdf</t>
  </si>
  <si>
    <t>областной бюджет</t>
  </si>
  <si>
    <t>технический подсчет</t>
  </si>
  <si>
    <t>https://vk.com/narodbudget_no</t>
  </si>
  <si>
    <t>определена возможность подачи заявок 
на электронный адрес 
http://www.трубичино.рф/startuet-realizatciya-proekta-narodnyy-byudzhet-ob-yavlen-priem-zayavok-na-uchastie-v-proekte-narodnyy-byudzhet-na-2019-2020-gody.html</t>
  </si>
  <si>
    <t>видеофиксация заседания бюджетной комиссии https://vk.com/wall-186443460?day=26112019&amp;w=wall-186718337_44
https://vk.com/wall-183064536_119 https://vk.com/narodbudget_no</t>
  </si>
  <si>
    <t>https://цмпи.рф/proekty/narodnyy-byudzhet/</t>
  </si>
  <si>
    <t>https://vk.com/wall-172227097_282</t>
  </si>
  <si>
    <t>https://цмпи.рф/proekty/</t>
  </si>
  <si>
    <t>ТВ, социальные сети, интернет-издания https://vk.com/wall-186443460?day=26112019&amp;w=wall-186718337_44
https://vk.com/wall-183064536_119
https://vk.com/wall-160413159_5948 — ТВ сюжет
https://novvedomosti.ru/news/society/67320/ — газета</t>
  </si>
  <si>
    <t>Каталог практик инициативного бюджетирования Новгородской области "Проекты, реализованные в 2020 году" https://xn--h1ahj0a.xn--p1ai/novosti/katalog-sbornik-proektov-realizovannykh-v-2020-godu/ https://vk.com/narodbudget_no?z=photo-195359876_457239093%2Fwall-186443460_236 — листовка
https://vk.com/doc234890673_575692006?hash=ffa82b243fe686589d&amp;dl=0a37d604fc12885383 — информ. материал
https://vk.com/wall-172041935_688 — флаер</t>
  </si>
  <si>
    <t>вебинары (тренинги) в соответствии с рабочим планом проекта;  состав участников - представители поселений, которые курируют проект и модерируют заседания бюджетных комиссий</t>
  </si>
  <si>
    <t>Приоритетный региональный проект "Проект поддержки местных инициатив (ППМИ) на территории Новгородской области"</t>
  </si>
  <si>
    <t>ППМИ Новгородской области</t>
  </si>
  <si>
    <t>Государственная программа Новгородской области "Государственная поддержка развития местного самоуправления в Новгородской области и социально ориентированных некоммерческих организаций Новгородской области на 2019-2026 годы", подпрограмма "Государственная поддержка развития местного самоуправления в Новгородской области", Направление: Повышение активности участия граждан в осуществлении местного самоуправления. Мероприятие: Реализация приоритетного регионального проекта "Проект поддержки местных инициатив (ППМИ) на территории Новгородской области"</t>
  </si>
  <si>
    <t>Постановление Правительства Новгородской области от 20.06.2019 №229, с изменениями от 05.03.2020 №75, от 19.06.2020 №280, от 07.08.2020 №370. от 29.12.2020 №588</t>
  </si>
  <si>
    <t xml:space="preserve">https://docs.cntd.ru/document/553386375 </t>
  </si>
  <si>
    <t xml:space="preserve">Закон Новгородской области от 04.04.2019 №394-ОЗ "О Стратегии социально-экономического развития Новгородской области до 2026 года". Принят Постановлением Новгородской областной Думы от 27.03.2019 N 724-ОД </t>
  </si>
  <si>
    <t>https://docs.cntd.ru/document/450360732</t>
  </si>
  <si>
    <t>Комитет по внутренней политике Новгородской области</t>
  </si>
  <si>
    <t>субсидия областного бюджета</t>
  </si>
  <si>
    <t>городские и сельские поселения Новгородской области</t>
  </si>
  <si>
    <t>участие в субботниках, предоставление техники и материалов, разработка смет проектов, организация ярмарок, сбор макулатуры, выручка от концертов</t>
  </si>
  <si>
    <t>п. 4.2.1. Заявки для участия в конкурсном отборе</t>
  </si>
  <si>
    <t>http://docs.cntd.ru/document/553386375</t>
  </si>
  <si>
    <t>Государственное областное казенное учреждение "Центр муниципальной правовой информации" https://цмпи.рф/upload/iblock/dcb/dcbc133f80b6f485f8f2b8a66d35ebf5.p</t>
  </si>
  <si>
    <t>технологический подсчёт https://vk.com/doc153585529_523388495?hash=7cf93222f0d6774540</t>
  </si>
  <si>
    <t xml:space="preserve">технологический подсчёт участников в листах регистрации к протоколам https://vk.com/wall-175111037_367  https://vk.com/wall-171632190_112 </t>
  </si>
  <si>
    <t>автоматический подсчёт участников с использованием Google Forms и инструментов социальных сетей https://vk.com/club172332438?w=wall-172332438_130</t>
  </si>
  <si>
    <t>Протокол заседания конкурсной комиссии по проведению конкурсного
отбора приоритетных проектов местных инициатив в целях предоставления субсидии из областного бюджета размещен на сайте Правительства Новгородской области https://www.novreg.ru/tenders/konkurs_poderzhki_project/.
Членам конкурсной комиссии были направлены логины и пароли для входа в личный кабинет в Сервисе электронной подачи заявок для заполнения оценочных листов, сформирован сводный оценочный лист, подготовлены видеопрезентация и доклад руководителя проекта, сводный рейтинговый список к заседанию конкурной комиссии https://novvedomosti.ru/news/society/61579/  https://vk.com/wall-160413159?day=20042020&amp;q=%D0%9F%D0%9F%D0%9C%D0%98%20%20&amp;w=wall-160413159_3527</t>
  </si>
  <si>
    <t>городской округ Великий Новгород не является участником проекта ППМИ, так как в субъекте отсутствует конкурентная среда (единственный участник)</t>
  </si>
  <si>
    <t>Поселения в личном кабинете на Сервисе электронной подачи заявки на участие в конкурсном отборе ППМИ заполняли заявки с приложением необходимых документов  с визуализацией набранных баллов онлайн https://заявка.цмпи.рф/zayavka/                         Координаторы проекта  в онлайн режиме отслеживали заполнение заявок и осуществляли их проверку и консультирование специалистов поселений-участников.                                                     В Сервисе электронной подачи заявок на официальном сайте ГОКУ «ЦМПИ» разработан раздел «Отчеты» https://заявка.цмпи.рф/otchet/, в котором поселения – участники, используя уникальный логин и пароль, ежемесячно заполняли отчетность на своей странице.                                                                          Сервис также позволил сформировать сводную отчетность по проектам ППМИ в разрезе поселений, муниципальных районов и Новгородской области в целом. https://заявка.цмпи.рф/otchet/?f=f5</t>
  </si>
  <si>
    <t>https://цмпи.рф/proekty/ppmi/</t>
  </si>
  <si>
    <t xml:space="preserve">https://цмпи.рф/ </t>
  </si>
  <si>
    <t xml:space="preserve"> https://цмпи.рф/novosti/  Ход реализации проекта ППМИ освещался на всем протяжении в течение 2020 года: публикаций в СМИ – 166, из них 26 телесюжетов; в социальных сетях в группе «ВКонтакте» https://vk.com/ppmi53 - 3954 поста;
в группе Fasebook
https://www.facebook.com/groups/1825803114105110/ - 897 постов.
Тематические группы ВКонтакте  поселений наполнены текстовой информацией о реализации ППМИ, а также фотоматериалами. https://vk.com/wall-160413159_3558 — 1652 просмотра, https://vk.com/wall-160413159_3573 — 5264 просмотра,https://vk.com/wall-160413159_3607 — 13482 просмотра  </t>
  </si>
  <si>
    <t>Сборник "Инициативное бюджетирование Новгородской области. Проекты, реализованные в 2020 году"   https://xn--h1ahj0a.xn--p1ai/novosti/katalog-sbornik-proektov-realizovannykh-v-2020-godu/ Изготовлены календари, ручки, блокноты https://www.facebook.com/groups/1825803114105110/permalink/3901775919841142/</t>
  </si>
  <si>
    <t>В формате учебно – методических семинаров с Главами городских и сельских поселений Новгородской области по актуальным вопросам развития местного самоуправления с рассмотрением перспектив реализации ППМИ 2020 было проведено 4 межрайонных мероприятий, в ходе которых озвучены алгоритм информационной работы с жителями, в том числе в социальных сетях, а также порядок заполнения заявок, привлечение волонтёров. В формате «Школы ППМИ» с кураторами и Главами городских и сельских поселений проведено 5 учебно – методических семинаров, на которых рассмотрены вопросы о составлении отчетности по реализации проектов, и анализировались возможные нарушения с целью их предотвращения. В августе 2020 года в формате межрайонных кустовых форумов ТОС  с элементами интерактива проведено 5 мероприятий на тему "Развитие территориального общественного самоуправления и практик инициативного бюджетирования на территории Новгородской области" с участием председателей и активистов ТОС и специалистов администраций муниципальных образований</t>
  </si>
  <si>
    <t>Приоритетный региональный проект "Территориальное общественное самоуправление (ТОС) на территории Новгородской области"</t>
  </si>
  <si>
    <t>ТОСы Новгородской области</t>
  </si>
  <si>
    <t>09 января 2020 года</t>
  </si>
  <si>
    <t>Подпрограмма "Государственная поддержка развития местного самоуправления в Новгородской области" государственной программы Новгородской области "Государственная поддержка развития местного самоуправления в Новгородской области и социально ориентированных некомерческих организаций Новгородской области на 2019 - 2026 годы", предоставление субсидий бюджетам городских и сельских поселений Новгородской области на поддуржку реализации проектов территориальных общественных самоуправлений, включенных в муниципальные программы развития территорий</t>
  </si>
  <si>
    <t>http://docs.cntd.ru/document/553386375; http://docs.cntd.ru/document/446681172</t>
  </si>
  <si>
    <t xml:space="preserve">http://docs.cntd.ru/document/553230534 </t>
  </si>
  <si>
    <t>Постановление Правительства Новгородской области от 12.10.2017 № 347 "Об организации проектной деятельности в Правительстве Новгородской области и органах исполнительной власти Новгородской области"</t>
  </si>
  <si>
    <t>Областная субсидия</t>
  </si>
  <si>
    <t>Бюджеты городских и сельских поселений Новгородской области, городской округ Великий Новгород</t>
  </si>
  <si>
    <t xml:space="preserve">Письменный запрос ГОКУ "ЦМПИ", табличная форма описываются группы населения, которые регулярно будут пользоваться
результатами выполненного проекта (например, в случае ремонта тротуара прямые благополучатели - жители этой и прилегающих улиц, которые регулярно ходят по отремонтированному тротуару
</t>
  </si>
  <si>
    <t>Государственное областное казенное учреждение "Центр муниципальной правовой информации" https://цмпи.рф/upload/iblock/dcb/dcbc133f80b6f485f8f2b8a66d35ebf5.pdf</t>
  </si>
  <si>
    <t>Собрания членов ТОС</t>
  </si>
  <si>
    <t>Критерием отбора городского округа, поселений для предоставления субсидий является наличие проекта территориального общественного самоуправления, включенного в муниципальную программу развития территорий соответствующего городского округа, поселения, на соответствующий финансовый год. Условиями предоставления и расходования субсидии являются: наличие в бюджете городского округа,поселения бюджетных ассигнований на исполнение расходных обязательств, связанных с исполнением мероприятий, направленных на реализацию проекта территориального общественного самоуправления, включенного в муниципальную программу развития территорий; наличие в границах одного поселения не менее 2 зарегистрированных в соответствии со статьей 27 Федерального закона от 6 октября 2003 года № 131-ФЗ "Об общих принципах организации местного самоуправления в Российской Федерации" территориальных общественных самоуправлений</t>
  </si>
  <si>
    <t>Территориальное общественное самоуправление (xn--h1ahj0a.xn--p1ai)</t>
  </si>
  <si>
    <t>https://vk.com/toc53                                                                   https://vk.com/ppmi53; https://www.facebook.com/groups/1825803114105110/                                    https://цмпи.рф/</t>
  </si>
  <si>
    <t>https://цмпи.рф/  Территориальное общественное самоуправление (xn--h1ahj0a.xn--p1ai)</t>
  </si>
  <si>
    <t>В тематической группе «ТОСы Новгородской области» в социальной сети «ВКонтакте» https://vk.com/toc53  и Fasebook https://www.facebook.com/groups/936134533235074/ размещено 720 публикаций; на сайте  https://цмпи.рф/novosti/ размещены 127 публикаций</t>
  </si>
  <si>
    <t>https://xn--h1ahj0a.xn–p1ai/novosti/katalog-sbornik-proektov-realizovannykh-v-2020-godu/ </t>
  </si>
  <si>
    <t>Межрайонные кустовые форумы "Развитие территориального общественного самоуправления и практик инициативного бюджетирования в Новгоролдской области" прошли в августе 2020 года в р.п. Парфино, р.п. Демянске, п.Батецкий, с.Мошенское и г. Чудово. Участники: председатели и активисты ТОС, Главы и специалисты администраций муниципальных образований.  25 декабря 2020 года проведен учебно-методический семинар в режиме видеоконференцсвязи с заместителями Глав администраций, управляющими Делами, председателями комитетов муниципальной службы, заведующими (начальниками) организационных отделов Администраций муниципальных районов, муниципальных округов, городского округа по актуальным вопросам развития местного самоуправления</t>
  </si>
  <si>
    <t>Участниками форумов стали более 200 представителей ТОС, учебно-методического семинара - более 150 человек</t>
  </si>
  <si>
    <t>государственная программа Новгородской области "Формирование современной городской среды на территории муниципальных образований Новгородской области"</t>
  </si>
  <si>
    <t>постановление Правительства Новгородской области 01.09.2017 № 305</t>
  </si>
  <si>
    <t>https://docs.cntd.ru/document/450333035</t>
  </si>
  <si>
    <t>министерство жилищно-коммунального хозяйства и топливно-энергетического комплекса Новгородской области</t>
  </si>
  <si>
    <t>ФП "Формирование комфортной городской среды", РП "Формирование комфортной городской среды на териитории Новгородской области", государственная программа Новгородской области «Формирование современной городской среды на территории муниципальных образований Новгородской области на 2018-2024 годы» утверждена постановлением Правительства Новгородской области от 01.09.2017 № 305</t>
  </si>
  <si>
    <t>анкетирование</t>
  </si>
  <si>
    <t>проводились муниципальными образованиями</t>
  </si>
  <si>
    <t>рейтинговое голосование, протоколы в 2020 году</t>
  </si>
  <si>
    <t xml:space="preserve">Критерии отбора муниципальных образований области для участия в Программе в 2020 году:
- наличие в муниципальных программах мероприятий по благоустройству дворовых территорий многоквартирных домов, по комплексному благоустройству общественных территорий в городском округе Великий Новгород, монопрофильных муниципальных образованиях области, муниципальных образованиях - исторических поселениях федерального значения, населенных пунктах с численностью населения свыше 1000 человек;
- наличие средств собственников помещений многоквартирных домов в размере не более 10 % от общей стоимости работ по благоустройству дворовых территорий многоквартирных домов исходя из минимального перечня работ по благоустройству и (или) в размере не более 30 % от общей стоимости работ по благоустройству дворовых территорий многоквартирных домов исходя из дополнительного перечня работ по благоустройству;
- наличие средств бюджетов муниципальных образований области в размере не менее 20 % от общей стоимости работ по благоустройству дворовых территорий многоквартирных домов исходя из минимального перечня работ по благоустройству и (или) дополнительного перечня работ по благоустройству и общественных территорий.
</t>
  </si>
  <si>
    <t>сайт министерства ЖКХ и ТЭК Новгородской обл</t>
  </si>
  <si>
    <t>Реализация на территории Новосибирской области проектов развития территорий муниципальных образований Новосибирской области, основанных на местных инициативах</t>
  </si>
  <si>
    <t>Практика инициативного бюджетирования в Новосибирской области</t>
  </si>
  <si>
    <t>23 сентября 2019 г.</t>
  </si>
  <si>
    <t>Постановление Правительства Новосибирской области от 06.06.2017 № 201-п "О реализации на территории Новосибирской области проектов развития территорий муниципальных образований Новосибирской области, основанных на местных инициативах"</t>
  </si>
  <si>
    <t>http://mfnso.nso.ru/page/2632</t>
  </si>
  <si>
    <t>Министерство финансов и налоговой политики Новосибирской области</t>
  </si>
  <si>
    <t>Местная администрация городских и сельских поселений Новосибирской области</t>
  </si>
  <si>
    <t xml:space="preserve">Нефинансовое (трудовое и имущественное) участие жителей поселения, организаций в реализации проектов </t>
  </si>
  <si>
    <t>Учитывалось примерное количество граждан, являющихся прямыми благополучателями, которые непосредственно будут пользоваться результатами реализованных проектов</t>
  </si>
  <si>
    <t>https://novosibstat.gks.ru/storage/mediabank/Y7mh3rqk/p54_%D0%A7%D0%B8%D1%81%D0%BB%D0%B5%D0%BD%D0%BD%D0%BE%D1%81%D1%82%D1%8C%20%D0%BD%D0%B0%D1%81%D0%B5%D0%BB%D0%B5%D0%BD%D0%B8%D1%8F%20%D0%BF%D0%BE%20%D0%BC%D1%83%D0%BD%D0%B8%D1%86%D0%B8%D0%BF%D0%B0%D0%BB%D1%8C%D0%BD%D1%8B%D0%BC%20%D0%BE%D0%B1%D1%80%D0%B0%D0%B7%D0%BE%D0%B2%D0%B0%D0%BD%D0%B8%D1%8F%D0%BC%20%D0%BD%D0%B0%201%20%D1%8F%D0%BD%D0%B2%D0%B0%D1%80%D1%8F%202020%D0%B3%20%D0%B8%20%D0%B2%20%D1%81%D1%80%D0%B5%D0%B4%D0%BD%D0%B5%D0%BC%20%D0%B7%D0%B0%202019%D0%B3.pdf</t>
  </si>
  <si>
    <t>Государственное казенное учреждение Новосибирской области "Региональный информационный центр"</t>
  </si>
  <si>
    <t>Областной бюджет Новосибирской области</t>
  </si>
  <si>
    <t>Информационное письмо о проведении анкетирования, опросов граждан и сбора подписей с указанием количества человек, принявших участие в процедурах, результатов анкетирования, опросов граждан и утверждение (протоколирование) этих результатов на сходах/собраниях граждан</t>
  </si>
  <si>
    <t>Процедуры выдвижения проектных идей осуществлялись посредством интернет-голосования, инициированного на официальных сайтах местных администраций городских и сельских поселений Новосибирской области в сети "Интернет" и онлайн-платформах социальных сетей</t>
  </si>
  <si>
    <t>Процедуры конкурсного отбора проектных заявок и количество граждан, принявших в них участие, были зафиксированы в протоколах сходов, собраниях граждан. Количество граждан, принявших участие в процедуре подтверждено листами регистрации к протоколам</t>
  </si>
  <si>
    <t>Возможность участия в практике предоставлена не всем муниципальным образованиям</t>
  </si>
  <si>
    <t>Практика предусматривает участие в конкурсном отборе проектов городских и сельских поселений Новосибирской области</t>
  </si>
  <si>
    <t>http://mfnso.nso.ru/page/4446</t>
  </si>
  <si>
    <t xml:space="preserve">В связи с эпидемиологической обстановкой в регионе ежегодные выездные информационно-обучающие семинары не проводились.
Для проведения обучающих мероприятий были изготовлены видеоматериалы </t>
  </si>
  <si>
    <t>38,53 % от общей численности граждан проживающих в городских и сельских поселениях Новосибирской области)</t>
  </si>
  <si>
    <t xml:space="preserve">13,28 %
</t>
  </si>
  <si>
    <t>постановление Правительства Омской области от 31.08.2017 № 248-п "Об утверждении  государственной программы Омской области "Формирование комфортной городской среды"</t>
  </si>
  <si>
    <t xml:space="preserve">27 мая 2019 года </t>
  </si>
  <si>
    <t>государственная программа Омской области "Формирование комфорной городской среды" (подпрограмма "Благоустройство общественных территорий муниципальных образований Омской области" мероприятие "Благоустройство общественных территорий населенных пунктов муниципальных образований Омской области")</t>
  </si>
  <si>
    <t>от 31 августа 2017 года № 248-п</t>
  </si>
  <si>
    <t>https://ovmf2.consultant.ru/cgi/online.cgi?req=doc&amp;cacheid=603BA65AD6558414184CEEEA9DAA8A05&amp;SORTTYPE=0&amp;BASENODE=23700&amp;ts=133004834408205846370949368&amp;base=RLAW148&amp;n=164323&amp;rnd=78DB87F0E7078876E8DBB5D770C5B483#1vcq7fd130y</t>
  </si>
  <si>
    <t>Постановление Правительства Омской области от
 7 апреля 2021 года  № 133-п "О конкурсном отборе инициативных проектов на территории Омской области"</t>
  </si>
  <si>
    <t>https://ovmf2.consultant.ru/cgi/online.cgi?req=doc&amp;cacheid=D5B049842777A6A21BFAADF56F06EA5C&amp;SORTTYPE=0&amp;BASENODE=23700&amp;ts=45898649024806218800036728&amp;base=RLAW148&amp;n=165928&amp;rnd=0B2C7C8FF542C7F5FBABDE5D700E1C5E#xla28fzw0s</t>
  </si>
  <si>
    <t>Министерство энергетики и жилищно-коммунального комплекса Омской области</t>
  </si>
  <si>
    <t>муниципальные образования Омской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</si>
  <si>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t>
  </si>
  <si>
    <t xml:space="preserve">открытое голосование и (или) интернет-голосование
</t>
  </si>
  <si>
    <t xml:space="preserve">Интернет-голосование проводится на сайте (сайтах) в сети "Интернет", определенном (определенных) муниципальным правовым актом в соответствии с постановлением Правительства Омской области от 10 апреля 2019 года N 119-п "Об утверждении Порядка проведения голосования по отбору общественных территорий,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t>
  </si>
  <si>
    <t>Проводится в соответствии с постановлением Правительства Омской области от 10 апреля 2019 года  N 119-п "Об утверждении Порядка проведения голосования по отбору общественных территорий,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t>
  </si>
  <si>
    <t>Участие принимают  муниципальные образования Омской области с численностью населения свыше 20 тыс. человек</t>
  </si>
  <si>
    <t xml:space="preserve">В соответствии с федеральным законодательством в голосовании по отбору территорий соответствующего функционального назначения (площади, набережные, улицы, пешеходные зоны, скверы, парки, иные территории), подлежащих благоустройству в рамках реализации муниципальных программ формирования современной городской среды в год, следующий за годом проведения голосования, участвуют муниципальные образования Омской области с численностью населения свыше 20 тыс. человек
</t>
  </si>
  <si>
    <t xml:space="preserve">Вовлечение населения в осуществление местного самоуправления, поддержка гражданских инициатив
</t>
  </si>
  <si>
    <t>х</t>
  </si>
  <si>
    <t xml:space="preserve">До 01.01.2021 года: Государственная программа Псковской области от 28.10.2013 № 495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подпрограмма "Эффективная система межбюджетных отношений в Псковской области", основное мероприятие "Развитие институтов территориального общественного самоуправления и поддержка проектов местных инициатив граждан". Начиная с 01.01.2021 года: Государственная программа Псковской области от 30.12.2020 № 477 "Поддержка развития местного самоуправления в Псковской области", подпрограмма "Вовлечение населения в осуществление местного самоуправления, поддержка гражданских инициатив", основное мероприятие "Проведение конкурса проектов ТОС"
</t>
  </si>
  <si>
    <t>Постановление Администрации Псковской области от 28.03.2019 № 114 «О внесении изменений в постановление администрации области от 28 октября 2013 г. № 495 «Об утверждении государственной программы Псковской области «Создание условий для эффективного и ответственного управления региональными и муниципальными финансами, повышения устойчивости бюджетной системы псковской области на 2014 - 2020 годы»</t>
  </si>
  <si>
    <t>Консультатнт плюс</t>
  </si>
  <si>
    <t>Администрация Псковской области (Управление по местному самоуправлению и территориальному развитию Администрации Псковской области)</t>
  </si>
  <si>
    <t>Администрация Псковской области</t>
  </si>
  <si>
    <t>Бюджет муниципального образования</t>
  </si>
  <si>
    <t>трудовое участие, приобретение материалов, предоставление спец.техники</t>
  </si>
  <si>
    <t>Количество благополучателей рассчитано из расчета количества жителей территориий, на которых действует ТОС</t>
  </si>
  <si>
    <t>https://pskovstat.gks.ru/storage/mediabank/nas200325_1.htm</t>
  </si>
  <si>
    <t xml:space="preserve">Конкурсная комиссия из представителей органов государственной власти Псковской области, Общественной палаты Псковской области, Ассоциации "Совет муниципальных образований Псковской области", иных некоммерческих организаций
</t>
  </si>
  <si>
    <t>Муниципальные образования, в которых создано территориальное общественное самоуправление</t>
  </si>
  <si>
    <t xml:space="preserve">https://pskov.ru/vlast/ispolnitelnaya/administratsiya-oblasti/apparat/upravlenie-po-mestnomu-samoupr/territorialnoe-obshchestvennoe  </t>
  </si>
  <si>
    <t>Информирование населения посредством средств массовой информации (интернет ресурсы, печатные издания, радио)</t>
  </si>
  <si>
    <t xml:space="preserve">Инициативное бюджетирование или реализация проектов развития общественной инфраструктуры, основанных на местных инициативах </t>
  </si>
  <si>
    <t>Инициативное бюджетирование в Республике Адыгея</t>
  </si>
  <si>
    <t xml:space="preserve">30 апреля 2020 года </t>
  </si>
  <si>
    <t xml:space="preserve">31 декабря 2020 года </t>
  </si>
  <si>
    <t xml:space="preserve">Закон Республики Адыгея от 18 декабря 2019 г. N 299 
"О республиканском бюджете Республики Адыгея на 2020 год и на плановый период 2021 и 2022 годов"; распоряжение Кабинета Министров Республики Адыгея от 21 апреля 2020 г. N 98-р
"О распределении субсидий из республиканского бюджета Республики Адыгея бюджетам сельских поселений на софинансирование проектов развития общественной инфраструктуры, основанных на местных инициативах, реализуемых на территории сельских поселений в 2020 году" </t>
  </si>
  <si>
    <t>http://www.minfin01-maykop.ru/Show/Category/7?page=1&amp;ItemId=55&amp;filterYear=2019</t>
  </si>
  <si>
    <t>Постановление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t>
  </si>
  <si>
    <t>http://www.minfin01-maykop.ru/Show/Category/10?ItemId=57</t>
  </si>
  <si>
    <t>Министерство финансов Республики Адыгея</t>
  </si>
  <si>
    <t xml:space="preserve">МО "Кошехабльское сельское поселение"; МО "Егерухайское сельское поселение"; МО "Шенджийское сельское поселение"; МО "Сергиевское сельское поселение"; МО "Понежукайское сельское поселение"; МО "Гиагинское сельское поселение"; МО "Каменномостское сельское поселение"; МО "Игнатьевское сельское поселение"; МО "Ходзинское сельское поселение"; МО "Натырбовское сельское поселение"; МО "Айрюмовское сельское поселение"; МО "Красногвардейское сельское поселение" </t>
  </si>
  <si>
    <t>неоплачиваемые работы; вклад материалами и оборудованием; вклад в форме техники и транспортных средств</t>
  </si>
  <si>
    <t>krsdstat.gks.ru/population_ra</t>
  </si>
  <si>
    <t>заполнение опросных листов, анкет гражданами</t>
  </si>
  <si>
    <t>депутатское обращение; включение в состав инициативной группы</t>
  </si>
  <si>
    <t>осуществляется комиссией конкурсного отбора в оответсвии с условиями и критериями конкурсного отбора, установленными постановлением Кабинета Министров Республики Адыгея от 10.10.2018 № 212 "О некоторых вопросах реализации проектов развития общественной инфраструктуры, основанных на местных инициативах";  оформляется решением комиссии, протоколом, расчетами</t>
  </si>
  <si>
    <t>городские и сельские поселения</t>
  </si>
  <si>
    <t>по типу мо (городские, сельские поселения)</t>
  </si>
  <si>
    <t>http://www.minfin01-maykop.ru/Show/Category/60?ItemId=237</t>
  </si>
  <si>
    <t>https://twitter.com/minfin01_maykop</t>
  </si>
  <si>
    <t>информация об ИБ освящается  на телевидении, радио, в газетах, официальных сайтах, социальных сетях https://www.youtube.com/watch?v=oSSRFF3AzgY&amp;feature=youtu.be</t>
  </si>
  <si>
    <t>презентации, слайды              http://www.minfin01-maykop.ru/Show/Category/60?ItemId=237</t>
  </si>
  <si>
    <t>В виде семинаров, коллегий на регулярной основе</t>
  </si>
  <si>
    <t>13,6 тыс.чел.</t>
  </si>
  <si>
    <t>Государственная программа Самарской области "Поддержка инициатив населения муниципальных образований в Самарской области" на 2017 - 2025 годы</t>
  </si>
  <si>
    <t>Губернаторский проект "СОдействие"</t>
  </si>
  <si>
    <t>01 сентября 2019 г.</t>
  </si>
  <si>
    <t>Постановление Правительства Самарской области от 17 мая 2017 года N 323</t>
  </si>
  <si>
    <t>https://disk.yandex.ru/d/JTOfHf4e8LhFCw?w=1</t>
  </si>
  <si>
    <t>1. Постановление Правительства Самарской области от 11.03.2020 N 148 "Об утверждении Распределения в 2020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общественных проектов"                                                                       2. Постановление Правительства Самарской области от 03.07.2020 N 463 "Об утверждении Распределения в 2020 году субсидий из областного бюджета местным бюджетам в целях софинансирования расходных обязательств муниципальных образований в Самарской области, направленных на решение вопросов местного значения и связанных с реализацией мероприятий по поддержке решений референдумов (сходов) об использовании средств самообложения граждан"</t>
  </si>
  <si>
    <t>Закон Самарской области от 29.12.2020 №148-ГД «Об основах инициативного бюджетирования в Самарской области»</t>
  </si>
  <si>
    <t>https://pravo.samregion.ru/zakony/zakon-samarskoj-oblasti-ot-29-12-2020-%E2%84%96148-gd-ob-osnovah-inicziativnogo-byudzhetirovaniya-v-samarskoj-oblasti/</t>
  </si>
  <si>
    <t>Постановление Правительства Самарской области от 12.07.2017 N 441 "О Стратегии социально-экономического развития Самарской области на период до 2030 года"</t>
  </si>
  <si>
    <t xml:space="preserve">Приказ департамента внутренней политики
Самарской области от 30.10.2020 № 12 «О реализации отдельных полномочий, направленных на выполнение государственной программы Самарской области «Поддержка инициатив населения муниципальных образований в Самарской области» на 2017 – 2025 годы»
</t>
  </si>
  <si>
    <t>Департамент внутренней политики Самарской области</t>
  </si>
  <si>
    <t>Департамент управления делами Губернатора Самарской области и Правительства Самарской области</t>
  </si>
  <si>
    <t>Муниципальные образования Самарской области (внутригородские районы г.о. Самара, городские округа и сельские/городские поселения муниципальных районов Самарской области)</t>
  </si>
  <si>
    <t>При расчете рейтинга проекта не учитывается, вместе с тем прописывается в случае наличия в заявке на участие в конкурсных процедурах. Подразделяется на следующие виды: Работы
Услуги
Предоставление материалов
Предоставление техники
Предоставление оборудования
Предоставление инвентаря
Другое
Может осуществляться как физ. лицами, так и организациями на безвозмездной основе</t>
  </si>
  <si>
    <t>Количество благополучателей зависит от направления проекта. В случае, если проект направлен на благоустройство территории, рассчитывается проходимость территории в день/месяц/год, в случае, если направление проекта связано с проведением культурно-массового мероприятия, в расчет берется количество участников мероприятия, периодичность проведения и возможность дальнейшего применения инвентаря, приобретенного в рамках субсидии. По итогам реализации общественных проектов, муниципальное образование предоставляет отчет по установленной форме о количестве благополучателей.</t>
  </si>
  <si>
    <t>https://samarastat.gks.ru/population</t>
  </si>
  <si>
    <t>10 (3 сотрудника департамента внутренней политики Самарской области, 4 сотрудника Департамента управления делами Губернатора Самарской области и Правительства Самарской области (ГРБС), 3 сотрудника Ассоциация муниципальных образований Самарской области.</t>
  </si>
  <si>
    <t>Опросные листы, подписные листы, анкетные опросы жителей муниципального образования. https://disk.yandex.ru/d/JTOfHf4e8LhFCw?w=1</t>
  </si>
  <si>
    <t>Оформление протокола собраний граждан, конференций граждан, сходов граждан; фото и видеофиксация на уровне муниципального образования. Дополнительно муниципальными образованиями, по их усмотрению, проводятся творческие конкурсы рисунков и пр. по видению создаваемых/благоустраиваемых объектов общественной инфраструктуры. https://disk.yandex.ru/d/JTOfHf4e8LhFCw?w=1</t>
  </si>
  <si>
    <t>Оформление протокола заседаний ТОС, конференций ТОС; фото и видеофиксация на уровне муниципального образования. https://disk.yandex.ru/d/JTOfHf4e8LhFCw?w=1</t>
  </si>
  <si>
    <t>Дополнительная форма учета мнения граждан, определяемая муниципальным образованием. Фиксация участия осуществляется на уровне муниципального образования. В конкурсную комиссию предоставляется по усмотрению участников конкурсного отбора. https://disk.yandex.ru/d/JTOfHf4e8LhFCw?w=1</t>
  </si>
  <si>
    <t>Дополнительная форма учета мнения граждан, определяемая муниципальным образованием. Фиксация участия осуществляется на уровне муниципального образования (например, опросы в социальных сетях). В конкурсную комиссию предоставляется по усмотрению участников конкурсного отбора (например, приложение скриншотов с обсуждением). https://disk.yandex.ru/d/JTOfHf4e8LhFCw?w=1</t>
  </si>
  <si>
    <t>Решение собрания представителей об инициировании общественного проекта. С дальнейшим обсуждением на собраниях/конференциях граждан. https://disk.yandex.ru/d/JTOfHf4e8LhFCw?w=1</t>
  </si>
  <si>
    <t>Постановление главы муниципального образования об инициировании общественного проекта и протокол собрания/конференции граждан; обращение НКО в адрес муниципального образования и протокол собрания/конференции граждан. Фото, видеофиксация на усмотрение участников конкурсного отбора. https://disk.yandex.ru/d/JTOfHf4e8LhFCw?w=1</t>
  </si>
  <si>
    <t>По направлению государственной программы "поддержка общественных проектов": лист регистрации и протокол заседания конкурсной комиссии. Фото и видео фиксация заседания. Комиссия состоит из представителей органов власти и членов Общественной палаты Самарской области https://www.samregion.ru/press_center/news/podvedeny-itogi-pervogo-konkursa-obshhestvennyh-proektov-na-2020-god-po-gubernatorskomu-proektu-sodejstvie/ 
https://www.samregion.ru/press_center/news/podvedeny-itogi-vtorogo-konkursa-obshhestvennyh-proektov-na-2020-god-po-gubernatorskomu-proektu-sodejstvie/ По направлению государственной программы "поддержка решений, принятых на сходах граждан": решение принимается руководителем органа на основании определенного государственной программой объема финансирования и на основе соответствия заявки правовым нормам и требованиям государственной программы</t>
  </si>
  <si>
    <t>Excel - рейтинг проектов</t>
  </si>
  <si>
    <t>Городские округа, городской округ с внутригородским делением (г.о. Самара), внутригородские районы г.о. Самара, поселения муниципальных районов</t>
  </si>
  <si>
    <t>Муниципальные районы Самарской области не принимают участия в конкурсных процедурах, т.к. реализация проектов проходит непосредственно на территориях поселений.</t>
  </si>
  <si>
    <t>В ходе реализации общественных проектов жителями Самарской области осуществляется общественный контроль. Результаты общественного мониторинга в оперативном порядке размещаются жителями в Twitter, Instagram, ВКонтакте, в группу оперативного реагирования входит Губернатор, мобильная приемная Губернатора, аккаунт проекта, профильные министерства и ведомства, а также непосредственно руководители ОИВ</t>
  </si>
  <si>
    <t>https://www.samregion.ru/open_government/institutions-gubernatorskij-proekt-sodejstvie/</t>
  </si>
  <si>
    <t>https://twitter.com/SOdeistvie63; https://www.instagram.com/SOdeistvie63/; https://vk.com/sodeistvie63; https://ok.ru/sodeistvie63; https://www.youtube.com/channel/UCb7glKD9I8gd_jYMXsN2CMQ</t>
  </si>
  <si>
    <t>В 2020 году в условиях пандемии формат доведения информации до населения заключался в работе на местах и через Интернет. На региональном Форуме гражданских инициатив 17.12.2019 в процессе рассмотрения и в преддверии очередного приема заявок на конкурсный отбор произведена выставка лучшх общественных проектов и продемонстрирован ролик о лучших практиках ИБ. https://disk.yandex.ru/d/JTOfHf4e8LhFCw?w=1</t>
  </si>
  <si>
    <t xml:space="preserve">1. В 2020 году при взаимодействии с органами местного самоуправления муниципальных образований Самарской области подготовлен и издан небольшим тиражом «Сборник общественных проектов, реализованных в 2019 году по государственной программе Самарской области «Поддержка инициатив населения муниципальных образований в Самарской области» на 2017-2025 годы».
Электронный вариант сборника был направлен во все муниципальные образования Самарской области для учета в работе.
2. 23 и 24 сентября 2020 года проведены обучающие семинары по отдельным вопросам реализации государственной программы Самарской области «Поддержка инициатив населения муниципальных образований в Самарской области» на 2017 – 2025 годы (Программа). Мероприятия были организованы в формате сеансов видеоконференцсвязи (ВКС).
В ходе семинаров представители Департамента и дирекции Ассоциации довели до сведения участников мероприятия изменения, внесенные в Программу в 2020 году, а также ответили на вопросы присутствующих. В свою очередь участники семинара из муниципальных образований Самарской области поделились опытом успешной реализации общественных проектов в рамках Программы.
Всего в сеансах ВКС приняли участие 345 человек, в числе которых были специалисты органов местного самоуправления муниципальных образований Самарской области, а также управляющие микрорайонов, активные представители общественных советов, представители территориального общественного самоуправления и общественности.
Видеозаписи и презентационные материалы мероприятия размещены на сайте Ассоциации в разделе «Мероприятия, обучение».
3. 15 октября 2020 года состоялся обучающий семинар Ассоциации и Департамента по вопросам подготовки документов для участия в конкурсе общественных проектов в рамках реализации Программы.
Семинар также был проведен в режиме сеанса ВКС, в котором приняли участие органы местного самоуправления городских округов и муниципальных районов Самарской области, внутригородских районов городского округа Самара, а также иные заинтересованные лица, непосредственно занимающиеся подготовкой документов на конкурс по Программе. Всего в семинаре приняли участие 220 человек.
Основной задачей организаторов обучения стало разъяснение особенностей заполнения документации на конкурс для участия в Программе, а также характеристика наиболее распространенных ошибок и неточностей, допускаемых участниками конкурса при заполнении заявки. 
Видеозапись мероприятия размещена на сайте Ассоциации в разделе «Мероприятия, обучение».
4. 27 ноября 2020 года состоялся сеанс ВКС Ассоциации и Департамента по вопросам реализации отдельных положений Федерального закона от 20 июля 2020 года № 236-ФЗ «О внесении изменений в Федеральный закон «Об общих принципах организации местного самоуправления в Российской Федерации» (далее - Федеральный закон). 
К участию в мероприятии были приглашены органы местного самоуправления городских округов и муниципальных районов Самарской области, представители внутригородских районов городского округа Самара и общественности. Всего во встрече приняли участие 312 человек.
Мероприятие было посвящено сравнению механизмов инициирования и реализации инициативных проектов согласно Федеральному закону с порядком и условиями инициирования и реализации общественных проектов в рамках Программы.
Видеозапись сеанса ВКС размещена на сайте Ассоциации в разделе «Мероприятия, обучение».
5. Также в 2020 году Ассоциацией подготовлена новая редакция Методических рекомендаций по заполнению заявки на участие в конкурсном отборе общественных проектов по Программе с учетом изменений, внесенных в Программу в 2020 году (Методические рекомендации).
В электронном варианте Методические рекомендации разосланы во все муниципальные образования Самарской области, а также размещены на сайте Ассоциации в разделе «СОдействие».
</t>
  </si>
  <si>
    <t>Реализация мероприятий по вовлечению учащихся 9-11 классов государственных бюджетных образовательных учреждений, подведомственных администрациям районов Санкт-Петербурга, в процесс принятия бюджетных решений.</t>
  </si>
  <si>
    <t>"Твой бюджет в школах"</t>
  </si>
  <si>
    <t>Государственная программа Санкт-Петербурга "Создание условий для обеспечения общественного согласия в Санкт-Петербурге" (подпрограмма 4 "Информационная деятельность исполнительных органов государственной власти Санкт-Петербурга и взаимодействие со средствами массовой информации" , мероприятие 1.14 "Реализация мероприятий по вовлечению граждан в бюджетный процесс Санкт-Петербурга")</t>
  </si>
  <si>
    <t>Постановление Правительства Санкт-Петербурга от 04.06.2014 № 452</t>
  </si>
  <si>
    <t>Комитет финансов Санкт-Петербурга</t>
  </si>
  <si>
    <t>Субсидии бюджетным учреждениям - общеобразовательным школам на реализацию мероприятий проекта по вовлечению учащихся в развитие школьной инфраструктуры</t>
  </si>
  <si>
    <t xml:space="preserve">Ведомственный проектный офис на базе Аналитического отдела Комитета финансов Санкт-Петербурга </t>
  </si>
  <si>
    <t>Текущее содержание ИОГВ (финансирование ведомственного проектного офиса на базе Аналитического отдела Комитета финансов Санкт-Петербурга).</t>
  </si>
  <si>
    <t>нет (в 2020 году в связи с пандемией коронавируса очередной цикл проекта не проводился)</t>
  </si>
  <si>
    <t xml:space="preserve"> Проект реализуется на региональном уровне – в городе федерального значения Санкт-Петербурге, на территории которого образованы 18 районов, не являющихся муниципальными образованиями. На текущий момент среди 111 внутригородских муниципальных образований Санкт-Петербурга практики инициативного бюджетирования не используются.</t>
  </si>
  <si>
    <t xml:space="preserve">Разработан и запущен сайт проекта "Твой бюджет в школах" https://school.tvoybudget.spb.ru/. На ресурсе размещена информация о проекте и его ходе: этапы и школы-участники проекта, информация об экспертной комиссии, бюджет проекта, предложенные школьниками идеи (на всех этапах: от инициативных проектов, выбранных по результатам  внутриклассных голосований до финалистов проекта). Ресурс постоянно обновляется актуальными новостями по проекту, а также фотоотчетами проведенных мероприятий. В разделе "Материалы" можно ознакомиться с дорожными картами по проекту, отчетами о реализации инициатив, положениями и регламентами.  </t>
  </si>
  <si>
    <t>https://school.tvoybudget.spb.ru/</t>
  </si>
  <si>
    <t xml:space="preserve">Основными каналами распространения информации о реализации проекта "Твой бюджет в школах" стали городские СМИ, официальные ресурсы органов власти и социальные сети. 
  1. Печатные и интернет СМИ 
https://nevnov.ru/868192-ucheniki-shkoly-197-pokazali-beglovu-tekhniku-nepryamogo-massazha-serdca;
https://78.ru/news/2021-03-20/beglov_poobeshal_i_dalshe_razvivat_v_peterburge_proekt_tvoi_byudzhet_v_shkolah;
https://nevnov.ru/868089-medialaboratoriyu-otkryli-v-shkole-309-blagodarya-proektu-tvoi-byudzhet;
https://spbvedomosti.ru/news/gorod/v-shkole-tsentralnogo-rayona-otkrylas-tsifrovaya-medialaboratoriya/;
https://spbdnevnik.ru/news/2021-03-19/v-shkole-309-tsentralnogo-rayona-otkrylas-medialaboratoriya;
https://a.gorod-plus.tv/news/86715.
  2. ТВ и видео      
https://topspb.tv/programs/stories/511756/;  https://topspb.tv/programs/stories/511335/;
https://gorod-plus.tv/videos/87406;  https://gorod-plus.tv/videos/86764; 
https://topspb.tv/news/2021/02/8/zonu-otdyha-sozdali-v-shkole-174-v-ramkah-proekta-tvoj-byudzhet-v-shkolah/.                                                  
  Видеоролики, созданные участниками проекта: https://drive.google.com/drive/u/1/folders/1FEcKDn2m6VQ_LpTIpX-HtPCehvwke7V8
 3. Официальные ресурсы
https:/fincom.gov.spb.ru/committees/news/807;  https:/fincom.gov.spb.ru/committees/news/802;
https:/fincom.gov.spb.ru/committees/news/787;  https:/fincom.gov.spb.ru/committees/news/777.
   4. Социальные сети 
https://vk.com/fincomspb?w=wall-193014713_1981;  https://vk.com/fincomspb?w=wall-193014713_2067;
https://vk.com/fincomspb?w=wall-193014713_2121;  https://vk.com/fincomspb?w=wall-193014713_2139;
https://vk.com/wall-25882042_388214;  https://vk.com/fincomspb?w=wall-193014713_2275;
https://vk.com/newstucentr?w=wall-143265175_25933;  https://vk.com/newstucentr?w=wall-143265175_25830;
https://vk.com/newstucentr?w=wall-143265175_25568;  https://vk.com/newstucentr?w=wall-143265175_25511.
</t>
  </si>
  <si>
    <t>Реализация мероприятий по вовлечению граждан (жителей Санкт-Петербурга) в бюджетный процесс Санкт-Петербурга посредством использования практик инициативного бюджетирования</t>
  </si>
  <si>
    <t>"Твой бюджет"</t>
  </si>
  <si>
    <t>http://gov.spb.ru/law?d&amp;nd=822403529&amp;nh=0</t>
  </si>
  <si>
    <t>Администрация Василеостровского района Санкт-Петербурга, Администрация Московского района Санкт-Петербурга, Администрация Невского района Санкт-Петербурга, Администрация Петроградского района Санкт-Петербурга, Администрация Приморского района Санкт-Петербурга, Администрация Фрунзенского района Санкт-Петербурга, Комитет по транспорту, Комитет по благоустройству Санкт-Петербурга.</t>
  </si>
  <si>
    <t>За счет бюджетных ассигнований, выделенных на реализацию инициатив, предусмотренных главному распорядителю бюджетных средств в ведомственной структуре расходов бюджета Санкт-Петербурга: 
(а) за счет субсидий бюджетным учреждениям (субсидии ГБУ, подведомственным ИОГВ СПб, на выполнение госзадания или на иные цели); 
(б) за счет бюджетных средств, предоставляемых на финансовое обеспечение для осуществления оказания государственных услуг (муниципальных) услуг, выполнения работ и (или) исполнения государственных (муниципальных) функций  казенным учреждениям, находящимся в ведении ГРБС (включая самого ГРБС).</t>
  </si>
  <si>
    <t>"Методические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с АНО "ИНИ ЕУ в СПб".</t>
  </si>
  <si>
    <t>Материалы размещены на портале проекта: https://tvoybudget.spb.ru/materials/material/80</t>
  </si>
  <si>
    <t>https://petrostat.gks.ru/storage/mediabank/TCgYnq5o/%D0%A7%D0%B8%D1%81%D0%BB.%D0%A1%D0%9F%D0%B1%20%D0%BD%D0%B0%2001.01.2021.pdf</t>
  </si>
  <si>
    <t>1. Ведомственный проектный офис на базе Аналитического отдела Комитета финансов Санкт-Петербурга.
 2. АНО "Институт научных исследований Европейского Университета в Санкт-Петербурге" (контракт СПб № 1/20 от 14.02.2020).</t>
  </si>
  <si>
    <t xml:space="preserve">1. Смета на содержание ИОГВ (финансирование проектного офиса на базе Аналитического отдела Комитета финансов Санкт-Петербурга);
2. Ассигнования на закупку товаров, работ, услуг для обеспечения государственных (муниципальных) нужд (оплата экспертного сопровождения мероприятий проекта "Твой бюджет -2020").
</t>
  </si>
  <si>
    <t>Информация о поданных завках в онлайн режиме отражалась на сайте проекта по каждому району-участнику, на главной странице отражалась динамика подачи заявок в формате графика: https://tvoybudget.spb.ru/</t>
  </si>
  <si>
    <t xml:space="preserve">Среди лиц, подавших заявки на участие в проекте от 6 районов- участников, проводится жеребьевка, после чего из инициативных граждан формируются бюджетные комиссии по 15 человек (15 резервистов). Деятельность  бюджетных  комиссий  регулируется специальными регламентами, с которыми можно ознакомиться на официальном сайте проекта «Твой бюджет» - https://tvoybudget.spb.ru/materials. 
По итогам проведения заседаний, члены бюджетных комиссий в декабре 2020 года проголосовали за 17 инициатив, прошедших экспертизу в профильных комитетах Администрации Санкт-Петербурга. Результаты голосования размещены во вкладке «Инициативы» на сайте «Твой бюджет». </t>
  </si>
  <si>
    <t>Проект реализуется на региональном уровне – в городе федерального значения Санкт-Петербурге, на территории которого образовано 18 районов, не являющихся муниципальными образованиями. По правилам проекта "Твой бюджет" из 18 районов отбираются 6 районов Санкт-Петербурга, которые набрали наибольшее количество заявок от жителей. На текущий момент среди 111 внутригородских муниципальных образований Санкт-Петербурга практики инициативного бюджетирования не используются.</t>
  </si>
  <si>
    <t xml:space="preserve">Сайт проекта "Твой бюджет" https://tvoybudget.spb.ru/ представляет собой цифровую платформу для информирования о реализации проектов инициативного бюджетирования. На ресурсе автоматически вычисляется и фиксируется статистика по проекту, содержатся актуальные материалы и новости по проекту. На сайте имеется возможность подать заявку с использованием интерактивной карты и обозначением локации инициативы, а также кратким ее описанием. Осуществляется контроль процедур, механизмы отбора проектов и мониторинг статуса реализации проектов. Сайт позволяет отслеживать изменение инициативы от изначально поданной идеи до реализованного проекта. Сайт позволяет следить за расписанием заседаний бюджетных комиссий и образовательного блока, содержит презентационные материалы лекторов и ссылки на видео лекций. 
</t>
  </si>
  <si>
    <t xml:space="preserve">https://tvoybudget.spb.ru/ </t>
  </si>
  <si>
    <t>https://vk.com/tvbspb, https://www.instagram.com/tvoybudget/, https://www.youtube.com/channel/UCUhbY6qQWH7_YXr5u839TzQ, https://www.facebook.com/tvoybudget/</t>
  </si>
  <si>
    <t xml:space="preserve">https://tvoybudget.spb.ru/press </t>
  </si>
  <si>
    <t xml:space="preserve">Рекламная кампания проекта ИБ велась по нескольким направлениям: 
1. социальные сети (проводилось активное информирование о проекте в группах проекта в соц.сетях, в профильных группах (экология и раздельный сбор мусора, движения за зеленый город, велосообщество, сообщество экстремальных видов спорта, группы административных районов города, группы социальных организаций и тд); 
https://vk.com/tvbspb?w=wall-145727411_4739 (2 тысячи просмотров)
https://vk.com/tvbspb?w=wall-145727411_4427 (3,4 тысячи просмотров)
https://vk.com/tvbspb?w=wall-145727411_4956 (4,1 тысячи просмотров)
https://vk.com/tvbspb?w=wall-145727411_4858 (4,2 тысячи просмотров)
https://vk.com/tvbspb?w=wall-145727411_4506 (7,6 тысяч просмотров)
https://vk.com/tvbspb?w=wall-145727411_4772 (11 тысяч просмотров)
https://vk.com/tvbspb?w=wall-145727411_4460 (23 тысячи просмотров)
2. ТВ и радио (на городском телеканале "Санкт-Петербург" перед выпусками новостей в течение рекрутинга транслировался ролик социальной рекламы проекта, был организован ряд теле и радио передач с участием представителей Комитета финансов СПб, консультантов проекта, участников проекта прошлых лет (НТВ-Петербург, 78 канал, телеканал "Санкт-Петербург, Радио России, радио "Эхо в Петербурге", радио Петербург и другие); 
Видеоролик https://drive.google.com/file/d/1oWKvGQJyP4uLEnFYwFWgDzqqYyQuIvyy/view?usp=sharing
ТВ и радио https://tvoybudget.spb.ru/media
3. Печатные и интернет СМИ (организованы публикации о проекте в городских СМИ: Петербургский дневник, Комсомольская правда, Петербургские ведомости, Метро, Вечерний Петербург, Фонтанка.ру, Собака.ру, Бумага.ру, Village и другие): https://tvoybudget.spb.ru/media
4. Наружная реклама (размещена информация о проекте на улицах города - биллборды, тумбы, реклама на остановках общ.транспорта, ролики соц.рекламы на электронных городских дисплеях (11 шт)). 
Макеты биллбордов и баннеров https://drive.google.com/drive/folders/1IaIcLVfIQIwMDCmZEAjpdhfKYXQoebB9?usp=sharing
Видеоролик https://drive.google.com/file/d/1oWKvGQJyP4uLEnFYwFWgDzqqYyQuIvyy/view?usp=sharing
</t>
  </si>
  <si>
    <t xml:space="preserve">Традиционно часть проекта проходит в формате онлайн: за развитием инициатив можно следить на сайте проекта, взаимодействие с участниками ведется посредством социальных сетей.  В связи с пандемией коронавируса в 2020 году проект полностью перешел в онлайн-формат. Для наглядного представления проекта, его правил, этапов, результатов, а также освещения нового формата "Общегородского голосования" была обновлена айдентика "Твоего бюджета", разработаны новые визуальные материалы: https://drive.google.com/drive/folders/1LOxZaxhZr-jIhGe9JOQPmDS6BdgJHNlP?usp=sharing </t>
  </si>
  <si>
    <t xml:space="preserve">В связи с введением ограничений, вызванных распространением новой коронавирусной инфекции (COVID-19), налагаемыми постановлением Правительства Санкт-Петербурга от 13.03.2020 №121, сроки и формат обучающих мероприятий были изменены. Часть обучающих мероприятий была проведена в форме заочных лекций (мастер-классов) в период с сентября по ноябрь 2020 года. </t>
  </si>
  <si>
    <t>самообложение</t>
  </si>
  <si>
    <t>гранты</t>
  </si>
  <si>
    <t>Реальные дела</t>
  </si>
  <si>
    <t>Башкирские дворики</t>
  </si>
  <si>
    <t xml:space="preserve">Проект школьного инициативного бюджетирования "Перемена" </t>
  </si>
  <si>
    <t>"Перемена"</t>
  </si>
  <si>
    <t>Администрация Петроградского района Санкт-Петербурга</t>
  </si>
  <si>
    <t>Администрация Петроградского района, ГБУ СОШ №86 Петроградского района Санкт-Петербурга</t>
  </si>
  <si>
    <t>"Методические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заключенного Комитетом финансов Санкт-Петербурга с АНО "ИНИ ЕУ в СПб".</t>
  </si>
  <si>
    <t>https://tvoybudget.spb.ru/materials/material/80</t>
  </si>
  <si>
    <t>АНО ОВО "Европейский университет в Санкт-Петербурге"</t>
  </si>
  <si>
    <t>частные пожертвования</t>
  </si>
  <si>
    <t>фото, видео, https://vk.com/peremenaspb</t>
  </si>
  <si>
    <t>подсчет вручную, https://vk.com/peremenaspb</t>
  </si>
  <si>
    <t>https://vk.com/doc1212942_518239148?hash=dfeac5c51766012c3d&amp;dl=c75f1e8f421e1c3198</t>
  </si>
  <si>
    <t>https://vk.com/peremenaspb</t>
  </si>
  <si>
    <t>https://sun9-52.userapi.com/impf/c849324/v849324342/195257/UKNOIDJP7kg.jpg?size=500x500&amp;quality=96&amp;sign=07f6c4f2697274d7199a978b50d75e70&amp;type=album</t>
  </si>
  <si>
    <t xml:space="preserve">Премирование лучших проектов территориального общественного самоуправления, разработанных совместно с органами местного самоуправления муниципальных образований Смоленской области, в сфере благоустройства территории
</t>
  </si>
  <si>
    <t>3 февраля 2020</t>
  </si>
  <si>
    <t>Областная государственная программа "Местное самоуправление в Смоленской области" (постановление Администрации Смоленской области от 20.11.2013 №931)</t>
  </si>
  <si>
    <t>Постановление Администрации Смоленской области от 19.02.2018 №66 "О внесении изменений в областную государственную программу "Местное самоуправление в Смоленской области" на 2014 - 2020 годы"</t>
  </si>
  <si>
    <t>http://dvp.admin-smolensk.ru/celevye-programmy/oblastnaya-gosudarstvennaya-programma-mestnoe-samoupravlenie-v-smolenskoj-oblasti-na-2014-2016-gody/</t>
  </si>
  <si>
    <t>Департамент Смоленской области по внутренней политике</t>
  </si>
  <si>
    <t>1. муниципальное образование Велижское городское поселение; 2. Ярцевское городское поселение Ярцевского района Смоленской области; 3. Шаталовское сельское поселение Починковского района Смоленской области; 4. Новодугинское сельское поселение Новодугинского района Смоленской области; 5. Демидовское городское поселение Демидовского района Смоленской области; 6. город Смоленск, 7. Озерненское городское поселение Духовщинского района Смоленской области; 8. Рославльское городское поселение Рославльского района Смоленской области; 9. Гусинское сельское поселение Краснинского района Смоленской области</t>
  </si>
  <si>
    <t>трудовое участие, предоставление материалов, оборудования, техники</t>
  </si>
  <si>
    <t>методика отсутствует, благополучателями считали лиц, проживающих в границах территориального общественного самоуправления, инициирующего проект, а также жителей прилегающих территорий, использующих результаты реализации проекта</t>
  </si>
  <si>
    <t>https://rosstat.gov.ru/compendium/document/13282</t>
  </si>
  <si>
    <t>протокол собрания ТОС (24 собрания в 22 МО)</t>
  </si>
  <si>
    <t>При определении проекта ТОС Шаталовского сельского поселения проводилось интернет опрос по выбору проекта из 3 вариантов.     https://shatalovskoe.admin-smolensk.ru/bannery/opros-znachimosti-stroitelstva-sportivnoj-ploschadki-na-territorii-p-shatalovo-1/</t>
  </si>
  <si>
    <t>информация отсутствует</t>
  </si>
  <si>
    <t>Отбор проводился комиссией, состав которой утвержденной приказом Департамента Смоленской области по внутренней политике от 22.05.2019 №51-ОД. Оценка осуществлялась в соответствии с критериями оценки и при соблюдении условий, предусмотренных постановлением Администрации Смоленской области от 19.03.2018 № 160</t>
  </si>
  <si>
    <t>городские, сельские поселения, городские округа соответствующие критерию отбора</t>
  </si>
  <si>
    <t xml:space="preserve">критерий участия в отборе - наличие проекта ТОС, разработанного совместно с органами местного самоуправления, в сфере благоустройства территоррии. </t>
  </si>
  <si>
    <t>не проводилась</t>
  </si>
  <si>
    <t>в 2020 г. обучающие мероприятия не проводились</t>
  </si>
  <si>
    <t>Поддержка проектов развития территорий муниципальных образований Ставропольского края, основанных на местных инициативах</t>
  </si>
  <si>
    <t>Губернаторская программа поддержки местных инициатив Ставропольского края</t>
  </si>
  <si>
    <t>Государственная программа Ставропольского края «Управление финансами» (подпрограмма «Повышение сбалансированности и устойчивости бюджетной системы Ставропольского края», основное мероприятие «поддержка проектов развития территорий муниципальных образований Ставропольского края, основанных на местных инициативах», приложение к подпрограмме «Правила предоставления субсидий из бюджета Ставропольского края бюджетам муниципальных образований Ставропольского края на реализацию проектов развития территорий муниципальных образований Ставропольского края, основанных на местных инициативах»</t>
  </si>
  <si>
    <t>Постановление Правительства Ставропольского края от 26 декабря 2018 г. № 598-п</t>
  </si>
  <si>
    <t>pmisk.ru/materials</t>
  </si>
  <si>
    <t>Закон Ставропольского края от 29.01.2021 № 1-кз "О развитии инициативного бюджетирования в Ставропольском крае"</t>
  </si>
  <si>
    <t xml:space="preserve">Приказ министерства финансов Ставропольского края от 16 декабря 2014 года № 297 «Об утверждении форм документов, представляемых в министерство финансов Ставропольского края в соответствии с Правилами предоставления субсидий из бюджета Ставропольского края бюджетам муниципальных образований Ставропольского края на реализацию проектов развития территорий муниципальных образований Ставропольского края, основанных на местных инициативах, являющимися приложением к подпрограмме «Повышение сбалансированности и устойчивости бюджетной системы Ставропольского края» государственной программы Ставропольского края «Управление финансами», утвержденной постановлением Правительства Ставропольского края от 26 декабря 2018 г. № 598-п»;
Приказ министерства финансов Ставропольского края от 03 августа 2020 года № 201 «Об утверждении Методики формирования рейтинга проектов развития территорий муниципальных образований Ставропольского края, основанных на местных инициативах»;
постановление Правительства Ставропольского края от 24 марта 2009 года № 87-п «О конкурсной комиссии по проведению конкурсного отбора проектов развития территорий муниципальных образований Ставропольского края, основанных на местных инициативах» </t>
  </si>
  <si>
    <t>Министерство финансов Ставропольского края</t>
  </si>
  <si>
    <t>Администрации муниципальных образований Ставропольского края</t>
  </si>
  <si>
    <t>Нефинансовый вклад реализацию проектов осуществляется:  индивидуальными предпринимателями и организациями осуществляется в натуральной форме и в форме безвозмездного оказания услуг (выполнения работ);
населением населенных пунктов муниципальных образований Ставропольского края в форме безвозмездного труда</t>
  </si>
  <si>
    <t>В заявке муниципального образования Ставропольского края на участие в конкурсном отборе указывается количество благополучателей</t>
  </si>
  <si>
    <t>https://www.gks.ru/storage/mediabank/PrPopul2020.xls</t>
  </si>
  <si>
    <t>Отдел инициативного бюджетирования государственного казённого учреждения дополнительного образования "Учебный центр министерства финансов Ставропольского края"</t>
  </si>
  <si>
    <t>Бюджет Ставропольского края</t>
  </si>
  <si>
    <t>К заявке муниципального образования Ставропольского края на участие в конкурсном отборе прикладываются результаты анкеторования, сбора подписей</t>
  </si>
  <si>
    <t>Органы местного самоуправления фиксируют проектные идеи  и вносят их на рассмотрение при проведении очных собраний</t>
  </si>
  <si>
    <t>Авторизация на сайте производится с использованием единой системы идентификации и аутентификации (ЕСИА)</t>
  </si>
  <si>
    <t>К заявке муниципального образования Ставропольского края на участие в конкурсном отборе прикладываются протоколы проведения собраний, фото и видеоматериалы</t>
  </si>
  <si>
    <t>Предусмотрено применение портала в информационно-телекоммуникационной сети «Интернет» pmisk.ru в целях народного голосования за лучшие инициативы, а также подачи заявок органами местного самоуправления на участие в конкурсном отборе проектов онлайн</t>
  </si>
  <si>
    <t>pmisk.ru</t>
  </si>
  <si>
    <t>mfsk.ru, instagr.am/pmisk.ru, vk.com/pmisk, ok.ru/group/55167178309872</t>
  </si>
  <si>
    <t>https://drive.google.com/file/d/1-zCRzbwdb9GEyZsf8aLJFovsJv8baBRI/view?usp=drivesdk</t>
  </si>
  <si>
    <t>Еженедельная телепрограмма на краевом телевидении «Время дела» (23 выпуска), рекламные аудио и видеоролики (более 1000 минут, 1,5 тыс. прокатов), новостные видеосюжеты на краевом  телевидении (9 сюжетов), информационные статьи в  краевых и районных печатных СМИ (48 публикации), 63,6 тыс. единиц печатной и полиграфической продукции, предусмотренной для муниципалитетов края, пресс-тур для журналистов краевых средств массовой информации</t>
  </si>
  <si>
    <t>https://drive.google.com/folderview?id=116IMcmgsc1FXUbepzOMNw7frRY3F8rt3</t>
  </si>
  <si>
    <t>Проектным центром проведена «школа местных инициатив»: обучающие семинары для представителей администраций муниципальных образований края. В рамках «школы» проведено 2 обучающих вебинара. Особое внимание было уделено работе органов местного самоуправления с населением в части выбора проектов для дальнейшего участия в конкурсном отборе проектов.  В работе семинаров приняли участие кураторы реализации проектов в городских округах и муниципальных районах, главы администраций поселений, руководители территориальных отделов городских округов и иные представители органов местного самоуправления муниципальных образований Ставропольского края.
Также 09 октября 2020 года на территории города Ставрополя был проведен всеросийский семинар-совещание на тему "Инициативные проекты – инструмент организации местно-го самоуправления в Российской Федерации".</t>
  </si>
  <si>
    <t>более 400 человек</t>
  </si>
  <si>
    <t>Внедрение механизмов инициативного бюджетирования на территории Свердловской области</t>
  </si>
  <si>
    <t>публичного названия нет, часто используется выражение "инициативное бюджетирование"</t>
  </si>
  <si>
    <t>подпрограмма 3 «Совершенствование бюджетной политики, налоговых инструментов» государственной программы Свердловской области «Совершенствование социально-экономической политики на территории Свердловской области до 2024 года», утвержденной постановлением Правительства Свердловской области от 25.12.2014 № 1209-ПП в последующих редакциях</t>
  </si>
  <si>
    <t>постановление Правительства Свердловской области от 31.08.2017 № 639-ПП</t>
  </si>
  <si>
    <t>http://economy.midural.ru/content/postanovlenie-pravitelstva-sverdlovskoy-oblasti-ot-31082017-no-639-ppo-vnesenii-izmeneniy-v</t>
  </si>
  <si>
    <t>Закон Свердловской области от 12 декабря 2019 года № 120-ОЗ «Об областном бюджете на 2020 год и плановый период 2021 и 2022 годов»</t>
  </si>
  <si>
    <t>https://minfin.midural.ru/document/category/20#document_list</t>
  </si>
  <si>
    <t xml:space="preserve">приказы Минэкономики и терразвития Свердловской области от 04.06.2018 № 32 "О региональной конкурсной комиссии по отбору проектов инициативного бюджетирования, реализуемых на территории Свердловской области" в последующих редакциях; от 09.07.2018 № 40 "Об одобрении типовой формы постановления главы (администрации) муниципального образования, расположенного на территории Свердловской области, об утверждении Порядка проведения  конкурсного отбора проектов инициативного бюджетирования и состава конкурсной комиссии".
НПА муниципального уровня размещены на сайтах муниципальных образований </t>
  </si>
  <si>
    <t>http://economy.midural.ru/content/perechen-npa-aktualnye-redakcii</t>
  </si>
  <si>
    <t>Министерство экономики и территориального развития Свердловской области</t>
  </si>
  <si>
    <t>муниципальные образования, расположенные на территории Свердловской области</t>
  </si>
  <si>
    <t xml:space="preserve">Методику подсчета определяет администрация муниципального образования. Использовались метод прямого счета и определение благополучателей на основании статистических данных по числу проживающих на территории населенного пункта, где реализован проект, результатом которого будут пользоваться все жители, а также жители близрасположенных населенных пунктов </t>
  </si>
  <si>
    <t>https://sverdl.gks.ru/folder/29698</t>
  </si>
  <si>
    <t xml:space="preserve">опросные и подписные листы, ведомость сбора подписей, например http://grgo.ru/ekonomika/in-byudzhet/?SECTION_ID=1340&amp;ELEMENT_ID=28950   </t>
  </si>
  <si>
    <t>протокол собрания жителей (инициативной группы) с указанием количества участников и (или) списков участников</t>
  </si>
  <si>
    <t xml:space="preserve">размещение информации о проектах с целью их обсуждения и поддержки на страницах социальных сетей, на сайтах, в том числе тех учреждений, где планируется реализация проекта  </t>
  </si>
  <si>
    <t>интернет-голосование, в том числе на страницах социальных сетей; например: http://grgo.ru/ekonomika/in-byudzhet/?SECTION_ID=1340&amp;ELEMENT_ID=28950</t>
  </si>
  <si>
    <t>подписные листы, протоколы собраний граждан, родителей, инициативных групп</t>
  </si>
  <si>
    <t>протоколы заседаний муниципальных конкурсных комиссий и региональной конкурсной комиссии по отбору проектов инициативного бюджетирования</t>
  </si>
  <si>
    <t>Число членов муниципальных конкурсных комиссий от 7 до 14 человек, региональной конкурсной комиссии - 20 человек</t>
  </si>
  <si>
    <t>нет - на региональном уровне;
да - на муниципальном уровне</t>
  </si>
  <si>
    <t>подписные листы в пользу проекта инициативного бюджетирования</t>
  </si>
  <si>
    <t>Размещение на сайтах муниципальных образований и Министерства экономики и территориального развития Свердловской области извещений о начале приема заявок на муниципальные и региональный конкурсы,  результатов отбора, этапов реализации и итогов выполнения проектов. Голосование за проекты в онлайн формате, в том числе  через официальные сайты учреждений</t>
  </si>
  <si>
    <t>http://economy.midural.ru/content/iniciativnoe-byudzhetirovanie</t>
  </si>
  <si>
    <t>сайты органов местного самоуправления муниципальных образований</t>
  </si>
  <si>
    <t xml:space="preserve">Подведение итогов инициативного бюджетирова в 2019 году с постановкой задач на 2020 год осуществлено на совместном заседании Глав муниципальных образований Северного управленческого округа и Координационного совета представительных органов местного самоуправления городских округов, входящих в состав Северного управленческого округа Свердловской области в марте 2020 года, при участии Заместителя Губернатора Свердловской области О.Л. Чемезова. Совещание с главами и специалистами Западного управленческого округа в рамках Дня Министерства. 
Размещение информации о проведении конкурсов, о ходе выполнения и результатах реализации проектов в средствах массовой информации (муниципальные и областные издания), новостные сюжеты и программные передачи ("Четвертая власть") на телевидении  </t>
  </si>
  <si>
    <t>участие, в том числе представителей муниципальных образований, в вебинарах, проводимых НИФИ Минфина России</t>
  </si>
  <si>
    <t xml:space="preserve"> (принят приказ Минэкономики и терразвития Свердловской области № 22 о проведении регионального конкурсного отбора)</t>
  </si>
  <si>
    <t>государственная программа Свердловской области "Формирование современной городской среды на территории Свердловской области на 2018 - 2024 годы" (мероприятие "Формирование современной городской среды в целях реализации национального проекта "Жилье и городская среда")</t>
  </si>
  <si>
    <t>постановление Правительства Свердловской области от 31.10.2017 № 805-ПП</t>
  </si>
  <si>
    <t>http://energy.midural.ru/gosudarstvennaya-programma/</t>
  </si>
  <si>
    <t>постановление Правительства Свердловской области от 31.10.2017 № 805-ПП, до 2024 года</t>
  </si>
  <si>
    <t>паспорт регионального проекта "Формирование комфортной городской среды на территории Свердловской области", утвержденный заседанием Совета при Губернаторе Свердловской области по приоритетным стратегическим проектам Свердловской области (протокол от 17.12.2018 № 18)</t>
  </si>
  <si>
    <t>https://energy.midural.ru/napravleniya-deyatelnosti/formirovanie-komfortnoj-gorodskoj-sredy/prioritetnyj-proekt/hod-prior/pasport-regionalnogo-proekta-formirovanie-komfortnoj-gorodskoj-sredy-na-territorii-sverdlovskoj-oblasti-versiya-16-ot-29-03-2021/</t>
  </si>
  <si>
    <t>Министерство энергетики и жилищно-коммунального хозяйства Свердловской области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</si>
  <si>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национальный проект "Жилье и городская среда" (федеральный проект "Формирование комфортной городской среды")</t>
  </si>
  <si>
    <t xml:space="preserve">трудовое участие  собственников помещений в многоквартирных домах, собственников иных зданий и сооружений, расположенных в границах территории, подлежащей благоустройству
</t>
  </si>
  <si>
    <t>Количество благополучателей от реализации проектов ИБ=количество жителей муниципальных образований в которых благоустраивались территории общего пользования (общественные территории)</t>
  </si>
  <si>
    <t>ведомственный проектный офис  Министерства энергетики и жилищно-коммунального хозяйства Свердловской области, межведомственная комиссия по обеспечению реализации регионального проекта "Формирование комфортной городской среды на территории Свердловской области"</t>
  </si>
  <si>
    <t>в рамках мониторинга выполнения муниципальными образованиями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t>
  </si>
  <si>
    <t>да  (в том числе онлайн обсуждения)</t>
  </si>
  <si>
    <t>в рамках мониторинга выполнения муниципальными образованиями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 (общественные слушания, общественные обсуждения)</t>
  </si>
  <si>
    <t>да (в рамках анкетирования, опросов граждан, сбора подписей, указанных в п. 13.1)</t>
  </si>
  <si>
    <t>в рамках проведённого рейтингового голосования по выбору общественных территорий</t>
  </si>
  <si>
    <t>да (в рамках анкетирования, опросов граждан, сбора подписей, обсуждений граждан, указанных в п. 13.1 и 13.2)</t>
  </si>
  <si>
    <t>в рамках очных встреч и обсуждений граждан, указанных в п. 13.2</t>
  </si>
  <si>
    <t>в рамках мониторинга выполнения муниципальными образованиями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t>
  </si>
  <si>
    <t>Протокол заседания комиссии Министерства энергетики и жилищно-коммунального хозяйства Свердловской области по проведению отбора заявок муниципальных образований на предоставление субсидий из областного бюджета местным бюджетам муниципальных образований, расположенных на территории Свердловской области, в рамках реализации государственной программы Свердловской области «Формирование современной городской среды на территории Свердловской области на 2018–2024 годы»</t>
  </si>
  <si>
    <t>общее количество граждан, принявших участие в рейтинговом голосовании, проведенном в 2020 году - 594 200</t>
  </si>
  <si>
    <t xml:space="preserve">Критерии отбора муниципальных образований, расположенных на территории Свердловской области, для предоставления субсидий из областного бюджета местным бюджетам муниципальных образований на формирование современной городской среды являются приложением № 4 к порядку предоставления субсидий из областного бюджета местным бюджетам муниципальных образований, расположенных на территории Свердловской области, на формирование современной городской среды, утвержденных государственной программой Свердловской области "Формирование современной городской среды на территории Свердловской области на 2018 - 2024 годы"
 </t>
  </si>
  <si>
    <t>61 из них 48 муниципальных образований являлись получателями субсидии в 2020 году</t>
  </si>
  <si>
    <t>В рамках реализации целевой модели по организации общественного участи, а также вовлечению бизнеса и граждан в реализацию проектов благоустройства городской среды, одобренной Протоколом заседания проектного комитета по основному направлению стратегического развития Российской Федерации «ЖКХ и городская среда» от 11.04.2017 № 24, муниципальными образованиями, расположенными на территории Свердловской области, предусмотрено вовлечение населения через интернет</t>
  </si>
  <si>
    <t>http://energy.midural.ru/napravleniya-deyatelnosti/formirovanie-komfortnoj-gorodskoj-sredy/</t>
  </si>
  <si>
    <t>на официальных сайтах муниципальных образований, расположенных на территории Свердловской области, созданы разделы "Формирование комфортной городской среды"</t>
  </si>
  <si>
    <t>https://gorodsreda.ru/documents/metodiki-i-rekomendatsi</t>
  </si>
  <si>
    <t>В рамках реализации регионального проекта "Формирование комфортной городской среды на территории Свердловской области" ведется размещение в региональных средствах массовой информации и мониторинг размещения в муниципальных СМИ информационных материалов о реализации  проекта. За 2020 год размещено порядка 1400 публикаций в СМИ в рамках направления стратегического развития «ЖКХ и городская среда».  Информация доводилась посредством телевизионных и печатных СМИ, социальных сетей и тд.
Отчет размещен по ссылке: https://energy.midural.ru/napravleniya-deyatelnosti/formirovanie-komfortnoj-gorodskoj-sredy/prioritetnyj-proekt/hod-prior/o-nekotoryh-aspektah-realizatsii-regionalnogo-proekta-formirovanie-komfortnoj-gorodskoj-sredy-na-territorii-sverdlovskoj-oblasti-v-2020-godu/</t>
  </si>
  <si>
    <t>в рамках проведения рейтингового голосования  использованы информационные материалы</t>
  </si>
  <si>
    <t>на базе  государственного бюджетного учреждения Свердловской области "Институт развития жилищно-коммунального хозяйства и энергосбережения им. Н.И. Данилова" проведено обучение специалистов муниципальных образований по программе «Формирование современной городской среды»</t>
  </si>
  <si>
    <t>Комплексное развитие сельских территорий Свердловской области</t>
  </si>
  <si>
    <t>подпрограмма «Комплексное развитие сельских территорий Свердловской области» государственной программы Свердловской области «Развитие агропромышленного комплекса и потребительского рынка Свердловской области до 2025 года», утвержденной постановлением Правительства Свердловской области от 23.10.2013 № 1285-ПП</t>
  </si>
  <si>
    <t xml:space="preserve">Постановлений Правительства Свердловской области от 12.12.2019 № 919-ПП </t>
  </si>
  <si>
    <t>http://www.pravo.gov66.ru/23905/</t>
  </si>
  <si>
    <t>Министерство агропромышленного комплекса и потребительского рынка Свердловской области</t>
  </si>
  <si>
    <t>Администрация  городского  округа  Верхняя  Пышма</t>
  </si>
  <si>
    <t>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31.05.2019 № 696</t>
  </si>
  <si>
    <t>Субсидии  на реализацию мероприятия по благоустройству сельских территорий предоставляются органам местного самоуправления,  расположенным на территории Свердловской области.
Перечень сельских населенных пунктов на территории Свердловской области, относящихся к сельским территориям, определен приказом Министерства агропромышленного комплекса и потребительского рынка Свердловской области от 16.12.2020 № 641 «Об определении перечня сельских территорий и сельских агломераций Свердловской области для целей предоставления субсидии на мероприятия, предусмотренные государственной программой Свердловской области «Развитие агропромышленного комплекса и потребительского рынка Свердловской области до 2025 года», утвержденной постановлением Правительства Свердловской области от 23.10.2013 № 1285-ПП «Об утверждении государственной программы Свердловской области «Развитие агропромышленного комплекса и потребительского рынка Свердловской области до 2025 года»</t>
  </si>
  <si>
    <t>Порядок предоставления и распределения субсидий из областного бюджета бюджетам муниципальных образований, расположенных на территории Свердловской области, на реализацию мероприятий по благоустройству сельских территорий, являющейся приложением 8-3 к государственной программе Свердловской области «Развитие агропромышленного комплекса и потребительского рынка Свердловской области до 2025 года», утвержденной постановлением Правительства Свердловской области от 23.10.2013 № 1285-ПП</t>
  </si>
  <si>
    <t>Софинансирование проектов инициативного бюджетирования</t>
  </si>
  <si>
    <t>Инициативное бюджетирование, проекты инициативного бюджетирования</t>
  </si>
  <si>
    <t xml:space="preserve">Государственная программа "Региональная политика и развитие территорий" от 01.10.2013 N 1305-п, подпрограмма 2 "Поддержка проектов местных инициатив" </t>
  </si>
  <si>
    <t>Постановление Правительства Пермского края от 10 января 2017 г. № 6-п "Об утверждении Порядка предоставления субсидий из бюджета Пермского края бюджетам муниципальных образований Пермского края на софинансирование проектов инициативного бюджетирования в Пермском крае"</t>
  </si>
  <si>
    <t>http://minter.permkrai.ru/proekty-mestnykh-initsiativ/initsiativnoe-byudzhetirovanie/npa-ib/</t>
  </si>
  <si>
    <t>Закон Пермского края от 2 июня 2016 г. № 654-ПК "О реализации проектов инициативного бюджетирования в Пермском крае"</t>
  </si>
  <si>
    <t xml:space="preserve">http://minter.permkrai.ru/proekty-mestnykh-initsiativ/initsiativnoe-byudzhetirovanie/npa-ib/ </t>
  </si>
  <si>
    <t>Министерство территориального развития Пермского края</t>
  </si>
  <si>
    <t>Проводится при определении направления проекта инициативного бюджетирования на этапе проведения собраний инициативных граждан. Количество участников собраний отражается в протоколах собраний, которые предоставляются на конкурс на муниципальном уровне. Для участия в конкурсе на краевом уровне данные документы не требуются.</t>
  </si>
  <si>
    <t>Подсчет на краевом уровне не ведется.</t>
  </si>
  <si>
    <t>Проводится при определении направления проекта ИБ на этапе проведения собраний инициативных граждан. Количество участников собраний отражается в протоколах собраний, которые предоставляются на конкурс на муниципальном уровне. Для участия в конкурсе на краевом уровне данные документы не требуются.</t>
  </si>
  <si>
    <t>Протокол, видеозапись</t>
  </si>
  <si>
    <t>Процедура сбора проектных предложений от граждан осуществляется на муниципальном уровне, в т.ч. проводится собрание граждан, анкетирование, обсуждение (выбор) проектов инициативного бюджетирования в социальных сетях, в печатных СМИ, на официальных сайтах  муниципальных образований. Использование указанных информационных каналов по продвижению проетов инициативного бюджетирования включено в критерии оценки проектов инициативного бюджетирования на конкурсе как на муниципальном уровне, так и на краевом уровне.</t>
  </si>
  <si>
    <t>В 2020 году все проекты были представлены на портале "Управляем вместе" (https://vmeste.permkrai.ru/program/category/6/), на котором также отражены итоги оценки проектов как на муниципальном уровне, так и на краевом уровне.</t>
  </si>
  <si>
    <t>http://minter.permkrai.ru/proekty-mestnykh-initsiativ/initsiativnoe-byudzhetirovanie/initsiativnoe-byudzhetirovanie/</t>
  </si>
  <si>
    <t>https://vmeste.permkrai.ru/program/category/6/; https://www.instagram.com/minter.permkrai/; https://vk.com/minter.permkrai</t>
  </si>
  <si>
    <t>https://www.instagram.com/p/CE_aHBjlyF3/?igshid=18xi5io272aei</t>
  </si>
  <si>
    <t>Реализация проектов инициативного бюджетирования широко освещается на федеральных и местных телевизионных каналах, а также в социальных сетях.
https://www.kommersant.ru/doc/4511655;
https://veved.ru/perm/perm-news/152842-v-prikame-na-kraevoj-konkurs-postupilo-pochti-300-proektov-iniciativnogo-bjudzhetirovanija.html#sel=1:9,1:11;
https://www.instagram.com/p/CHe2NYdloOe/?igshid=1evfa4qa04pxz;
https://www.instagram.com/p/CHIJ4EGlhyJ/?igshid=hl5l5h25h0c0</t>
  </si>
  <si>
    <t>Методические рекомендации по участию в конкурсном отборе проектов инициативного бюджетирования на уровне Пермского края;
видеоуроки для жителей и специалистов муниципальных образований "Как подготовить проект инициативного бюджетирования", ссылка: http://minter.permkrai.ru/proekty-mestnykh-initsiativ/initsiativnoe-byudzhetirovanie/itogi-konkursov/2021-god/</t>
  </si>
  <si>
    <t>Обучающие семинары по вопросам инициативного бюджетирования, которые проводились для муниципальных служащих всех муниципальных образований Пермского края в формате ВКС</t>
  </si>
  <si>
    <r>
      <rPr>
        <sz val="10"/>
        <rFont val="Times New Roman"/>
        <family val="1"/>
      </rPr>
      <t xml:space="preserve">Муниципальные образования </t>
    </r>
    <r>
      <rPr>
        <sz val="10"/>
        <color rgb="FF000000"/>
        <rFont val="Times New Roman"/>
        <family val="1"/>
      </rPr>
      <t>Пермского края</t>
    </r>
  </si>
  <si>
    <r>
      <t xml:space="preserve">Отбор проектов - победителей проводится краевой конкурсной комиссией инициативного бюджетирования, ее состав утвержден постановлением Правительства Пермского края "Об утверждении состава краевой конкурсной комиссии инициативного бюджетирования" от 18 января 2017 г. № 18-п. В состав вышеуказанной комиссии входят: представители  Правительства Пермского края, депутаты Законодательного Собрания Пермского края, а также представители общественности.
Отбор проектов осуществляется в соответствии с критериями оценки проектов инициативного бюджетирования, в которых учитывается: 
- софинансирование проектов со стороны граждан, индивидуальных предпринимателей и юридических лиц;  
- видеофиксация собраний жителей, где решается вопрос об участии граждан в проекте инициативного бюджетирования, использование информационных каналов по продвижению проекта инициативного бюджетирования;
- </t>
    </r>
    <r>
      <rPr>
        <sz val="10"/>
        <color theme="2" tint="-0.89999084444715716"/>
        <rFont val="Times New Roman"/>
        <family val="1"/>
      </rPr>
      <t>наличие дизайн - проекта (эскизов, схем, чертежей)</t>
    </r>
  </si>
  <si>
    <t>Реализация общественно значимых проектов, основанных на местных инициативах</t>
  </si>
  <si>
    <t>Поддержка местных инициатив (ППМИ)</t>
  </si>
  <si>
    <t>Государственная программа «Управление государственными финансами Сахалинской области», основное мероприятие "Развитие инициативного бюджетирования в Сахалинской области"</t>
  </si>
  <si>
    <t>Постановление Правительства Сахалинской области от 08.02.2017 № 52 "Об отдельных вопросах реализации в Сахалинской области общественно значимых проектов, основанных на местных инициативах"</t>
  </si>
  <si>
    <t>https://pib.sakhminfin.ru/show/ppi
Постановление Правительства Сахалинской области от 08.02.2017 N 52 (ред. от 21.07.2020) "Об отдельных вопросах реализации в Сахалинской области общественно значимых проектов, основанных на местных инициативах" (вместе с "Порядком проведения конкурсного отбора на предоставление бюджетам муниципальных образований Сахалинской области субсидии из областного бюджета на реализацию в Сахалинской области общественно значимых проектов, основанных на местных инициативах", "Положением о конкурсной комиссии по проведению конкурсного отбора на предоставление бюджетам муниципальных образований Сахалинской области субсидии из областного бюджета на реализацию в Сахалинской области общественно значимых проектов, основанных на местных инициативах") {КонсультантПлюс}</t>
  </si>
  <si>
    <t>Распоряжение Правительства Сахалинской области от 22.02.2017 № 107-р "Об утверждении программы развития инициативного бюджетирования Сахалинской области на 2017-2025 годы", с учетом внесенных изменений от 02.07.2018 № 365-р, срок действия Программы развития инициативного бюджетирования в субъекте РФ до 2025 года</t>
  </si>
  <si>
    <t>https://pib.sakhminfin.ru/show/ppi</t>
  </si>
  <si>
    <t>Министерство финансов Сахалинской области</t>
  </si>
  <si>
    <t>Субсидии муниципальным образованиям</t>
  </si>
  <si>
    <t>Неоплачиваемый  вклад  включает  использование   строительных   материалов, оборудования, инструмента, уборку мусора, приобретение цветов и саженцов, благоустройство и пр. (размер нефинансового вклада рассчитывается в денежном выражении из расчета минимального размера оплаты труда и стоимости материалов согласно представленным заявкам на участие в конкурсном отборе от муниципальных образований)</t>
  </si>
  <si>
    <t>методика подсчета благополучателей - отсутствует, данные - согласно представленным заявкам на участие в конкурсном отборе от муниципальных образований</t>
  </si>
  <si>
    <t>Заполненные опросные листы (анкеты), которые были представлены муниципальными образованиями на конкурсный отбор</t>
  </si>
  <si>
    <t>Видеозаписи собраний, протоколы собраний</t>
  </si>
  <si>
    <t>http://sakhminfin.ru/index.php/news/3293-o-rezultatakh-konkursnogo-otbora-na-predostavlenie-v-2020-godu-byudzhetam-munitsipalnykh-obrazovanij-sakhalinskoj-oblasti-subsidii-iz-oblastnogo-byudzheta-na-realizatsiyu-v-sakhalinskoj-oblasti-obshchestvenno-znachimykh-proektov-osnovannykh-na-mestnykh-in</t>
  </si>
  <si>
    <t>Оценка и ранжирование проектов на основе формальных критериев</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</si>
  <si>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 автоматическая обработка итогов консурсного отбора и их публикация, интеграция с подсистемой госзакупки (предусмотрена возможность отследить информацию по проводимым закупкам в рамках проекта)</t>
  </si>
  <si>
    <t>https://pib.sakhminfin.ru
https://pib.sakhminfin.ru/show/ppi</t>
  </si>
  <si>
    <t>http://sakhminfin.ru/ 
https://www.facebook.com/budget65   
https://vk.com/budget65 
https://instagram.com/sakhminfin?igshid=j0ocuoxtiagz
https://www.youtube.com/channel/UCLnSucUVz43wAq-6y9PwHzg</t>
  </si>
  <si>
    <t>В рамках проекта проведены информационные и итоговые собрания с жителями населенных пунктов во всех муниципальных образованиях Сахалинской области. Анонсы и итоги этих встреч кратко освещались на портале инициативного бюджетирования в разделе мероприятия https://pib.sakhminfin.ru/events/seminars. Муниципальные образования самостоятельно распространяли информацию в СМИ.</t>
  </si>
  <si>
    <t xml:space="preserve">Обучающие мероприятия не проводились в связи с запретом на проведение на территории Сахалинской области массовых мероприятий
</t>
  </si>
  <si>
    <t>Реализация общественно значимых проектов, основанных на местных инициативах, в сфере капитального строительства</t>
  </si>
  <si>
    <t>"Развитие территорий"</t>
  </si>
  <si>
    <t>Постановление Правительства Сахалинской области от 15.03.2018 № 90 "Об отдельных вопросах реализации в Сахалинской области общественно значимых проектов, основанных на местных инициативах, в сфере капитального строительства"</t>
  </si>
  <si>
    <t>https://pib.sakhminfin.ru/show/rt
Постановление Правительства Сахалинской области от 15.03.2018 N 90 (ред. от 07.08.2020) "Об отдельных вопросах реализации в Сахалинской области общественно значимых проектов, основанных на местных инициативах, в сфере капитального строительства" (вместе с "Положением о проекте инициативного бюджетирования "Реализация общественно значимых проектов в сфере капитального строительства") {КонсультантПлюс}</t>
  </si>
  <si>
    <t>https://pib.sakhminfin.ru/show/rt</t>
  </si>
  <si>
    <t>Министерство культуры и архивного дела Сахалинской области; министерство спорта Сахалинской области, министерство жилищно-коммунального хозяйства Сахалинской области, министерство строительства Сахалинской области; министерство транспорта и дорожного хозяйства Сахалинской области</t>
  </si>
  <si>
    <t>Количество жителей населенных пунктов, которые могут пользоваться объектом</t>
  </si>
  <si>
    <t>Видеозаписи собраний, протоколы собраний, регистрационные листы</t>
  </si>
  <si>
    <t>https://pib.sakhminfin.ru/vote</t>
  </si>
  <si>
    <t>процедура очного голосования (по ведомостям) используется в населенных пунктах, где отсутствует интернет</t>
  </si>
  <si>
    <t>Предусмотрена подача и обработка заявок, информационное сопровождение заявленных проектов их координаторами на портале инициативного бюджетирования   https://pib.sakhminfin.ru/territories-development,  и их публикация, интеграция с подсистемой госзакупки (предусмотрена возможность отследить информацию по проводимым закупкам в рамках проекта)</t>
  </si>
  <si>
    <t>https://pib.sakhminfin.ru/
https://pib.sakhminfin.ru/show/rt</t>
  </si>
  <si>
    <t xml:space="preserve">http://sakhminfin.ru/ 
https://www.facebook.com/budget65   
https://vk.com/budget65 
https://instagram.com/sakhminfin?igshid=j0ocuoxtiagz
https://www.youtube.com/channel/UCLnSucUVz43wAq-6y9PwHzg
</t>
  </si>
  <si>
    <t xml:space="preserve">Проведена информационная компания, охватившая все муниципалитеты области. Информация размещена на телевидении, радио, в СМИ, соц.сетях, использовались наружные рекламные конструкции, размещение таргетированной рекламы, распространялись буклеты и сувенирная продукция с символикой проекта. Анонсы и итоги этих встреч кратко освещались на портале инициативного бюджетирования в разделе мероприятия https://pib.sakhminfin.ru/events/seminars. </t>
  </si>
  <si>
    <t>Реализация общественно значимых проектов, основанных на местных инициативах в рамках проекта «Молодежный бюджет»</t>
  </si>
  <si>
    <t>«Молодежный бюджет»</t>
  </si>
  <si>
    <t>Государственная программа «Управление государственными финансами Сахалинской области», основное мероприятие «Развитие инициативного бюджетирования в Сахалинской области»</t>
  </si>
  <si>
    <t>Постановление Правительства Сахалинской области от 29.08.2017 № 400 «Об отдельных вопросах реализации в Сахалинской области общественно значимых проектов в рамках проекта «Молодежный бюджет»</t>
  </si>
  <si>
    <t>https://pib.sakhminfin.ru/show/mb
Постановление Правительства Сахалинской области от 29.08.2017 N 400 (ред. от 14.12.2020) "Об отдельных вопросах реализации в Сахалинской области общественно значимых проектов в рамках проекта "Молодежный бюджет" (вместе с "Положением о проекте "Молодежный бюджет") {КонсультантПлюс}</t>
  </si>
  <si>
    <t>не предусмотрен</t>
  </si>
  <si>
    <t>протоколы собраний старшеклассников</t>
  </si>
  <si>
    <t>Молодежный совет заблаговременно информирует всех старшеклассников-участников голосования о месте и времени проведения голосования, а также о правилах учета голосов.
При проведении голосования каждому его участнику предоставляется возможность выбрать два проектных предложения из перечня предложений, вынесенных на голосование. 
Для организации подсчета голосов в соответствии с установленным порядком проведения общешкольного голосования назначается счетная комиссия. По итогам голосования утверждает рейтинг проектных предложений.
Победителями голосования объявляются проектные предложения, набравшие наибольшее количество голосов, общая оценочная стоимость реализации которых не превышает 3030,4 тыс. рублей.</t>
  </si>
  <si>
    <t>https://pib.sakhminfin.ru/</t>
  </si>
  <si>
    <t>Постановление Правительства Севастополя от 26.09.2017 № 705-ПП "О проведении конкурса "Самый дружный двор" в городе Севастополе"</t>
  </si>
  <si>
    <t>Проекты реализовываются до настоящего времени</t>
  </si>
  <si>
    <t>Постановление Правительства Севастополя от 21.11.2016 № 1112-ПП "Об утверждении государственной программы города Севастополя "Развитие жилищно-коммунальной инфраструктуры города Севастополя"</t>
  </si>
  <si>
    <t>Департамент внутренней политики города Севастополя;
Департамент городского хозяйства города Севастополя</t>
  </si>
  <si>
    <t>Департамент городского хозяйства города Севастополя</t>
  </si>
  <si>
    <t>Юридические лица, предоставляющие услуги по содержанию жилых помещений в многоквартирных домах, в целях обеспечения комфортной городской среды</t>
  </si>
  <si>
    <t>Данные Росстата</t>
  </si>
  <si>
    <t>фотофиксация</t>
  </si>
  <si>
    <t>от 10 до 100</t>
  </si>
  <si>
    <t>решение ТОС</t>
  </si>
  <si>
    <t>Фотофиксация</t>
  </si>
  <si>
    <t>https://dvp.sev.gov.ru/konkurs-samyy-druzhnyy-dvor/</t>
  </si>
  <si>
    <t>ТВ, официальный сайт Правительства Севастополя</t>
  </si>
  <si>
    <t xml:space="preserve">Реализация инициативных проектов с использованием средств областного бюджета/Обеспечение комплексного развития сельских территорий (благоустройство сельских территорий)/Формирование комфортной городской среды
</t>
  </si>
  <si>
    <t>Проект по поддержке местных инициатив (ППМИ)//Обеспечение комплексного развития сельских территорий (благоустройство сельских территорий)/Формирование комфортной городской среды</t>
  </si>
  <si>
    <t xml:space="preserve">Государственная программа Саратовской области «Развитие государственного и муниципального управления»  утверждена постановлением Правительства Саратовской области от 20 ноября 2013 года № 647-П «О государственной программе Саратовской области «Развитие государственного и муниципального управления» (подпрограмма 5 «Управление региональными финансами Саратовской области», основное мероприятие 5.5. «Развитие инициативного бюджетирования в Саратовской области»)/ Государственная программа Саратовской области «Комплексное развитие сельских территорий» утверждена постановление Правительства Саратовской области от 23 декабря 2019 года № 908-П «О государственной программе Саратовской области «Комплексное развитие сельских территорий» (подпрограмма 3 «Создание и развитие инфраструктуры на сельских территориях» ведомственный проект 3.2 «Благоустройство сельских территорий»)  /Государственная программа Саратовской области «Формирование комфортной городской среды» утверждена постановление Правительства Саратовской области от 30 августа 2017 года № 449-П  «О государственной программе Саратовской области «Формирование комфортной городской среды» (подпрограмма 1 «Создание комфортных условий проживания» Региональный проект 1.1 «Формирование комфортной городской среды» (в целях выполнения задач федерального проекта «Формирование комфортной городской среды») </t>
  </si>
  <si>
    <t>Постановление Правительства Саратовской области от 17 июля 2017 года № 361-П "О внесении изменений в государственную программу Саратовской области "Развитие государственного и муниципального управления до 2020 года"/Постановление Правительства Саратовской области от 23 декабря 2019 № 908-П «О государственной программе Саратовской области "Комплексное развитие сельских территорий»/Постановление Правительства Саратовской области от 29 декабря 2018 годы N 766-П "О внесении изменений в государственную программу Саратовской области "Формирование комфортной городской среды на 2018 - 2022 годы"</t>
  </si>
  <si>
    <t>https://minfin.saratov.gov.ru/index.php?option=com_acrfilestorage&amp;task=download&amp;on=2065</t>
  </si>
  <si>
    <t xml:space="preserve">Постановление Правительства Саратовской области от 17 июля 2017 года № 362-П "О реализации на территории Саратовской области инициативных проектов с использованием средств областного бюджета" </t>
  </si>
  <si>
    <t>https://minfin.saratov.gov.ru/index.php?option=com_acrfilestorage&amp;task=download&amp;on=2060</t>
  </si>
  <si>
    <t>Министерство финансов Саратовской области/
министерство по делам территориальных образований Саратовской области/ министерство сельского хозяйства Саратовской области/ министерство строительства и жилилищно-коммунального хозяйства Саратовской области</t>
  </si>
  <si>
    <t>Министерство финансов Саратовской области/ министерство сельского хозяйства Саратовской области/ министерство строительства и жилилищно-коммунального хозяйства Саратовской области</t>
  </si>
  <si>
    <t>городские округа, городские и сельские поселения области</t>
  </si>
  <si>
    <t>государственная программа Российской Федерации "Комплексное развитие сельских территорий"/ приоритетный проект "Формирование комфортной городской среды"</t>
  </si>
  <si>
    <t>Министерство сельского хозяйства Российской Федерации/ Министерство строительства и жилищно-коммунального хозяйства Российской Федерации</t>
  </si>
  <si>
    <t>министерство сельского хозяйства Саратовской области/ министерство строительства и жилилищно-коммунального хозяйства Саратовской области</t>
  </si>
  <si>
    <t>Неденежный вклад населения  и организаций включает в себя неоплачиваемые работы, материалы, предоставление техники и оборудования (используется как критерий при проведении балльной оценки)</t>
  </si>
  <si>
    <t>915,099 (в том числе средства федерального бюджета 795,1 млн рублей)</t>
  </si>
  <si>
    <t>484 *</t>
  </si>
  <si>
    <t xml:space="preserve">оценка органов местного самоуправления муниципальных образований, на территории которых реализовывались проекты </t>
  </si>
  <si>
    <t>https://srtv.gks.ru/storage/mediabank/0Wz3614Q/%D0%9F%D1%80%D0%B5%D0%B4%D0%B2%D0%B0%D1%80%D0%B8%D1%82%D0%B5%D0%BB%D1%8C%D0%BD%D0%B0%D1%8F%20%D1%87%D0%B8%D1%81%D0%BB%D0%B5%D0%BD%D0%BD%D0%BE%D1%81%D1%82%D1%8C.pdf</t>
  </si>
  <si>
    <t>в 11 муниципальных образованиях проходило анкетирования для предварительного отбора проектных идей, в качестве финксации участия представлены протоколы работы счетных комиссий, фотографии опросов и скан копии анкет</t>
  </si>
  <si>
    <t>протоколы собраний граждан (с приложением списка граждан, присутствовавших на собрании), фотографии собраний</t>
  </si>
  <si>
    <t xml:space="preserve">в 7 муниципальных образованиях для сбора проектных идей использовались голосованиях в соцсетях, в качестве фиксации участия представлены скриншоты страниц </t>
  </si>
  <si>
    <t>протоколы собрания граждан (с приложением списка граждан, присутствовавших на собрании, с личными подписями), фотографии собрания</t>
  </si>
  <si>
    <t>протокол заседания конкурсной комиссии по проведению конкурсного отбора муниципальных образований области для предоставления субсидии бюджетам городских округов, городских и сельских поселений области на реализацию проектов развития муниципальных образований области, основанных на местных инициативах</t>
  </si>
  <si>
    <t xml:space="preserve"> городские и сельские поселения, городские округа с численностью населения не более 300 тыс. человек </t>
  </si>
  <si>
    <t>под критерий попадают все муниципальные образования области, кроме областного центра (311 из 312 поселений и городских округов)</t>
  </si>
  <si>
    <t>https://minfin.saratov.gov.ru/budget/proekty/proekt-po-podderzhke-mestnykh-initsiativ-v-saratovskoj-oblasti/o-proekte</t>
  </si>
  <si>
    <t xml:space="preserve">https://www.instagram.com/sarminfin/ </t>
  </si>
  <si>
    <t>https://minfin.saratov.gov.ru/images/article_images/20210201/20210201-informatsionnoe-soobshchenie-o-provedenii-konkursnogo-otbora-munitsipalnykh-obrazovanij-saratovskoj-oblasti.jpg</t>
  </si>
  <si>
    <t>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t>
  </si>
  <si>
    <t>видеоконференция, вебинар, видеолекция; однократно; представители администраций городских и сельских поселений, городских округов, участвующих в разработке и реализации проектов; представители инициативных групп</t>
  </si>
  <si>
    <t>Субсидии на реализацию мероприятий перечня проектов народных инициатив</t>
  </si>
  <si>
    <t>проект "Народные инициативы"</t>
  </si>
  <si>
    <t>30 декабря 2020 г.</t>
  </si>
  <si>
    <t xml:space="preserve">   государственная программа «Экономическое развитие и инновационная экономика» на 2019-2024 годы
   подпрограмма «Государственная политика в сфере экономического развития Иркутской области» на 
2019-2024 годы
    мероприятие «Субсидии на реализацию мероприятий перечня проектов народных инициатив»</t>
  </si>
  <si>
    <t>постановление Правительства Ирктуской области 
от 12.11.2018 г. № 828-пп</t>
  </si>
  <si>
    <t>1. Закон Иркутской области от 20.12.2019 № 130-ОЗ «Об областном бюджете на 2020 и на плановый период 2021 и 2022 годов»;
2. Положение о предоставлении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Ирктуской области от 14.02.2019 г.  108-пп);
3. Положение о Комиссии по реализации проектов народных инициатив (постановление Правительства Иркутской области от 16.05.2014 г. № 247-пп);
4.  Комиссия по реализации проектов народных инициатив (распоряжение Правительства Иркутской области от 14.05.2012 г. № 248-рп);
5. Форма соглашения о предоставлении и расходовании  субсидий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перечня проектов народных инициатив (постановление Правительства Иркутской области от 24.09.2018 года № 675-пп, приказ министерства финансов Иркутской области от 19.12.2017 № 95н-мпр).</t>
  </si>
  <si>
    <t>министерство экономического развития Иркутской области</t>
  </si>
  <si>
    <t xml:space="preserve">субсидии </t>
  </si>
  <si>
    <t>бюджет муниципального образования/финансовый орган муниципального образования</t>
  </si>
  <si>
    <t xml:space="preserve">В настоящее время в Иркутской области функции Проектного центра выполняет Комиссия по реализации проектов народных инициатив (далее – Комиссия). 
В состав Комиссии (утвержден  распоряжением Правительства Иркутской области от 14 мая 2012 года № 248-рп) входят представители министерства финансов Иркутской области, министерства жилищной политики, энергетики и транспорта Иркутской области, других исполнительных органов государственной власти Иркутской области, аппарата Губернатора Иркутской области и Правительства Иркутской области, Законодательного Собрания Иркутской области, Контрольно-счетной палаты Иркутской области, Ассоциации муниципальных образований Иркутской области, Главного управления Министерства Российской Федерации по делам гражданской обороны, чрезвычайным ситуациям и ликвидации последствий стихийных бедствий по Иркутской области. 
В соответствии с Положением о Комиссии основными функциями Комиссии являются определение категорий получателей субсидий, рассмотрение и одобрение перечней мероприятий, решение спорных вопросов, возникающих в ходе реализации проектов, формирование предложений по совершенствованию нормативно-правовой базы и другие.
</t>
  </si>
  <si>
    <t>1. Документы об одобрении Перечня представительным 
органом МО.
2. Сходы граждан.</t>
  </si>
  <si>
    <t xml:space="preserve">Критериями отбора муниципальных образований для
предоставления субсидий являются:
1) на территорию муниципального образования не распространяется действие Закона Иркутской области от 9 июля 2015 года № 68-03 «О дополнительной мере социальной поддержки граждан, проживающих в
рабочем поселке Горно-Чуйский Мамско-Чуйского района Иркутской области» и Закона Иркутской области от 9 июля 2015 года № 69-03 «О дополнительной мере социальной поддержки граждан, проживающих в рабочем поселке Согдиондон Мамско-Чуйского района Иркутской области»;
2) численность постоянного населения муниципального образования по состоянию 
на  1 января года, предшествующего году предоставления субсидий, составляет более 30 человек;
3) населенный пункт, входящий в состав территории муниципального образования, не упразднен или не признан закрывающимся (для муниципального образований, в состав территории которых входит единственный населенный пункт).
</t>
  </si>
  <si>
    <t>Сайт министерства экономического развития Иркутской области: http://irkobl.ru/sites/economy/razvitie-municipalnyh-obrazovaniy/initiatives/ 
ИАС "Живой регион": http://expert.irkobl.ru</t>
  </si>
  <si>
    <t>Информация о реализации проекта "Народные инициативы" на системной основе размещалась в областных и муниципальных СМИ, на официальных сайтах Правительства Иркутской области, министерства экономического развития Иркутской области, Законодательного Собрания Иркутской области, муниципальных образований региона, ИАС "Живой регион".</t>
  </si>
  <si>
    <t xml:space="preserve">1) Круглый стол в рамках форума «Земля Иркутская»,   количество участников - 42 муниципальных образования 2-го уровня (371 чел.);
2) ВКС с муниципальными образованиями Иркутской области - 417 чел.;
3) Проведение сенинаров с муниципальными образованиями - 529 чел. 
</t>
  </si>
  <si>
    <t>Реализация общественно значимых проектов по благоустройству сельских территорий</t>
  </si>
  <si>
    <t xml:space="preserve">Государственная программа Рязанской области "Развитие агропромышленного комплекса" подпрограмма №12 "Комплексное развитие сельских территорий" утверждена постановлением Правительства Рязанской области от 30.10.2013 № 357 . </t>
  </si>
  <si>
    <t>Постановление Правительства Рязанской области № 357 от 30.10.2013.</t>
  </si>
  <si>
    <t>https://www.ryazagro.ru/documents/normativnye-pravovye-akty-v-sfere-podderzhki-agropromyshlennogo-kompleksa/postanovlenie-pravitelstva-ro-357-ot-30-oktyabrya-2013-g_4531/</t>
  </si>
  <si>
    <t xml:space="preserve">Закон Рязанской области от 21.12.2019 N 69-ОЗ </t>
  </si>
  <si>
    <t>http://publication.pravo.gov.ru/Document/View/6200201912230025</t>
  </si>
  <si>
    <t xml:space="preserve">Постановление министерства сельского хозяйства и продовольствия Рязанской области  от 25.12.2019 № 16. "Об утверждении порядка проведения конкурсного отбора (отбора) муниципальных образований Рязанской области для предоставления субсидий за счет средств областного бюджета и средств, источником финансового обеспечения которых является субсидии из федерального бюджета на реализацию мероприятия, указанного в подпункте 3.1 раздела 5 "Система программных мероприятий " подпрограммы 12 "Комплекное развитие сельких территорий" государственной программы Рязанской области "Развитие агропромышленного комплекса" </t>
  </si>
  <si>
    <t>https://ipbd.ru/doc/6201201912250004/</t>
  </si>
  <si>
    <t>Министерство сельского хозяйства и продовольствия Рязанской области</t>
  </si>
  <si>
    <t>Министерство сельского хозяйства и продовольствия Рязанской области/ Бюджеты органов местного самоуправления</t>
  </si>
  <si>
    <t xml:space="preserve">Бюджеты органов местного самоуправления </t>
  </si>
  <si>
    <t>14,361</t>
  </si>
  <si>
    <t xml:space="preserve">Государственная программа Российской Федерации "Комплексное развитие сельских территорий" утверждена постановлением Правительства Российской федерации от 31.05.2019 №696 . </t>
  </si>
  <si>
    <t>Предусмотрен обязательный вклад граждан, юридических лиц (индивидуальных предпринимателей), общественных, включая волонтерские, организации  в различных формах, в том числе в форме денежных средств, трудового участия, волотерской деятельности, предоставлене помещений и технических средств.</t>
  </si>
  <si>
    <t>Справочник федеральной службы государственной статистики по Рязанской области " Отдельные социально-экономические показатели по муниципальным образованиям Рязанской области" Рязань 2020</t>
  </si>
  <si>
    <t>Протокол собрания жителей, проживающих на селькой территории.</t>
  </si>
  <si>
    <t>Прямой подсчет голов "за " и "против"</t>
  </si>
  <si>
    <t>Протокол заседания комиссии по отбору муниципальных образований Рязанской области для предоставления субсидии на реализацию общественно значимых проектов по благоустройству сельских территорий</t>
  </si>
  <si>
    <t>Участниками отбора  являются органы местного самоуправления, расположенные на сельских территориях Рязанской области</t>
  </si>
  <si>
    <t>Органы местного самоуправления, расположенные на сельских территориях</t>
  </si>
  <si>
    <r>
      <rPr>
        <sz val="10"/>
        <color theme="4" tint="-0.249977111117893"/>
        <rFont val="Times New Roman"/>
        <family val="1"/>
      </rPr>
      <t>www.ryazagro.ru.</t>
    </r>
    <r>
      <rPr>
        <sz val="10"/>
        <color rgb="FF000000"/>
        <rFont val="Times New Roman"/>
        <family val="1"/>
      </rPr>
      <t>Сайт министерства сельского хозяйства Рязанской области</t>
    </r>
  </si>
  <si>
    <t>"Поддержка местных (муниципальных) инициатив и участия населения в осуществлении местного самоуправления на территории Рязанской области"</t>
  </si>
  <si>
    <t>"Поддержка местных инициатив"</t>
  </si>
  <si>
    <t>Подпрограмма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утвержденной постановлением Правительства Рязанской области от 11.11.2015 № 280 (Задача: Вовлечение населения в осуществление местного самоуправления и совершенствование навыков органов местного самоуправления по подготовке и внедрению проектов местного значения с участием населения, в том числе: Предоставление субсидий бюджетам муниципальных образований на выполнение мероприятий муниципальных программ (подпрограмм), направленных на реализацию проектов местных инициатив)</t>
  </si>
  <si>
    <t>Постановление Правительства Рязанской области от 22.02.2017 N 35 "О внесении изменений в Постановление Правительства Рязанской области от 11 ноября 2015 г. N 280 "Об утверждении государственной программы Рязанской области "Развитие местного самоуправления и гражданского общества на 2016 - 2020 годы" (в редакции Постановлений Правительства Рязанской области от 20.04.2016 N 84, от 20.10.2016 N 242)"</t>
  </si>
  <si>
    <t>http://publication.pravo.gov.ru/Document/View/6200201702270003#:~:text=%D0%9F%D0%BE%D1%81%D1%82%D0%B0%D0%BD%D0%BE%D0%B2%D0%BB%D0%B5%D0%BD%D0%B8%D0%B5%20%D0%9F%D1%80%D0%B0%D0%B2%D0%B8%D1%82%D0%B5%D0%BB%D1%8C%D1%81%D1%82%D0%B2%D0%B0%20%D0%A0%D1%8F%D0%B7%D0%B0%D0%BD%D1%81%D0%BA%D0%BE%D0%B9%20%D0%BE%D0%B1%D0%BB%D0%B0%D1%81%D1%82%D0%B8%20%D0%BE%D1%82,84%2C%20%D0%BE%D1%82%2020.10.2016%20%E2%84%96%20242)%22</t>
  </si>
  <si>
    <t>отсутствует</t>
  </si>
  <si>
    <t>Государственная программа Рязанской области «Развитие местного самоуправления и гражданского общества», утвержденная постановлением Правительства Рязанской области от 11.11.2015 № 280, срок действия - до 2023 года (включительно)</t>
  </si>
  <si>
    <t>Постановление Министерства по делам территорий и информационной политике Рязанской области от 30.12.2019 № 14  "Об утверждении порядка проведения конкурсного отбора муниципальных образований Рязанской области для предоставления субсидий на реализацию мероприятия, предусмотренного подпунктом 1.1 раздела 5 "Система программных мероприятий" подпрограммы 5 "Поддержка местных (муниципальных) инициатив и участия населения в осуществлении местного самоуправления на территории Рязанской области" государственной программы Рязанской области "Развитие местного самоуправления и гражданского общества", и проверки условий их предоставления"</t>
  </si>
  <si>
    <t>https://minter.ryazangov.ru/activities/direction/podderzhka-mestnykh-initsiativ/</t>
  </si>
  <si>
    <t xml:space="preserve">министерство по делам территорий и информационной политике Рязанской области </t>
  </si>
  <si>
    <t xml:space="preserve">муниципальные образования Рязанской области </t>
  </si>
  <si>
    <t>отстутствует</t>
  </si>
  <si>
    <t>Оценка органов местного самоуправления</t>
  </si>
  <si>
    <t>https://ryazan.gks.ru/storage/mediabank/%D0%9E%D1%86%D0%B5%D0%BD%D0%BA%D0%B0%20%D1%87%D0%B8%D1%81%D0%BB%D0%B5%D0%BD%D0%BD%D0%BE%D1%81%D1%82%D0%B8%20%D0%BF%D0%BE%D1%81%D1%82%D0%BE%D1%8F%D0%BD%D0%BD%D0%BE%D0%B3%D0%BE%20%D0%BD%D0%B0%D1%81%D0%B5%D0%BB%D0%B5%D0%BD%D0%B8%D1%8F%20%D0%A0%D1%8F%D0%B7%D0%B0%D0%BD%D1%81%D0%BA%D0%BE%D0%B9%20%D0%BE%D0%B1%D0%BB%D0%B0%D1%81%D1%82%D0%B8%20%D0%BD%D0%B0%201%20%D1%8F%D0%BD%D0%B2%D0%B0%D1%80%D1%8F%202020%20%D0%B3%D0%BE%D0%B4%D0%B0.pdf</t>
  </si>
  <si>
    <t>протоколы собрания ТОС</t>
  </si>
  <si>
    <t>протоколы собрания граждан</t>
  </si>
  <si>
    <t>Протокол заседания комиссии по проведению конкурсного отбора</t>
  </si>
  <si>
    <t>Информация о предоставлении субсидий бюджетам муниципальных образований на выполнение мероприятий муниципальных программ (подпрограмм), направленных на реализацию проектов местных инициатив, размещается во всех информационных ресурсах: в СМИ (ТВ, радио, сетевые, печатные издания), на сайтах Правительства Рязанской области, министерства по делам территорий и информационной политике Рязанской области, муниципальных образований.https://disk.yandex.ru/d/xvUosd2ke_3_rQ</t>
  </si>
  <si>
    <t>https://disk.yandex.ru/d/_EuNEgVbO9nnuA?w=1</t>
  </si>
  <si>
    <t>В связи с распространением новой коронавирусной инфекции совещания по реализации проектов местных инциатив проводились с представителями органов местного самоуправления муниципальных образований Рязанской области в формате ВКС (периодичность 1 раз в месяц)</t>
  </si>
  <si>
    <t xml:space="preserve">Реализация мероприятий по благоустройству сельских территорий </t>
  </si>
  <si>
    <t>Государственная программа Республики Марий Эл "Комплексное развитие сельских территорий" на 2020 - 2025 годы, подпрограмма «Создание и развитие инфраструктуры на сельских территориях», основное мероприятие "Благоустройство сельских территорий"</t>
  </si>
  <si>
    <t>постановление Правительства Республики Марий Эл от 19.12.2019 № 398</t>
  </si>
  <si>
    <t>http://mari-el.gov.ru/pravo/DocLib65/191219_398.pdf</t>
  </si>
  <si>
    <t>Закон Республики Марий Эл от 29 ноября 2019 г. №49-З «О республиканском бюджете Республики Марий Эл на 2020 год и на плановый период 2021 и 2022 годов»</t>
  </si>
  <si>
    <t>http://mari-el.gov.ru/pravo/Pages/2019/laws-2019.aspx</t>
  </si>
  <si>
    <t xml:space="preserve">постановление Правительства Республики Марий Эл от 11 октября 2019 г. № 306 «О предоставлении государственной поддержки, направленной на комплексное развитие сельских территорий в Республике Марий Эл» </t>
  </si>
  <si>
    <t>http://mari-el.gov.ru/pravo/DocLib65/191011_306.pdf</t>
  </si>
  <si>
    <t>Министерство сельского хозяйства и продовольствия Республики Марий Эл</t>
  </si>
  <si>
    <t xml:space="preserve">Администрации сельских поселений Республики Марий Эл </t>
  </si>
  <si>
    <t>учитывается в 7.С.1.</t>
  </si>
  <si>
    <t>учитывается в 7.С.2.</t>
  </si>
  <si>
    <t xml:space="preserve">Государственная программа Российской Федерации "Комплексное развитие сельских территорий", утвержденная постановлением Правительства Российской Федерации от 31 мая 2019 г. № 696
 </t>
  </si>
  <si>
    <t xml:space="preserve">вклад граждан и (или) юридических лиц (индивидуальных предпринимателей), общественных, включая волонтерские, организаций в различных формах, в том числе в форме денежных средств, трудового участия, волонтерской деятельности, предоставления помещений и технических средств
</t>
  </si>
  <si>
    <t>https://maristat.gks.ru/folder/27269</t>
  </si>
  <si>
    <t>протоколы собраний на бумажных носителях</t>
  </si>
  <si>
    <t xml:space="preserve"> Соответствие требованиям Правил предоставления субсидий бюджетам муниципальных образования в Республике Марий Эл на реализацию мероприятий по благоустройству сельских территорий, утвержденных постановлением Правительства Республики Марий Эл от 11 октября 2019 г. № 306 «О предоставлении государственной поддержки, направленной на комплексное развитие сельских территорий в Республике Марий Эл» </t>
  </si>
  <si>
    <t xml:space="preserve"> Перечень сельских населенных пунктов на территории Республики Марий Эл определен Правительством Республики Марий Эл (постановление Правительства Республики Марий Эл от 11.02.2020 № 137 "Об утверждении перечня сельских населенных пунктов 
на территории Республики Марий Эл и перечня 
сельских агломераций на территории Республики Марий Эл")
</t>
  </si>
  <si>
    <t>Возможность участия предусмотрена для всех муниципальных образований</t>
  </si>
  <si>
    <t>http://mari-el.gov.ru/minselhoz/Pages/normativ2016_5_2_rme.aspx</t>
  </si>
  <si>
    <t>уведомление о приеме документов, направляемое в органы местного самоуправление, объявление на официальном сайте Министерста сельского хозяйства и продовольствия Республики Марий Эл (http://mari-el.gov.ru/minselhoz/Pages/gosudar20200507_1120.aspx, http://mari-el.gov.ru/minselhoz/Pages/gosudar20200303_1446.aspx)</t>
  </si>
  <si>
    <t xml:space="preserve">1. Межрегиональный семинар по вопросам реализации государственной программы Российской Федерации «Комплексное развитие сельских территорий» (г. Уфа, Республика Башкортостан, февраль 2020, 15 чел.)
2. Обучающая программа повышения квалификации «Финансовые и нефинансовые формы государственной поддержки развития сельских территорий: ключевая роль муниципальных органов власти в инициировании проектов развития территорий» (г. Казань, Республика Татарстан, сентябрь 2020, 33 чел.)
3. Программа профессиональной переподготовки «Менеджер по развитию сельских территорий» , (ФГБОУ ДПО «Марийский институт переподготовки кадров агробизнеса», 2020 год - 40 чел.)
4. Программа повышения  "Совершенствование управления развитием сельских территорий" (ФГБОУ ДПО «Марийский институт переподготовки кадров агробизнеса», 2020 год - 192 чел.)
</t>
  </si>
  <si>
    <t>Поддержка местных инициатив на территории Республики Марий Эл</t>
  </si>
  <si>
    <t>Проект по поддержке местных инициатив</t>
  </si>
  <si>
    <t xml:space="preserve">12 августа 2019 года </t>
  </si>
  <si>
    <t>16 ноября 2020 года</t>
  </si>
  <si>
    <t>Государственная программа «Экономическое развитие и инвестиционная деятельность (2013-2025 годы)», подпрограмма «Развитие инвестиционной деятельности», мероприятие «Субсидии бюджетам городских округов, городских и сельских поселений в Республике Марий Эл на софинансирование проектов и программ развития территорий муниципальных образований в Республике Марий Эл, основанных на местных инициативах»</t>
  </si>
  <si>
    <t>Постановление Правительства Республики Марий Эл от 7 июля 2014 г. № 346 «О внесении изменений в постановление Правительства Республики Марий Эл от 31 августа 2012 г. № 326»</t>
  </si>
  <si>
    <t>http://mari-el.gov.ru/pravo/Pages/2014/gov_decrees_2014.aspx</t>
  </si>
  <si>
    <t xml:space="preserve">Постановление Правительства Республики Марий Эл от 9 августа 2019 г. № 248 «О поддержке местных инициатив на территории Республики Марий Эл». Срок действия - бессрочный (на постоянной основе) </t>
  </si>
  <si>
    <t>http://mari-el.gov.ru/mecon/Pages/competitions.aspx</t>
  </si>
  <si>
    <t>Министерство внутренней политики, развития местного самоуправления и юстиции Республики Марий Эл, Министерство промышленности, экономического развития и торговли Республики Марий Эл</t>
  </si>
  <si>
    <t>Министерство промышленности, экономического развития и торговли Республики Марий Эл</t>
  </si>
  <si>
    <t xml:space="preserve">Администрации городских округов, городских и сельских поселений Республики Марий Эл </t>
  </si>
  <si>
    <t>Неоплачиваемый вклад населения (размер неоплачиваемого вклада рассчитывается в денежном выражении из расчета минимального размера оплаты труда)</t>
  </si>
  <si>
    <t>0% (наличие неоплачиваемого вклада влияет на  количество баллов при конкурсном отборе проектов - дополнительно от 2 до 5 баллов )</t>
  </si>
  <si>
    <t>данные администраций муниципальных образований, реализовавших проекты (сумма благополучателей по 42 проектам). Общее количество благополучателей складывается из общего количества прямых благополучателей и из общего количества косвенных благополучателей. Прямые благополучатели - группы населения, которые регулярно пользуются результатами выполненного проекта, косвенные - периодически, по несколько раз в год будут пользоваться результатами проекта. Постановление Правительства Республики Марий Эл от 9 августа 2019 г. № 248</t>
  </si>
  <si>
    <t>Обращения граждан в адрес депутатов по вопросам реализации проектов местных инициатив</t>
  </si>
  <si>
    <t>Координационный совет по поддержке местных инициатив на территории Республики Марий Эл, состав утвержден Постановлением Правительства Республики Марий Эл от 9 августа 2019 г. № 248. Координационный совет является совещательным и консультативным органом, обеспечивающим координацию и взаимодействие органов исполнительной власти Республики Марий Эл и органов местного самоуправления в Республике Марий Эл по вопросам поддержки местных инициатив, осуществляемой посредством реализации проектов и программ развития территорий муниципальных образований в Республике Марий Эл, основанных на местных инициативах</t>
  </si>
  <si>
    <t xml:space="preserve">администрациями муниципальных образований представлены скриншоты по интернет-голосованию </t>
  </si>
  <si>
    <t>Протоколы собраний граждан, подписи (по всем 76 заявкам представленным на конкурсный отбор в 2020 году)</t>
  </si>
  <si>
    <t xml:space="preserve">конкурсная комиссия по проведению конкурсного отбора проектов и программ развития территорий муниципальных образований в Республике Марий Эл, основанных на местных инициативах. Состав конкурсной комиссии утвержден постановлением Правительства Республики Марий Эл от 9 августа 2019 г. № 248
</t>
  </si>
  <si>
    <t>7 - представители органов власти, 4 - общественные представители</t>
  </si>
  <si>
    <t>90% - городские округа, городские и сельские поселения  Республики Марий Эл (из 138 муниципальных образований  14 муниципальных районов Республики Марий Эл в соответствии с НПА не могут принимать участие в конкурсном отборе)</t>
  </si>
  <si>
    <t>тип муниципального образования</t>
  </si>
  <si>
    <t>В 2018 году стартовал проект «Гражданский контроль: местные инициативы в Республике Марий Эл». В рамках реализации данного проекта на сайте газеты «Марийская правда» в активном режиме запущена интерактивная карта, на которой отображены все проекты, основанные на местных инициативах и прошедшие конкурсный отбор. По ссылке www.marpravda.ru/news/zh-k-h/proekt-narodnyy-kontrol-programma-podderzhki-obshchestvennykh-initsiativ-v-mariy-el с карты можно перейти на страницу конкретного проекта, увидеть ход его реализации, поделиться информацией (и группа в социальной сети «Вконтакте» https://vk.com/terin12)</t>
  </si>
  <si>
    <t>https://vk.com/terin12</t>
  </si>
  <si>
    <t xml:space="preserve">Видео ролики на ТВ о проектах, реализованных по программе местных инициатив в Республики Марий Эл и планируемых к реализации, публикации в республиканской прессе (телеканалы ВГТРК «Марий Эл»,  «МЭТР» и др., размещение информации на официальных интернет-порталах Республики Марий Эл и официальных интернет-порталах администраций муниципальных образований Республики Марий Эл, а также официальных республиканских СМИ (газета «Марийская правда», официальные издания  администраций муниципальных образований Республики Марий Эл) и др. </t>
  </si>
  <si>
    <t>Консультирование сотрудников администраций муниципальных образований по вопросам подготовки проектов по поддержке местных инициатив, реализации проектов и подготовке отчетов о реализации проектов сотрудниками Министерства промышленности, экономического развития и торговли Республики Марий Эл и Министерства внутренней политики, развития местного самоуправления и юстиции Республики Марий Эл</t>
  </si>
  <si>
    <t>на постоянной основе</t>
  </si>
  <si>
    <t xml:space="preserve">  (в 2020 г. реализовано 42 проекта, 1 проект не реализован - отказ от реализации администрацией поселения)</t>
  </si>
  <si>
    <t>Указ Главы Республики Саха (Якутия) от 27.08.2019 № 712 "О государственной программе Республики Саха (Якутия) "Управление государственными финансами и государственным долгом"</t>
  </si>
  <si>
    <t>Программа поддержки местных инициатив</t>
  </si>
  <si>
    <t xml:space="preserve">Указ Главы Республики Саха (Якутия) от 27.08.2019 № 712 "О государственной программе Республики Саха (Якутия) "Управление государственными финансами и государственным долгом".   Подпрограмма 2 государственной программы Республики Саха (Якутия)Обеспечение условий для устойчивого исполнения расходных обязательств муниципальных образований Республики Саха (Якутия).
 </t>
  </si>
  <si>
    <t>https://ppmi.yakutia.click/Home</t>
  </si>
  <si>
    <t>Постановление №96 от 14.04.2021 г. "Об утверждении распределения в 2021 году субсидий
из государственного бюджета Республики Саха (Якутия) местным бюджетам на софинансирование проектов развития общественной инфраструктуры, основанных на местных инициативах"</t>
  </si>
  <si>
    <t>Указ Главы Республики Саха (Якутия) от 27 августа 2019 г. № 712 "О государственной программе Республики Саха (Якутия) "Управление государственными финансами и государственным долгом" , Указ Главы Республики Саха (Якутия) от 12 декабря 2019 г. № 886 "О внесении изменений в государственную программу Республики Саха (Якутия) «Управление государственными финансами и государственным долгом» .  Указ Главы Республики Саха (Якутия) от 27.08.2019 № 712 "О государственной программе Республики Саха (Якутия) "Управление государственными финансами и государственным долгом"</t>
  </si>
  <si>
    <t>Министерство финансов Республики Саха (Якутия)</t>
  </si>
  <si>
    <t xml:space="preserve">Способ расчета количества благополучателей: 
При  заполнении заявки для участия в конкурсном отборе проектов развития общественной
инфраструктуры, основанных на местных инициативах, каждое муниципальное образование в п. 4.2. Социальная эффективность от реализации проекта указывает количество или группу населения, которые регулярно будут пользоваться результатами выполненного проекта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t>
  </si>
  <si>
    <t xml:space="preserve">https://sakha.gks.ru/folder/32348 </t>
  </si>
  <si>
    <t>Офиса нет, занимается департамент министерства финансов РС(Я) цифрового управления бюджетным процессом и защиты информации.</t>
  </si>
  <si>
    <t>Руководитель департамента цифрового управления бюджетным процессом и защиты информации.</t>
  </si>
  <si>
    <t>Анкетирование, предварительные обсуждения</t>
  </si>
  <si>
    <t>203,1 тыс.человек</t>
  </si>
  <si>
    <t>Очное участие в итоговых собраниях</t>
  </si>
  <si>
    <t>Привлечение к работе с населением руководителей "Туолбэ" (Местные территориальные объединения граждан)</t>
  </si>
  <si>
    <t>390 муниципальных образований</t>
  </si>
  <si>
    <t xml:space="preserve">Использование мессенджера WhatsApp </t>
  </si>
  <si>
    <t>397 муниципальных образований</t>
  </si>
  <si>
    <t>Приказ "Об утверждении Порядка проведения конкурсного отбора проектов развития общественной инфраструктуры, основанных на местных инициативах, на территории муниципальных образований Республики Саха (Якутия)"
№01-04/0261-Н от 03.03.2020</t>
  </si>
  <si>
    <t>На основании Указа "О внесении изменений в государственную программу Республики Саха (Якутия) «Управление государственными финансами и государственным долгом», утвержденную Указом Главы Республики Саха (Якутия) от 27 августа 2019 г. № 712"</t>
  </si>
  <si>
    <t>На сайте ППМИ МО предоставляют:                         1.Предоставление протоколов предварительных и общих собраний.                                                                                 2.Подача конкурсных заявок.</t>
  </si>
  <si>
    <t>http://ppmi.sakha.gov.ru/</t>
  </si>
  <si>
    <t xml:space="preserve">https://minfin.sakha.gov.ru/initsiativnoe-bjudzhetirovanie  
https://www.facebook.com/groups/242631792880061/ https://instagram.com/ppmi_ykt?igshid=arozo7carwhy  </t>
  </si>
  <si>
    <t xml:space="preserve">http://ppmi.sakha.gov.ru/Home     </t>
  </si>
  <si>
    <t>Информационное сопровождение и оповещение по отдельному медиа- плану (ТВ, радио), социальные сети</t>
  </si>
  <si>
    <t xml:space="preserve">https://youtu.be/MFAABUpO15k </t>
  </si>
  <si>
    <t>Семинары и видеоконференции</t>
  </si>
  <si>
    <t>Состав - главы МР, главы МО, ответственные по ППМИ, подключение к ВКС все районы республики.</t>
  </si>
  <si>
    <t>Конкурсный отбор проектов для предоставления субсидий по поддержку местных инициатив граждан, проживающих в муниципальных образованиях в Республике Карелия</t>
  </si>
  <si>
    <t>Программа поддержки местных инициатив (ППМИ)</t>
  </si>
  <si>
    <t>Государственная программа Республики Карелия «Развитие институтов гражданского общества и развитие местного самоуправления, защита прав и свобод человека и гражданина»; подпрограмма 4 «Содействие развитию муниципальной службы, территориального общественного самоуправления и иных форм осуществления местного самоуправления в Республике Карелия», мероприятие "Поддержка местных инициатив граждан, проживающих в муниципальных образованиях в Республике Карелия" (Программа утверждена постановлением Правительства Республики Карелия от 19 декабря 2013 г. № 365-П).</t>
  </si>
  <si>
    <t>постановление Правительства Республики Карелия от 2 апреля 2015 г. № 101-П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</si>
  <si>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1000201504020009, дата опубликования: 02.04.2015</t>
  </si>
  <si>
    <t>1) Закон Республики Карелия от 19 декабря 2019 года № 2440-ЗРК "О бюджете Республики Карелия на 2020 год и на плановый период 2021 и 2022 годов"
2) Постановление Правительства Республики Карелия от 08.05.2020 № 203-П "О распределении на 2020 год субсидий бюджетам муниципальных образований на поддержку местных инициатив граждан, проживающих в муниципальных образованиях"</t>
  </si>
  <si>
    <t>1) http://minfin.karelia.ru/2020-2022-gody/
2) Официальный интернет-портал правовой информации (pravo.gov.ru): номер опубликования 1000202005130004, дата опубликования: 13.05.2020</t>
  </si>
  <si>
    <t>В стадии разработки</t>
  </si>
  <si>
    <t>1) Постановление Правительства Республики Карелия от 04.04.2014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
2) Приказ Администрации Главы Республики Карелия от 28.09.2016 года № 124 «О реализации постановления Правительства Республики Карелия от 04.04.2014г. № 86-П «Об утверждении Порядка проведения конкурсного отбора проектов для предоставления субсидий на поддержку местных инициатив граждан, проживающих в муниципальных образованиях в Республике Карелия»</t>
  </si>
  <si>
    <t>https://nac.gov.karelia.ru/about/3837/</t>
  </si>
  <si>
    <t>Министерство национальной и региональной политики Республики Карелия</t>
  </si>
  <si>
    <t>муниципальные образования в Республике Карелия</t>
  </si>
  <si>
    <t>Данное значение содержит вклад со стороны граждан и юридических лиц, так как при отборе проектов учитывается их совокупная доля. Отдельно учет по этим источникам не ведется</t>
  </si>
  <si>
    <t xml:space="preserve">Проект Закона Республики Карелия о внесении изменений в Закон Республики Карелия от 21.12.2020 № 2528-ЗРК "О бюджете Республики Карелия на 2021 год и плановый период 2022-2023 годов" </t>
  </si>
  <si>
    <t>Суммарное значение на основании данных, представленных в конкурсных заявках</t>
  </si>
  <si>
    <t>https://krl.gks.ru/folder/31905</t>
  </si>
  <si>
    <t>Количество заполненных анкет</t>
  </si>
  <si>
    <t>Регистрация участников собраний в листах регистрации</t>
  </si>
  <si>
    <t>в ряде муниципальных образований в социальных сетях проводились голосования и обсуждения проектов</t>
  </si>
  <si>
    <t>листы регистрации участников собрания</t>
  </si>
  <si>
    <t>1) http://old.gov.karelia.ru/Projects/Initiatives/
2) http://budget.karelia.ru/prioritety/programma-podderzhki-mestnykh-initsiativ/stranitsa-s-obshchej-informatsiej-po-ppmi</t>
  </si>
  <si>
    <t>1) инициативы-карелия.рф  
2) группа в социальной сети "Вконтакте" "ППМИ Карелия" https://vk.com/ppmi_rk</t>
  </si>
  <si>
    <t>1) Информационная кампания по ППМИ проводилась на портале информационного агентства«Республика Карелия» (http://rk.karelia.ru/tag/programma-podderzhki-mestnyh-initsiativ/)
2) ТВ: ГТРК Карелия: 
- программа "В центре внимания", 11.03.2020 (http://tv-karelia.ru/v-tsentre-vnimaniya-initsiativnoe-byudzhetirovanie/); 
- репортажи о реализованных проектах (http://tv-karelia.ru/v-ryiboretskom-vepsskom-selskom-poselenii-prodolzhaetsya-programma-podderzhki-mestnyih-initsiativ/).</t>
  </si>
  <si>
    <t>не использовалось</t>
  </si>
  <si>
    <t>Порядок предоставления иных межбюджетных трансфертов из бюджета Республики Карелия бюджетам муниципальных образований в Республике Карелия на поддержку развития территориального общественного самоуправления</t>
  </si>
  <si>
    <t>Поддержка территориального общественного самоупарвления (ТОС), 
конкурс социально значимых проектов ТОС</t>
  </si>
  <si>
    <t>7 марта 2020</t>
  </si>
  <si>
    <t>постановление Правительства Республики Карелия от 15 июля 2019 г. № 294-П "О внесении изменений в постановление Правительства Республики Карелия от 19 декабря 2013 года № 365-П".</t>
  </si>
  <si>
    <t>Официальный интернет-портал правовой информации (pravo.gov.ru): номер опубликования: 1000201907190001, дата опубликования: 19.07.2019</t>
  </si>
  <si>
    <t>1) Закон Республики Карелия от 19 декабря 2019 года № 2440-ЗРК "О бюджете Республики Карелия на 2020 год и на плановый период 2021 и 2022 годов"
2) Постановление Правительства Республики Карелия от 13.05.2020 № 211-П "О распределении на 2020 год иных межбюджетных трансфертов бюджетам муниципальных образований на поддержку развития территориального общественного самоуправления"</t>
  </si>
  <si>
    <t>1) http://minfin.karelia.ru/2020-2022-gody/
2) Официальный интернет-портал правовой информации (pravo.gov.ru): номер опубликования 1000202005150005, дата опубликования: 15.05.2020</t>
  </si>
  <si>
    <t>1) Постановление Правительства Республики Карелия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
2) Приказ Министерства национальной и региональной политики Республики Карелия от 05.08.2019 года № 30 «О реализации постановления Правительства Республики Карелия от 6 мая 2020 года № 190-П «Об утверждении методики распределения иных межбюджетных трансфертов из бюджета Республики Карелия местным бюджетам на поддержку развития территориального общественного самоуправления и правил их предоставления»</t>
  </si>
  <si>
    <t>https://nac.gov.karelia.ru/about/3833/</t>
  </si>
  <si>
    <t>иные межбюджетные трансферты</t>
  </si>
  <si>
    <t>проекты на конкурс направляют территориальные общественные самоуправления, зарегистрированные на территории городских округов, городских и сельских поселений</t>
  </si>
  <si>
    <t>В связи с тем, что ТОС может быть зарегистрирован только на территории городского округа, городского и сельского поселения, то в конкурсе могут участвовать только эти 108 муниципальных образования. 16 муниципальных районов в конкурсе не участвуют.</t>
  </si>
  <si>
    <t>1) http://nac.gov.karelia.ru/about/3832/</t>
  </si>
  <si>
    <t>1) инициативы-карелия.рф
2) асмо-карелия.рф/tos/
3) группа в социальной сети "Вконтакте" "Ассоциация ТОС в Республике Карелия" https://vk.com/tosrk
4) аккаунт в Инстаграмм (@tosrk)</t>
  </si>
  <si>
    <t>https://m.vk.com/album-169034427_0?rev=1&amp;from=profile&amp;z=photo-169034427_457239153%2Falbum-169034427_0%2Frev</t>
  </si>
  <si>
    <t>1) Для поддержки движения ТОС в социальной сети «ВКонтакте» продолжает развиваться группа «Ассоциация ТОС в Республике Карелия» (https://vk.com/tosrk), где размещается информации о проектах, деятельности ТОС Республики Карелия и опыте ТОС других регионов. Создан аккаунт в Instagram (https://www.instagram.com/tosrk/?hl=ru)? где размещается информации о проектах, деятельности ТОС Республики Карелия.
2) ТВ: ГТРК Карелия: 
- программа "В центре внимания", 11.03.2020 (http://tv-karelia.ru/v-tsentre-vnimaniya-initsiativnoe-byudzhetirovanie/); 
- http://tv-karelia.ru/tos-megregskie-karelyi-stal-odnim-iz-luchshih-v-karelii/
- http://tv-karelia.ru/v-kroshnozerskom-selskom-poselenii-podderzhku-poluchili-srazu-tri-proekta-tos/
3) ТВ: Сампо ТВ 360 https://sampotv360.ru/2020/11/02/kakie-mechty-sbylis-u-zhitelej-olonetskogo-rajona-blagodarya-podderzhke-tosov/
4) - Сайт Законодательного Собрания Республики Карелия http://karelia-zs.ru/presssluzhba/novosti/syuzhet_gtrk_kareliya_naselennyh_punkty_respubliki_blagoustraivayut_po_programme_podderzhki_mestnyh_iniciativ_i_tos/
5) Сайт Общенациональной Ассоциации ТОС https://www.oatos.ru/post/%D0%B7%D0%B0-%D1%82%D1%80%D0%B8-%D0%B3%D0%BE%D0%B4%D0%B0-%D0%B2-%D0%BA%D0%B0%D1%80%D0%B5%D0%BB%D0%B8%D0%B8-%D0%B7%D0%BD%D0%B0%D1%87%D0%B8%D1%82%D0%B5%D0%BB%D1%8C%D0%BD%D0%BE-%D1%83%D0%B2%D0%B5%D0%BB%D0%B8%D1%87%D0%B8%D0%BB%D0%BE%D1%81%D1%8C-%D0%BA%D0%BE%D0%BB%D0%B8%D1%87%D0%B5%D1%81%D1%82%D0%B2%D0%BE-%D0%BE%D1%80%D0%B3%D0%B0%D0%BD%D0%B8%D0%B7%D0%B0%D1%86%D0%B8%D0%B9-%D0%BE%D0%B1%D1%89%D0%B5%D1%81%D1%82%D0%B2%D0%B5%D0%BD%D0%BD%D0%BE%D0%B3%D0%BE-%D1%81%D0%B0%D0%BC%D0%BE%D1%83%D0%BF%D1%80%D0%B0%D0%B2%D0%BB%D0%B5%D0%BD%D0%B8%D1%8F
6) портал информационного агентства«Республика Карелия» (http://rk.karelia.ru/social/luchshee-territorialnoe-obshhestvennoe-samoupravlenie-vybrali-v-karelii/) и (http://rk.karelia.ru/social/artur-parfenchikov-za-tri-goda-v-karelii-znachitelno-uvelichilos-kolichestvo-organizatsij-obshhestvennogo-samoupravleniya/)</t>
  </si>
  <si>
    <t>В 2020 году совместно с Ассоциацией «Развитие ТОС в Республике Карелия» подготовлена брошюра о деятельности ТОС "ТОС Республики Карелия: Собраться вместе - это начало, работать вместе - это успех" (https://vk.com/doc-169034427_596572424). На  Форум ТОС были подготовлены 5 видеороликов о реализованных проектах ТОС (https://vk.com/videos-169034427)</t>
  </si>
  <si>
    <t xml:space="preserve">Для развития территориального общественного самоуправления в Республике Карелия организовываются и проводятся семинары, круглые столы, конференции, собрания. 
В 2020 году проводились встречи и собрания с гражданами и представителями муниципальной власти Петрозаводского городского округа, Вяртсильского городского поселения, Кемского муниципального района, Калевальского национального муниципального района для разъяснения вопросов создания территориального общественного самоуправления и участия в конкурсах программы поддержки ТОС в Республике Карелия.
24 апреля 2020 года зарегистрирована Ассоциация «Развитие территориального общественного самоуправления в Республике Карелия» (АР ТОС в Республике Карелия). В октябре 2020 года Ассоциация вошла в состав Общенациональной ассоциации ТОС (ОАТОС) с целью развития взаимодействия и обмена опытом с другими регионами по вопросам развития территориального общественного самоуправления.
19 ноября 2020 года в дистанционном формате состоялся Второй республиканский Форум ТОС. Организаторами мероприятия выступили Министерство национальной и региональной политики Республики Карелия, Ассоциация «Развитие ТОС в Республике Карелия», Ассоциация «Совет муниципальных образований Республики Карелия», Карельский филиал Российской академии народного хозяйства и государственной службы, КРОО «Продвижение». Участниками Форума ТОС стали ТОС Республики Карелия, инициативные группы граждан, общественные организации, представители органов исполнительной и законодательной власти и органов местного самоуправления Республики Карелия, Общенациональная ассоциация ТОС и все граждане, кому интересна тема развития инициативного бюджетирования. Форум ТОС существенно расширил географию участников. Прямую трансляцию смотрели около 20 тысяч человек: жители всех районов Республики Карелия, Коми, городов Москва, Санкт-Петербург, Архангельск, Саратов, Новосибирск и Челябинск.
На Форуме были показаны яркие практики территориальных общественных самоуправлений Республики Карелия, Архангельской области и Республики Коми. Директор Общенациональной ассоциации ТОС Захарий Юдин рассказал о новых проектах федеральных законов в области МСУ и ТОС.
</t>
  </si>
  <si>
    <t>Субсидии бюджетам муниципальных образований на реализацию мероприятий по 
благоустройству сельских территорий</t>
  </si>
  <si>
    <t xml:space="preserve">Государственная программа Республики Калмыкия 
«Комплексное развитие сельских территорий» Подпрограмма «Создание и развитие 
инфраструктуры на сельских территориях»
Основное мероприятие 1 «Благоустройство сельских территорий» </t>
  </si>
  <si>
    <t>Утверждена постановлением Правительства Республики Калмыкия от 17 декабря 2019 г. N 367 "О Государственной программе Республики Калмыкия "Комплексное развитие сельских территорий"</t>
  </si>
  <si>
    <t>http://mcx.rk08.ru/kompleksnoe-razvitie-selskikh-territoriy/</t>
  </si>
  <si>
    <t>Министерство сельского хозяйства Республики Калмыкия</t>
  </si>
  <si>
    <t>Бюджеты сельских муниципальных образований Республики Калмыкия</t>
  </si>
  <si>
    <t>Постановление Правительства Российской Федерации от 31 мая 2019 года N 696 Об утверждении государственной программы Российской Федерации "Комплексное развитие сельских территорий"</t>
  </si>
  <si>
    <t>Безвозмездное оказание услуг (трудовое участие граждан, траспортировка материалов, безвозмездное приобретение материалов, предоставление техники и прочее)</t>
  </si>
  <si>
    <t>Общее количество жителей муниципального образования, получивших выгоду от реализации проекта по благоустройству</t>
  </si>
  <si>
    <t>https://astrastat.gks.ru/folder/35673</t>
  </si>
  <si>
    <t>сбор подписей</t>
  </si>
  <si>
    <t>инициативная группа граждан</t>
  </si>
  <si>
    <t>согласно доведенным лимитам и поступившим заякам</t>
  </si>
  <si>
    <t>https://www.instagram.com/mshrk08/</t>
  </si>
  <si>
    <t xml:space="preserve">https://vesti-kalmykia.ru/news/nachinaetsya-realizaciya-razvitiya-selskih-territorij;   https://vesti-kalmykia.ru/news/110-millionov-rublej-budet-napravleno-na-realizaciyu-gosprogrammy-kompleksnoe-razvitie-selskih-territorij;  https://vesti-kalmykia.ru/news/v-ramkah-federalnoj-programmy;  http://halmgynn.ru/10900-blagoustraivat-i-razvivat-selo-kompleksno.html;  http://halmgynn.ru/12007-alcynhuta-obustroili-parkovuyu-zonu.html </t>
  </si>
  <si>
    <t>Освещение ведомственного проекта "Благоустройство сельских территорий" проводилось в региональных СМИ на постоянной основе</t>
  </si>
  <si>
    <t xml:space="preserve">В целях обеспечения санитарно-эпидемиологического благополучия населения на территории Республики Калмыкия в связи с распространением новой коронавирусной инфекции (COVID-19), обучающие мероприятия проводились в формате ВКС </t>
  </si>
  <si>
    <t>Субсидии на реализацию социально значимых проектов развития территорий муниципальных образований, основанных на местных инициативах</t>
  </si>
  <si>
    <t>Практика инициативного бюджетирования</t>
  </si>
  <si>
    <t>Государственная программа Республики Калмыкия "Управление государственными финансами Республики Калмыкия"
Подпрограмма "Развитие механизмов регулирования межбюджетных отношений"
Основное мероприятие: Предоставление межбюджетных трансфертов муниципальным образованиям</t>
  </si>
  <si>
    <t>Постановление Правительства Республики Калмыкия от 1 апреля 2019 г. N 95 "О внесении изменений в государственную программу Республики Калмыкия "Управление государственными финансами Республики Калмыкия", утвержденную постановлением Правительства Республики Калмыкия от 15 октября 2018 г. N 316, и признании утратившим силу постановления Правительства Республики Калмыкия от 31 августа 2018 г. N 261"</t>
  </si>
  <si>
    <t>http://minfin.kalmregion.ru/deyatelnost/initsiativnoe-byudzhetirovanie/</t>
  </si>
  <si>
    <t>приказ Министерства финансов Республики Калмыкия от 11.09.2018 г. № 15/121м «О реализации постановления Правительства Республики Калмыкия от 31.08.2018 г. № 261 «Об утверждении Порядка предоставления субсидий из республиканского бюджета бюджетам муниципальных образований Республики Калмыкия на реализацию социально-значимых проектов развития территорий муниципальных образований, основанных на местных инициативах»</t>
  </si>
  <si>
    <t>Министерство финансов Республики Калмыкия</t>
  </si>
  <si>
    <t>Безвозмездное оказание услуг (траспортировка материалов, безвозмездное приобретение материалов, предоставление техники и прочее)</t>
  </si>
  <si>
    <t>Степень восприятия жителями муниципального образования значимости реализации проектов посредством участия жителей муниципального образования в процессе рассмотрения (исходя из количества жителей муниципального образования, присутствовавших на общем собрании, согласно протоколу общего собрания к общему числу жителей муниципального образования)</t>
  </si>
  <si>
    <t>Протоколы собрания граждан</t>
  </si>
  <si>
    <t>https://www.instagram.com/p/CMeyYrdlM3r/?igshid=9vl5p4jskj3t</t>
  </si>
  <si>
    <t>Размещение информации о проведенной (планируемой) работе на официальном сайте Министерства финансов Республики Калмыкия, Instagramm</t>
  </si>
  <si>
    <t>Совещания по вопросу реализации инициативного бюджетирования в РК
Руководство Министерства финансов РК, руководители финансовых органов районных муниципальных образований РК, Главы сельских муниципальных образований РК, инициативные группы</t>
  </si>
  <si>
    <t>Конкурсный отбор проектов развития территорий муниципальных образований Республики Ингушетия, основанных на местных инициативах</t>
  </si>
  <si>
    <t>01.08.2020 г.</t>
  </si>
  <si>
    <t>31.12.2020 г.</t>
  </si>
  <si>
    <t>Государственная программа Республики Ингушетия "Управление финансами", подпрограмма "Создание условий для эффективного выполнения полномочий органами местного самоуправления муниципальных образований", субсидии местным бюджетам на софинансирование проектов развития территорий муниципальных образований Республики Ингушетия, основанных на местных инициативах</t>
  </si>
  <si>
    <t>Постановление Правительства Республики Ингушетия от 13.08.2019 г. № 122 "О реализации в Республике Ингушетия проектов развития территорий муниципальных образований Республики Ингушетия, основанных на местных инициативах"</t>
  </si>
  <si>
    <t>http://publication.pravo.gov.ru/Document/View/0600201908150001</t>
  </si>
  <si>
    <t>Постановление Правительства Республики Ингушетия от 27 декабря 2019 г. № 201 "Об утверждении правил предоставления субсидий из республиканского бюджета местным бюджетам на софинансирование проектов развития территорий муниципальных образовний Республики Ингушетия, основанных на местных инициативах"</t>
  </si>
  <si>
    <t>https://docs.cntd.ru/document/561670050</t>
  </si>
  <si>
    <t>Министерство финансов Республики Ингушетия</t>
  </si>
  <si>
    <t>администрации поселений, муниципальных районов и городских округов</t>
  </si>
  <si>
    <t>https://stavstat.gks.ru/folder/29853</t>
  </si>
  <si>
    <t>ведение протокола собраний и сбор подписей</t>
  </si>
  <si>
    <t>сборо подписей</t>
  </si>
  <si>
    <t>https://mfri.ru/index.php/open-budget/initsiativnoe-byudzhetirovanie/3361-minfin-ingushetii-ob-yavlyaet-konkursnyj-otbor-proektov-razvitiya-territorij-munitsipalnykh-obrazovanij</t>
  </si>
  <si>
    <t>https://mfri.ru/</t>
  </si>
  <si>
    <t>Предоставление грантов некоммерческим организациям, реализующим социально значимые проекты на территории Республики Татарстан</t>
  </si>
  <si>
    <t>Республиканский конкурс на получение грантов Кабинета Министров Республики Татарстан для некоммерческих организаций, участвующих в реализации социально значимых проектов</t>
  </si>
  <si>
    <t>14 октября 2020 г.</t>
  </si>
  <si>
    <t>30 сентября  2021 г.</t>
  </si>
  <si>
    <t>Государственная программа "Экономическое развитие и инновационная экономика Республики Татарстан на 2014 - 2024 годы" (подпрограмма "Поддержка социально ориентированных некоммерческих организаций в Республике Татарстан на 2014 - 2024 годы")</t>
  </si>
  <si>
    <t>Постановление Кабинета Министров Республики Татарстан от 31.10.2013 № 823 "Об утверждении Государственной программы "Экономическое развитие и инновационная экономика Республики Татарстан на 2014 - 2024 годы" (подпрограмма "Поддержка социально ориентированных некоммерческих организаций в Республике Татарстан на 2014 - 2024 годы")</t>
  </si>
  <si>
    <t>Официальный портал правовой информации Республики Татарстан http://pravo.tatarstan.ru, 
"СБОРНИК постановлений и распоряжений Кабинета Министров Республики Татарстан и нормативных актов республиканских органов исполнительной власти", 12.11.2013, №83, ст. 2783,
КонсультантПлюс</t>
  </si>
  <si>
    <t>Распоряжение Кабинета Министров Республики Татарстан от 12.10.2020 N 2179-р
Постановление Кабинета Министров Республики Татарстан  от 08.06.2009 № 373 «О предоставлении государственной поддержки некоммерческим организациям в Республике Татарстан, реализующим социально значимые проекты»</t>
  </si>
  <si>
    <t>https://base.garant.ru/8154075/</t>
  </si>
  <si>
    <t>грантодатель - Кабинет Министров Республики Татарстан, осуществляющий через уполномоченный орган исполнительной власти Республики Татарстан предоставление грантов некоммерческим организациям;   
Уполномоченный орган - Министерство труда, занятости и социальной защиты Республики Татарстан, осуществляющий организационные функции по проведению Конкурса, до которого в соответствии с бюджетным законодательством Российской Федерации как до получателя бюджетных средств доведены в установленном порядке лимиты бюджетных обязательств на предоставление грантов на соответствующий финансовый год</t>
  </si>
  <si>
    <t>Министерство труда, занятости и социальной защиты Республики Татарстан</t>
  </si>
  <si>
    <t>Региональные некоммерческие организации (НКО)</t>
  </si>
  <si>
    <t>Учтена численность жителей муниципальных образований Республики Татарстан, в которых осуществляется реализация социально значимых проектов.</t>
  </si>
  <si>
    <t>https://tatstat.gks.ru/storage/mediabank/МОчисл2020_308759_311478.pdf</t>
  </si>
  <si>
    <t>экспертные листы</t>
  </si>
  <si>
    <t>http://mtsz.tatarstan.ru  во вкладке "Конкурсы и акции"</t>
  </si>
  <si>
    <t>http://oprt.tatar  - сайт Общественной палаты Республики Татарстан</t>
  </si>
  <si>
    <t>Региональные СМИ в пределах своей компетенции размещают информацию о конкурсе.</t>
  </si>
  <si>
    <t>17 сентября 2020 года  в Общественной палате Республике Татарстан организован  семинар - тренинг по грантрайтингу "Социальное проектирование и управление социальными проектами". Место проведения семинара: г.Казань, ул. Батурина, д.7,  3 часа, 200 чел.</t>
  </si>
  <si>
    <t>Народный бюджет, НБ</t>
  </si>
  <si>
    <t>Реализация проекта «Народный бюджет« осуществляется на основании Указа Главы Республики Коми от 13.05.2016г. № 66 «О проекте «Народный бюджет» в Республике Коми» и Постановления Правительства Республики Коми от 20.05.2016г. № 252 «О мерах по реализации Указа Главы Республики Коми от 13 мая 2016 г. N 66 «О проекте «Народный бюджет« в Республике Коми« (вместе с «Порядком организации работы по определению соответствия народных проектов критериям, предъявляемым к проекту «Народный бюджет«, «Положением о пилотном проекте «Бюджет и МЫ!»
Реализация проекта осуществляется путем субсидирования за счет средств республиканского бюджета Республики Коми бюджетов муниципальных образований на реализацию народных проектов в рамках реализации 8 государственных программ Республики Коми: 
1. Государственная программа Республики Коми «Развитие культуры и туризма в Республике Коми» - народные проекты в сфере культуры, в сфере этнокультурного развития народов (утверждена постановлением Правительства РК от 31.10.2019 № 524);
2. Государственная программа Республики Коми «Развитие образования» - народные проекты в сфере образования, школьные проекты (утверждена постановлением Правительства РК от 31.10.2019 № 522);
3 Государственная программа Республики Коми «Развитие сельского хозяйства и регулирование рынков сельскохозяйственной продукции, сырья и продовольствия, развитие рыбохозяйственного комплекса в Республике Коми» - народные проекты в сфере агропромышленного комплекса (утверждена постановлением Правительства РК от 31.10.2019 № 525);
4. Государственная программа Республики Коми «Развитие транспортной системы» - народные проекты в сфере дорожной деятельности (утверждена постановлением Правительства РК от 31.10.2019 № 523);
5. Государственная программа Республики Коми «Содействие занятости населения» - народные проекты в сфере занятости населения (утверждена постановлением Правительства РК от 30.10.2019 № 512);
6. Государственная программа Республики Коми «Развитие физической культуры и спорта» - народные проекты в сфере физической культуры и спорта (утверждена постановлением Правительства РК от 30.10.2019 № 513);
7. Государственная программа Республики Коми «Развитие экономики и промышленности» - народные проекты в сфере малого и среднего предпринимательства в Республике Коми (утверждена постановлением Правительства РК от 31.10.2019 № 521);
8. Государственная программа Республики Коми «Развитие строительства, обеспечение доступным и комфортным жильем и коммунальными услугами граждан» - народные проекты в сфере благоустройства, в сфере обустройства источников холодного водоснабжения (утверждена постановлением Правительства РК от 31.10.2019 № 520)</t>
  </si>
  <si>
    <t>Постановление Правительства Республики Коми от 20.05.2016 № 252 «О мерах по реализации Указа Главы Республики Коми от 13 мая 2016 г. № 66 «О проекте «Народный бюджет» в Республике Коми»</t>
  </si>
  <si>
    <t>consultantplus://offline/ref=531D7F308A1F873BB4F03D1F4A01C4095F755730381EFAD40021A1B6EDE955BE77D737E2E34C73CF53AC2D79A15CF68C2B890513E95CFE4F2445F0FEZCdDI</t>
  </si>
  <si>
    <t>Указ Главы Республики Коми от 13.05.2016 № 66 «О проекте «Народный бюджет» в Республике Коми»</t>
  </si>
  <si>
    <t>consultantplus://offline/ref=2B7758C12D199CB0565F0E3EA014682D66C7F641252C0363335BC3BAC6B83478B977FA276B08AB405A40EB2AB2BA5C296F1CEB13CE3F5AC4381BB52ARCh0I</t>
  </si>
  <si>
    <t>Администрация Главы Республики Коми</t>
  </si>
  <si>
    <t>Министерство сельского хозяйства и потребительского рынка Республики Коми;
Министерство строительства и жилищно-коммунального хозяйства Республики Коми;
Министерство труда, занятости и социальной защиты Республики Коми;
Министерство культуры, туризма и архивного дела Республики Коми;
Министерство образования, науки и молодежной политики Республики Коми;
Министерство экономического развития и промышленности Республики Коми;
Министерство физической культуры и спорта Республики Коми;
Министерство национальной политики Республики Коми</t>
  </si>
  <si>
    <t>Органы местного самоуправления муниципальных районов и городских округов, а также органы местного самоуправления поселений в случае, если в соответствии с правилами предоставления из республиканского бюджета Республики Коми субсидий на реализацию народных проектов, прошедших отбор в рамках проекта "Народный бюджет", утвержденными соответствующими государственными программами Республики Коми, предусмотрено участие органов местного самоуправления поселений</t>
  </si>
  <si>
    <t>150.224</t>
  </si>
  <si>
    <t>122.887</t>
  </si>
  <si>
    <t xml:space="preserve">Материально-техническое участие (под материально-техническим участием юридических лиц, индивидуальных предпринимателей, граждан понимается их нефинансовый вклад в реализацию народного проекта в виде материалов, оборудования, техники, транспортных средств)
</t>
  </si>
  <si>
    <t>Количество  человек,  которые получат пользу от народного проекта: непосредственно (прямые благополучатели), косвенно    (косвенные благополучатели) (например, в случае ремонта улицы прямые благополучатели - это  жители  этой  и прилегающих улиц, которые регулярно ходят или ездят по отремонтированной   улице, а косвенные – жители муниципального образования (населенного пункта) или части населенного пункта (микрорайон, квартал, улица), за исключением прямых благополучателей.</t>
  </si>
  <si>
    <t>https://komi.gks.ru/population</t>
  </si>
  <si>
    <t>Проектный центр инициативного бюджетирования при Государственном образовательном учреждении высшего образования «Коми республиканская академия государственной службы и управления» (ГОУ ВО КРАГСиУ)  (без образования отдельного юридического лица), созданный в соответствии с Приказом Министерства образования, науки и молодежной политики Республики Коми  от 16.08.2017 № 744</t>
  </si>
  <si>
    <t>Средства республиканского бюджета Республики Коми, предусмотренные в рамках основного мероприятия Основное мероприятие 1.2.6. Создание условий для реализации и развития практик инициативного бюджетирования на территории муниципальных образований, в том числе в рамках проекта "Народный бюджет"  государственной программы Республики Коми «Управление государственными финансами и государственным долгом» (утв. постановлением Правительства РК от 30.10.2019 N 511)</t>
  </si>
  <si>
    <t>4 (в том числе 2 консультанта Проектного центра инициативного бюджетирования и 2 сотрудника Администрации Главы Республики Коми как уполномоченного органа исполнительной власти Республики Коми по координации деятельности органов исполнительной власти Республики Коми при реализации проекта "Народный бюджет")</t>
  </si>
  <si>
    <t>Сбор дополнительных реестров подписей в поддержку народного проекта</t>
  </si>
  <si>
    <t>Органы местного самоуправления Республики Коми в течение 3-х дней после проведения собраний граждан направляют в Администрацию Главы Республики Коми протоколы собраний граждан, реестры подписей в поддрежку народных проектов с фотофиксацией собраний. Фотографии в рамках новостных сообщений размещаются на портале "Активный регион" https://signal.rkomi.ru/budzhet. Также использовался способ фиксации участия граждан посредством физического присутствия консультанта по вопросам инициативного бюджетирования на собраниях.</t>
  </si>
  <si>
    <t>В Протоколе собрания граждан по обсуждению народных проектов фиксируется, кем предложен народный проект (в том числе, он может быть предложен сельским старостой)</t>
  </si>
  <si>
    <t>Физическое присутствие представителей Проектного центра и составление протоколов</t>
  </si>
  <si>
    <t>Физическое присутствие представителей Проектного центра и составление протоколов заседания бюджетный комиссий</t>
  </si>
  <si>
    <t>Перечень заявок-победителей утверждается Межведомственной комиссией по отбору народных проектов. В состав Межведомственной комиссии по отбору народных проектов входят руководители (заместители) отраслевых министерств, участвующих в реализации проекта "Народный бюджет"</t>
  </si>
  <si>
    <t>Поступили проектные заявки от 133 МО (256 административно-территориальных единиц). Победители -  91-МО (161-административно-территориальных единица)</t>
  </si>
  <si>
    <t>Официальный сайт Администрации Главы Республики Коми, где ежегодно размещаются объявления о проведении отбора народных проектов в рамках проекта «Народный бюджет», приказы Администрации Главы республики Коми о внесении изменений в состав Межведомственной комиссии по отбору народных проектов, а также информация о народных проектах, прошедших отбор в рамках реализации проекта «Народный бюджет» в Республике Коми. https://adm.rkomi.ru/news</t>
  </si>
  <si>
    <t xml:space="preserve">В целях информирования населения о проекте «Народный бюджет» на портале «Активный регион» функционирует раздел «Народный бюджет» (http://www.signal.rkomi.ru/bydzhet). С марта 2017 года с целью привлечения граждан Республики Коми к обсуждению социально значимых народных проектов и информирования о ходе их реализации в социальной сети «Вконтакте» действует группа «Народный бюджет Республики Коми» (https://vk.com/nb_rk).  </t>
  </si>
  <si>
    <t>https://signal.rkomi.ru/budzhet/razrabotan-logotip-proekta-narodnyy-byudzhet</t>
  </si>
  <si>
    <t>Распространение информации о проекте «Народный бюджет» происходит через республиканские и муниципальные СМИ (электронная и печатная версии), официальные сайты и группы в социальных сетях органов местного самоуправления Республики Коми, сайт и социальные сети «Ассоциации органов территориального общественноо самоуправления РК», Ассоциации «Совет муниципальных образований РК». Содействие в публикации информации о ходе реализации проекта «Народный бюджет» также осуществляется органами исполнительной власти Республики Коми на постоянной основе на официальных сайтах органов исполнительной власти Республики Коми и в социальных сетях, на официальном портале Республики Коми. Самый большой охват населения обеспечивают посты в социальных сетях и видеоролики, снятые инициаторами и активистами народных проектов. Например, https://vk.com/wall-144793240?offset=320&amp;own=1&amp;w=wall-144793240_1437, https://vk.com/wall-144793240?offset=400&amp;own=1&amp;w=wall-144793240_1367, https://vk.com/nb_rk?w=wall-144793240_1296, https://vk.com/wall-144793240?offset=160&amp;own=1&amp;w=wall-144793240_1632, https://vk.com/wall-144793240?offset=160&amp;own=1&amp;w=wall-144793240_1642, видеоролик Молодежного Совета г.Емва Княжпогостского района Республики Коми https://www.youtube.com/watch?v=qGQ_FPR9Csc</t>
  </si>
  <si>
    <t>https://drive.google.com/drive/folders/1FI_RiMFtjXzlddlreYZVCLP93Hy4QW2j?usp=sharing</t>
  </si>
  <si>
    <t xml:space="preserve">Консультации: личные, телефонные, онлайн. Мероприятия: семинары, круглые столы, участие в собраниях граждан. Во всех 20 муниципальных образованиях городских округов и муниципальных районах Республики Коми были проведено более 35 семинаров по теме «Проектный центр. Программы инициативного бюджетирования - актуальные инструменты реализации гражданских инициатив», в которых приняли участие более 100 человек. Проведено 35 выездных сессий в муниципальных образованиях Республики Коми и организованы расширенные встречи с населением, муниципальными служащими, социально ориентированными некоммерческими организациями, в том числе органами территориального общественного самоуправления в целях проведения образовательных и консультативных занятий по вопросам внедрения практик инициативного бюджетирования и реализации программ инициативного бюджетирования в муниципалитетах Республики Коми. </t>
  </si>
  <si>
    <t>Консультаций: от 950. Мероприятий: от 35</t>
  </si>
  <si>
    <t>30 января 2019</t>
  </si>
  <si>
    <t>1 декабря 2020</t>
  </si>
  <si>
    <t>Проект «Инициативы граждан»</t>
  </si>
  <si>
    <t>30 сентября 2019 года</t>
  </si>
  <si>
    <t>Государственная программа Республики Алтай "Формирование современной городской среды", подпрограмма "Благоустройство территорий муниципальных образований в Республике Алтай", основное мероприятие "Благоустройство территорий в рамках реализации проектов, основанных на местных инициативах", мероприятие "Субсидии на выполнение работ по благоустройству территорий в рамках реализации проекта "Инициативы граждан"</t>
  </si>
  <si>
    <t>постановление Правительства Республики Алтай от 31.01.2018 г. № 25 "Об утверждении изменений, которые вносятся в государственную программу Республики Алтай "Формирование современной городской среды"</t>
  </si>
  <si>
    <t>https://minregion-ra.ru/wp-content/uploads/2018/03/%D0%9F%D0%BE%D1%81%D1%82%D0%B0%D0%BD%D0%BE%D0%B2%D0%BB%D0%B5%D0%BD%D0%B8%D0%B5-%E2%84%96-25-%D0%BE%D1%82-31.01.2018.pdf</t>
  </si>
  <si>
    <t>Указ Главы Республики Алтай, Председателя Правительства Республики Алтай от 15.02.2018 N 51-у "О реализации на территории Республики Алтай проекта "Инициативы граждан"</t>
  </si>
  <si>
    <t>https://minfin-altai.ru/documents/files/2019/03/1_Ukaz_51-u.docx</t>
  </si>
  <si>
    <t>Министерство регионального развития Республики Алтай</t>
  </si>
  <si>
    <t>Муниципальные образования в Республике Алтай</t>
  </si>
  <si>
    <t>Неоплачиваемые работы, вклад материалами или оборудованием, вклад в форме техники и транспортных средств</t>
  </si>
  <si>
    <t>Статистические данные о количестве жителей сельских поселений, в которых в 2020 году реализованы инициативные проекты</t>
  </si>
  <si>
    <t>https://akstat.gks.ru/storage/mediabank/VVIAmAQd/Численность%20населения%20по%20муниципальным%20образованиям%20Республики%20Алтай%20на%201.01.2020%20г..xlsx</t>
  </si>
  <si>
    <t>https://akstat.gks.ru/storage/mediabank/c9KP31L2/Оценка%20численности%20постоянного%20населения%20Республики%20Алтай%20на%201%20января%202020%20года.xlsx</t>
  </si>
  <si>
    <t>протоколы собраний</t>
  </si>
  <si>
    <t xml:space="preserve">Протокол заседания комиссии по рассмотрению заявок, поданных муниципальными образованиями в Республике Алтай на предоставление субсидий муниципальным образованиям в Республике Алтай из республиканского бюджета Республики Алтай на реализацию проектов по благоустройству территорий в рамках проекта "Инициативы граждан" </t>
  </si>
  <si>
    <t>https://minregion-ra.ru/deyatelnost/realizatsiya-proekta-initsiativy-grazhdan.php</t>
  </si>
  <si>
    <t>https://minfin-altai.ru/deyatelnost/proactive-budgeting/</t>
  </si>
  <si>
    <t>Официальный сайт Министерства регионального развития Республики Алтай - организатора конкурсного отбора (https://www.minregion-ra.ru/deyatelnost/realizatsiya-proekta-initsiativy-grazhdan.php)</t>
  </si>
  <si>
    <t>Подпрограмма "Благоустройство территорий муниципальных образований в Республике Алтай"</t>
  </si>
  <si>
    <t>Региональный проект "Формирование комфортной городской среды"</t>
  </si>
  <si>
    <t>01 января 2020 года</t>
  </si>
  <si>
    <t>Подпрограмма "Благоустройство территорий муниципальных образований в Республике Алтай" государственной программы Республики Алтай "Формирование современной городской среды"</t>
  </si>
  <si>
    <t>Постановление Правительства Республики Алтай от 29.08.20217 г. № 217 "Об утверждении государственной программы Республики Алтай "Формирование современной городской среды"</t>
  </si>
  <si>
    <t>https://minregion-ra.ru/wp-content/uploads/2017/05/217_2017.pdf</t>
  </si>
  <si>
    <t xml:space="preserve">Министерство регионального развития Республики Алтай
</t>
  </si>
  <si>
    <t>муниципальные образования в Республике Алтай</t>
  </si>
  <si>
    <t>Обеспечение доступным и комфортным жильем и коммунальными услугами граждан Российской Федерации</t>
  </si>
  <si>
    <t>Трудовое участие в реализации мероприятий по благоустройству дворовых территорий может осуществляться путем выполнения следующих видов работ (одного или нескольких): подготовка объекта (дворовой территории) к началу работ (земляные работы, демонтаж старого оборудования, уборка мусора); покраска оборудования; озеленение территории; посадка деревьев; охрана объекта (дворовой территории)</t>
  </si>
  <si>
    <t>Статистические данные о количестве жителей муниципальных образований, в которых в 2020 году реализованы проекты по формированию современной городской среды</t>
  </si>
  <si>
    <t>Протокол общего собрания собственников помещений многоквартирных домов, Протокол собрания по выбору территорий</t>
  </si>
  <si>
    <t>протокол собрания Общественной комиссии по реализации приоритетного проекта "Формирование городской среды"</t>
  </si>
  <si>
    <t xml:space="preserve">протокол зседания межведомственной комиссии </t>
  </si>
  <si>
    <t>Участие могут принимать муниципальные образования с численностью населения свыше 1000 человек (всего 27 муниципальных образований, из них - городской округ, 26 сельских поселений)</t>
  </si>
  <si>
    <t>https://gornoaltaysk.ru/formirovanie-sovremennoy-gorodskoy-sredy/</t>
  </si>
  <si>
    <t xml:space="preserve">https://vk.com/official_ga, https://ok.ru/officialga </t>
  </si>
  <si>
    <t>http://gorodsreda.ru</t>
  </si>
  <si>
    <t xml:space="preserve">Самый большой охват населения – встреча с представителями каждого многоквартирного дома, а также рекламная кампания, проводимая через социальные сети и сетевые СМИ.
https://www.gorno-altaisk.info/news/100465                            </t>
  </si>
  <si>
    <t>Субсидии на реализацию мероприятий по благоустройству сельских территорий</t>
  </si>
  <si>
    <t>Мероприятие «Благоустройство сельских территорий» подпрограммы «Создание и развитие инфраструктуры на сельских территориях» государственной программы Республики Алтай «Комплексное развитие сельских территорий»</t>
  </si>
  <si>
    <t>Постановление Правительства Республики Алтай от 26 декабря 2019 года № 379 «Об утверждении государственной программы Республики Алтай
«Комплексное развитие сельских территорий»</t>
  </si>
  <si>
    <t>http://mcx-altai.ru/attachments/article/1946/1_20210311-postanovlenie-pravitelstva-respubliki-altaj-ot-26-dekabrja-2019-g.-№-379.docx</t>
  </si>
  <si>
    <t>Министерство сельского хозяйства Республики Алтай</t>
  </si>
  <si>
    <t>сельское поселение</t>
  </si>
  <si>
    <t xml:space="preserve">Министерство сельского хозяйства Российской Федерации </t>
  </si>
  <si>
    <t>трудовое участие, волонтерская деятельность, предоставление помещений и технических средств</t>
  </si>
  <si>
    <t>Согласно паспортам проектов, предоставленных на конкурсный отбор</t>
  </si>
  <si>
    <t>В реализации практики могут принимать участие только сельские поселения</t>
  </si>
  <si>
    <t>http://mcx-altai.ru/proekt-gosudarstvennoj-programmy-kompleksnogo-razvitiya-sela</t>
  </si>
  <si>
    <t>На официальном сайте Министерства сельского хозяйства Республики Алтай</t>
  </si>
  <si>
    <t>Реализация проектов развития общественной инфраструктуры, основанных на местных инициативах, на территории Республики Башкортостан</t>
  </si>
  <si>
    <t>17 октября 2019 года</t>
  </si>
  <si>
    <t>Государственная программа «Управление государственными финансами и государственным долгом Республики Башкортостан», утвержденная постановлением Правительства Республики Башкортостан от 12 сентября 2012 года № 315 (подпрограмма «Организация межбюджетных отношений», основное мероприятие «Осуществление мер финансовой поддержки бюджетов муниципальных образований Республики Башкортостан, направленных на обеспечение их сбалансированности и повышение уровня бюджетной обеспеченности», мероприятие «Поддержка проектов развития общественной инфраструктуры, основанных на местных инициативах»).</t>
  </si>
  <si>
    <t>1. Постановление Правительства Республики Башкортостан 
от 8 июня 2016 года № 230 «О реализации на территории Республики Башкортостан проектов развития общественной инфраструктуры, основанных на местных инициативах» (документ утратил силу с 19 апреля 2017 года). 
2. Постановление Правительства Республики Башкортостан 
от 21 февраля 2017 года № 57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19 апреля 2017 года № 168 «О реализации на территории Республики Башкортостан проектов развития общественной инфраструктуры, основанных на местных инициативах».</t>
  </si>
  <si>
    <t>https://npa.bashkortostan.ru/13899/ 
https://npa.bashkortostan.ru/16184/
https://npa.bashkortostan.ru/16583/</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</si>
  <si>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</si>
  <si>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http://docs.cntd.ru/document/553216517</t>
  </si>
  <si>
    <t xml:space="preserve">Министерство финансов Республики Башкортостан, 
ГБНУ «Академия наук Республики Башкортостан» </t>
  </si>
  <si>
    <t>Министерство финансов Республики Башкортостан</t>
  </si>
  <si>
    <t>Местные бюджеты</t>
  </si>
  <si>
    <t>Вклад материалами, безвозмездный труд, вклад 
в форме техники и транспортных средств.</t>
  </si>
  <si>
    <t>Подсчет благополучателей осуществлен по данным 
из конкурсных заявок.</t>
  </si>
  <si>
    <t>https://bashstat.gks.ru/storage/mediabank/Численность%20населения%20по%20городским%20округам%20и%20%20муниципальным%20районам%20Республики%20Башкортостан%20на%201%20января%202020%20г.pdf</t>
  </si>
  <si>
    <t>Центр изучения гражданских инициатив – структурное подразделение ГАНУ «Институт стратегических исследований Республики Башкортостан» Академии наук Республики Башкортостан.</t>
  </si>
  <si>
    <t>Государственное задание</t>
  </si>
  <si>
    <t>Анкетная ведомость и опросые листы.</t>
  </si>
  <si>
    <t>Фото и видеофиксация, протокол собрания, регистрационные листы
https://vk.com/cigi_isi_rb?z=photo-135547201_457246576%2Fwall-135547201_2334
https://vk.com/cigi_isi_rb?z=photo-135547201_457245142%2Fwall-135547201_2041
https://vk.com/cigi_isi_rb?z=photo-135547201_457246547%2Fwall-135547201_2309
https://vk.com/cigi_isi_rb?z=photo-135547201_457245894%2Fwall-135547201_2140</t>
  </si>
  <si>
    <t xml:space="preserve">Нет </t>
  </si>
  <si>
    <t>Протокол заседания конкурсной комиссии.
https://ppmi.bashkortostan.ru/document#gallery-5</t>
  </si>
  <si>
    <t xml:space="preserve">Автоматическая оценка проектов на основе критериев. 
Отбор заявок победителей осуществлялся с помощью информационной системы управления. 
https://ppmi.bashkortostan.ru/ </t>
  </si>
  <si>
    <t>В 2020 году поступили заявки от 725 муниципальных образований.</t>
  </si>
  <si>
    <t xml:space="preserve">Управление проектом происходит с помощью собственной информационной системы управления, данная система позволяет подавать конкурсную документацию через интернет, а также производить ее проверку, что обеспечивает высокий уровень оформления документов. Также система осуществляет подсчет баллов и позволяет выгружать статистику.
</t>
  </si>
  <si>
    <t xml:space="preserve">https://ppmi.bashkortostan.ru/ </t>
  </si>
  <si>
    <t>https://vk.com/cigi_isi_rb</t>
  </si>
  <si>
    <t>https://vk.com/cigi_isi_rb?z=photo-135547201_456239017%2Falbum-135547201_0%2Frev</t>
  </si>
  <si>
    <t xml:space="preserve">Информация о ППМИ постоянно озвучивалась на телевидении и радиоканалах, в периодических печатных изданиях. Информация размещалась на интернет порталах всех муниципальных образований – городских округов, 
сельских поселений и муниципальных районов. Создавались тематические группы в социальных сетях – «Вконтакте».
https://vk.com/cigi_isi_rb?z=photo-135547201_457243318%2Fwall-135547201_1663 
https://vk.com/cigi_isi_rb?z=photo-135547201_457246371%2Fwall-135547201_2274
https://vk.com/cigi_isi_rb?z=photo-135547201_457243379%2Fwall-135547201_1684
https://vk.com/cigi_isi_rb?z=photo-135547201_457244074%2Fwall-135547201_1938
https://vk.com/cigi_isi_rb?z=photo-135547201_457246077%2Fwall-135547201_2183
</t>
  </si>
  <si>
    <t xml:space="preserve">Силами муниципальных образований и инициативных групп готовились объявления и плакаты, организовывались концертные программы, конкурс рисунков и флэшмобы в дошкольных образовательных учреждениях
https://vk.com/cigi_isi_rb?z=photo-135547201_457243375%2Fwall-135547201_1682
https://vk.com/cigi_isi_rb?z=photo-135547201_457243503%2Fwall-135547201_1752
https://vk.com/cigi_isi_rb?z=photo-135547201_457243302%2Fwall-135547201_1662
https://vk.com/cigi_isi_rb?z=photo-135547201_457243888%2Fwall-135547201_1887
https://vk.com/cigi_isi_rb?z=photo-135547201_457243689%2Fwall-135547201_1808
</t>
  </si>
  <si>
    <t>Проводятся обучающие мероприятий для представителей муниципальных образований, а также инициативных групп. Мероприятия проводятся ежегодно перед раундом ППМИ в течение нескольких недель по всей республике кустовым методом.</t>
  </si>
  <si>
    <t>Реализация наказов избирателей, адресованных сенаторам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Государственного Собрания – Курултая Республики Башкортостан в ходе осуществления ими депутатской деятельности</t>
  </si>
  <si>
    <t>Государственная программа «Управление государственными финансами и государственным долгом Республики Башкортостан», утвержденная постановлением Правительства Республики Башкортостан от 12 сентября 2012 года № 315 (подпрограмма «Организация межбюджетных отношений», Основное мероприятие «Осуществление мер финансовой поддержки бюджетов муниципальных образований Республики Башкортостан, направленных на обеспечение их сбалансированности и повышение уровня бюджетной обеспеченности», мероприятие «Поддержка мер по обеспечению исполнения расходных обязательств местных бюджетов по решению вопросов местного значения»).</t>
  </si>
  <si>
    <t>1. Постановление Правительства Республики Башкортостан от 4 мая 2010 года № 160 «Об утверждении Порядка предоставления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вопросам местного значения» (документ утратил силу с 17 апреля 2019 года).
2. Постановление Правительства Республики Башкортостан от 1 июня 2016 года № 212 «О внесении изменений в государственную программу "Управление государственными финансами и государственным долгом Республики Башкортостан"».
3. Постановление Правительства Республики Башкортостан от 17 апреля 2019 года № 214 «Об утверждении Порядка предоставления и расходования субсидий бюджетам муниципальных районов и городских округов Республики Башкортостан из бюджета Республики Башкортостан на софинансирование расходных обязательств, возникающих при выполнении полномочий органов местного самоуправления по отдельным вопросам местного значения».</t>
  </si>
  <si>
    <t>http://docs.cntd.ru/document/935120175
https://npa.bashkortostan.ru/13838/
https://npa.bashkortostan.ru/23770/</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</si>
  <si>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</si>
  <si>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1.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депутатам Государственного Собрания – Курултая Республики Башкортостан, утвержденное распоряжением Председателя Государственного Собрания – Курултая Республики Башкортостан от 28 мая 2015 года № 49-р.
2. Положение о порядке формирования реестра наказов избирателей для предоставления субсидий бюджетам муниципальных районов, городских округов Республики Башкортостан из бюджета Республики Башкортостан на софинансирование мероприятий по реализации наказов избирателей, адресованных членам Совета Федерации Федерального Собрания Российской Федерации от Республики Башкортостан, депутатам Государственной Думы Федерального Собрания Российской Федерации, избранным в Республике Башкортостан, утвержденное распоряжением Председателя Государственного Собрания – Курултая Республики Башкортостан от 25 мая 2017 года № 69-р.</t>
  </si>
  <si>
    <t>http://gsrb.ru/ru/nakazy-izbirateley/</t>
  </si>
  <si>
    <t>Секретариат Государственного Собрания - Курултая Республики Башкортостан / Администрации муниципальных районов и городских округов Республики Башкортостан.
Реализуется по предложению Регионального отделения Партии «Единая Россия»</t>
  </si>
  <si>
    <t>Безвозмездно предоставлены материалы, транспортные средства и другие механизмы,  безвозмездный труд населения.</t>
  </si>
  <si>
    <t>Нет данных (ввиду большого количества заявок с незначительной стоимостью, адресованных депутатам, общее количество поданных заявок не оценивалось).</t>
  </si>
  <si>
    <t>Подсчет не производился.</t>
  </si>
  <si>
    <t>Протоколы проведения собраний, сходов граждан.</t>
  </si>
  <si>
    <t>https://bashkortostan.er.ru/activity/news/zhiteli-bashkirii-priglashayutsya-k-uchastiyu-v-oprose-po-blagoustrojstvu-naselennyh-punktov;
https://docs.google.com/forms/d/e/1FAIpQLScd-k44mjjTj89yPW-GMFGE2oor8Yx0xqJlEzRTiweLQaVbCA/closedform</t>
  </si>
  <si>
    <t>В 2019 году поступили заявки от 54 муниципальных районов и 9 городских округов.
Указанные муниципальные районы и городские округа составляют 100 процентов от общего количества муниципальных районов и городских округов в субъекте Российской Федерации.</t>
  </si>
  <si>
    <t>http://xn----7sbbpcbc8bep3a0ll.xn--p1ai/</t>
  </si>
  <si>
    <t>http://gsrb.ru/ru/nakazy-izbirateley/
https://www.instagram.com/khismatullina_ruzaliya/
https://vk.com/id500278494
https://www.facebook.com/profile.php?id=100024377946451</t>
  </si>
  <si>
    <t>https://cloud.mail.ru/public/4d5m/2pz11yaGj</t>
  </si>
  <si>
    <t xml:space="preserve">Рекламная кампания проводилась на сайте Башкортостанского регионального отделения Партии "ЕДИНАЯ РОССИЯ", в социальных сетях местных отделений Партии "ЕДИНАЯ РОССИЯ". Подготовлен и размещен на сайте БРО Партии "ЕДИНАЯ РОССИЯ" алгоритм участия населения в проекте "Реальные дела" https://bashkortostan.er.ru/multimedia/video/7-shagov-proekta-realnye-dela. 
Организована публичная оценка населением проведенных работ по проекту https://bashkortostan.er.ru/activity/news/zhiteli-bashkortostana-mogut-ocenit-kachestvo-rabot-po-partproektam-gorodskaya-sreda-i-realnye-dela. </t>
  </si>
  <si>
    <t>Расширенное заседание общественного совета проекта "Реальные дела" в формате видеоконференцсвязи, 1 раз в год, состав участников: члены общественного совета, исполнительные секретари местных отделений партии «Единая Россия», председатели и секретари советов муниципальных образований Республики Башкортостан, представители администраций муниципальных образований Республики Башкортостан.
Выступление на заседаниях фракций политических партий, 2 раза в год, состав участников: депутаты Государственного Собрания - Курултая Республики Башкортостан.</t>
  </si>
  <si>
    <t xml:space="preserve">Реализация проектов по комплекному благоустройству дворовых территорий муниципальных образований Республики Башкортостан «Башкирские дворики»
</t>
  </si>
  <si>
    <t>25 февраля 2020 года</t>
  </si>
  <si>
    <t>Государственная программа «Формирование современной городской среды в Республике Башкортостан», утвержденная постановлением Правительства Республики Башкортостан
от 30 августа 2017 года № 401 (подпрограмма «Благоустройство территорий муниципальных образований Республики Башкортостан» / основное мероприятие «Осуществление мероприятий по благоустройству общественных и дворовых территорий многоквартирных домов» /мероприятие «Реализация проектов по комплексному благоустройству дворовых территорий муниципальных образований Республики Башкортостан "Башкирские дворики"»).</t>
  </si>
  <si>
    <t>1. Постановление Правительства Республики Башкортостан от 12 февраля 2018 года № 61 «О реализации на территории Республики Башкортостан проектов по благоустройству дворовых территорий, основанных на местных инициативах» (документ утратил силу с 13 февраля 2019 года).
2. Постановление Правительства Республики Башкортостан от 4 мая 2018 года № 194 «О внесении изменений в государственную программу "Формирование современной городской среды в Республике Башкортостан"».
3. Постановление Правительства Республики Башкортостан от 13 февраля 2019 года № 69 «О реализации проектов по комплексному благоустройству дворовых территорий муниципальных образований Республики Башкортостан "Башкирские дворики"».</t>
  </si>
  <si>
    <t>https://npa.bashkortostan.ru/19429/
https://npa.bashkortostan.ru/19984/
https://npa.bashkortostan.ru/23134/</t>
  </si>
  <si>
    <t>Распоряжение Правительства Республики Башкортостан от 25 сентября 2018 года № 911-р об утверждении Приоритетной региональной программы «Развитие инициативного бюджетирования в Республике Башкортостан». 
Срок реализации 2018-2022 годы.</t>
  </si>
  <si>
    <t>Министерство жилищно-коммунально хозяйства 
Республики Башкортостан</t>
  </si>
  <si>
    <t>Экспертная оценка.</t>
  </si>
  <si>
    <t>Протоколы общих собраний собственников помещений многоквартирных домов.</t>
  </si>
  <si>
    <t>Нет данных</t>
  </si>
  <si>
    <t>В 2020 году поступили заявки от 63 муниципальных образований.</t>
  </si>
  <si>
    <t>Проекты размещаются на сайте https://regionrb.info/</t>
  </si>
  <si>
    <t>https://house.bashkortostan.ru/activity/14535/</t>
  </si>
  <si>
    <t>Рекламная кампания проводилась с использованием средств массовой информации: телевидения, социальные сети, официальный сайт МинЖКХ РБ - https://house.bashkortostan.ru/presscenter/news/280417/  https://house.bashkortostan.ru/presscenter/news/280963/ https://house.bashkortostan.ru/presscenter/news/282303/ https://house.bashkortostan.ru/presscenter/news/282667/  https://house.bashkortostan.ru/presscenter/news/283695/  https://house.bashkortostan.ru/presscenter/news/285395/   https://house.bashkortostan.ru/presscenter/news/291194/  https://house.bashkortostan.ru/presscenter/news/292998/  https://house.bashkortostan.ru/presscenter/news/294003/  https://house.bashkortostan.ru/presscenter/news/294155/  https://house.bashkortostan.ru/presscenter/news/300232/  https://house.bashkortostan.ru/presscenter/news/300422/  https://house.bashkortostan.ru/presscenter/news/303507/  https://house.bashkortostan.ru/presscenter/news/308325/  https://house.bashkortostan.ru/presscenter/news/310550/  https://house.bashkortostan.ru/presscenter/news/315188/  https://house.bashkortostan.ru/presscenter/news/316856/  https://house.bashkortostan.ru/presscenter/news/318596/  https://house.bashkortostan.ru/presscenter/news/331346/  https://house.bashkortostan.ru/presscenter/news/335306/  https://house.bashkortostan.ru/presscenter/news/358918/</t>
  </si>
  <si>
    <t>Методические рекомендации по проведению мероприятий "Башкирские дворики"
https://drive.google.com/open?id=1EmUKUAkFpKnbEeybKuzcc-yyzGGm9BFk</t>
  </si>
  <si>
    <t>Обучающие мероприятия не проводились.</t>
  </si>
  <si>
    <t>Республиканский конкурс "Лучшее территориальное общественное самоуправление"</t>
  </si>
  <si>
    <t>Конкурс "Лучший ТОС"</t>
  </si>
  <si>
    <t xml:space="preserve">Государственная программа Республики Бурятия "Совершенствование государственного управления", подпрограмма "Содействие в развитии форм непосредственного осуществления населением местного самоуправления", основное мероприятие "Развитие территориальных общественных самоуправлений"
</t>
  </si>
  <si>
    <t>Постановление Правительства РБ от 10.04.2013 N 180 "Об утверждении Государственной программы Республики Бурятия "Совершенствование государственного управления (2013 - 2020 годы)"</t>
  </si>
  <si>
    <t>http://docs.cntd.ru/document/473803135</t>
  </si>
  <si>
    <t>Закон Республики Бурятия от 09.05.2018 N 2940-V "О государственной поддержке территориального общественного самоуправления в Республике Бурятия"</t>
  </si>
  <si>
    <t>https://docs.cntd.ru/document/550102882</t>
  </si>
  <si>
    <t>Постановление Правительства Республики Бурятия от 19.05.2014 г. №244, действует на постоянной основе</t>
  </si>
  <si>
    <t>http://docs.cntd.ru/document/412308423</t>
  </si>
  <si>
    <t>Администрация Главы Республики Бурятия и Правительства Республики Бурятия (Комитет территориального развития)</t>
  </si>
  <si>
    <t>820 Администрация Главы Республики Бурятия и Правительства Республики Бурятия</t>
  </si>
  <si>
    <t>Территориальное общественное самоуправление</t>
  </si>
  <si>
    <t>количество жителей, проживающих в границах ТОС – победителей и призеров конкурса</t>
  </si>
  <si>
    <t>https://burstat.gks.ru/demo</t>
  </si>
  <si>
    <t xml:space="preserve">Ресурсный центр поддержки ТОС Республики Бурятия при Ассоциации «Совет муниципальных образований Республики Бурятия» </t>
  </si>
  <si>
    <t>республиканский бюджет</t>
  </si>
  <si>
    <t>Организации территориального общественного самоуправления до 1 октября представляют в Комитет территориального развития Администрации Главы Республики Бурятия и Правительства Республики Бурятия на бумажном и электронном носителях заявку на участие в конкурсе и необходимые материалы</t>
  </si>
  <si>
    <t xml:space="preserve">Конкурсная комиссия до 30 декабря подводит результаты конкурса по каждой группе территорий и определяет победителей конкурса
</t>
  </si>
  <si>
    <t>Информационно-методическая поддержка местных инициатив граждан</t>
  </si>
  <si>
    <t>https://rctos.ru/</t>
  </si>
  <si>
    <t>https://vk.com/tosrbru</t>
  </si>
  <si>
    <t>Вебинары с председателями, активистами ТОС</t>
  </si>
  <si>
    <t>Реализация на территории  Республики Дагестан
проектов местных инициатив</t>
  </si>
  <si>
    <t>проект "Местные инициативы"</t>
  </si>
  <si>
    <t>Постановление
от 25 апреля 2016 г. N 110</t>
  </si>
  <si>
    <t xml:space="preserve">Министерство экономики и территориального развития РД </t>
  </si>
  <si>
    <t>администрации муниципальных районов и городских округов</t>
  </si>
  <si>
    <t>сход жителей</t>
  </si>
  <si>
    <t xml:space="preserve">выполнение работ, предоставление материалов </t>
  </si>
  <si>
    <t>http://www.minec-rd.ru/mestnye-initsiativy</t>
  </si>
  <si>
    <t>https://www.instagram.com/minec_rd05/</t>
  </si>
  <si>
    <t>Формирование современной городской среды в Республике Дагестан</t>
  </si>
  <si>
    <t>Городская среда</t>
  </si>
  <si>
    <t xml:space="preserve">ГОСУДАРСТВЕННОЙ ПРОГРАММЫ
РЕСПУБЛИКИ ДАГЕСТАН "ФОРМИРОВАНИЕ СОВРЕМЕННОЙ
ГОРОДСКОЙ СРЕДЫ В РЕСПУБЛИКЕ ДАГЕСТАН
</t>
  </si>
  <si>
    <t>10.04.2019 №76А</t>
  </si>
  <si>
    <t xml:space="preserve"> http://pravo.e-dag.ru,
</t>
  </si>
  <si>
    <t>Минстрой РД</t>
  </si>
  <si>
    <t>городские округа и муниципальные районы</t>
  </si>
  <si>
    <t>Федеральный проект "Формирование комфортной городской среды" в составе национального проекта "Жилье и городская среда"</t>
  </si>
  <si>
    <t>Правительство Республики Дагестан</t>
  </si>
  <si>
    <t>анкетирование и опросы по выбору территорий для благоустройства</t>
  </si>
  <si>
    <t>проведение рейтингового голосования в городских округах</t>
  </si>
  <si>
    <t>рейтинговое голосование, проведение слушаний и обсуждений муниципальных программ</t>
  </si>
  <si>
    <t>принятие НПА муниципальный районов и городских оуругов (51)</t>
  </si>
  <si>
    <t xml:space="preserve">Стимулирование активизации работы органов местного самоуправления муниципальных образований Кировской области по введению самообложения граждан
</t>
  </si>
  <si>
    <t>самообложение граждан</t>
  </si>
  <si>
    <t>с 2017 года (рассрочка платежей по самообложению на три года в соответствии с решениями, принятыми в муниципальных образованиях)</t>
  </si>
  <si>
    <t>Государственная программа Кировской области "Содействие развитию гражданского общества и реализация государственной 
национальной политики"
Отдельное мероприятие "Распределение межбюджетных трансфертов, направленных на активизацию работы органов местного самоуправления городских и сельских поселений, городских округов области по введению самообложения граждан"</t>
  </si>
  <si>
    <t>Постановление Правительства Кировской области от 28.12.2012 № 189/839 "Об утверждении государственной программы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 (утратило силу)
Постановление Правительства Кировской области от 30.12.2019 № 755-П "Об утверждении государственной программы Кировской области "Содействие развитию гражданского общества и реализация государственной национальной политики" (действует)</t>
  </si>
  <si>
    <t>Закон Кировской области от 19.12.2019 № 325-ЗО "Об областном бюджете на 2020 год и на плановый период 2021 и 2022 годов"</t>
  </si>
  <si>
    <t>https://doc.kirovreg.ru/upload/sed/2020/03/6/0.94541000%201583452785/325-%D0%97%D0%9E%20%D0%BE%D1%82%2019.12.2019.pdf</t>
  </si>
  <si>
    <t>Постановление Правительства Кировской области от 28.01.2021 № 38-П "Об утверждении методики распределения и правил предоставления из областного бюджета местным бюджетам иных межбюджетных трансфертов, направленных на активизацию работы органов местного самоуправления муниципальных образований Кировской области по введению самообложения граждан"</t>
  </si>
  <si>
    <t>https://doc.kirovreg.ru/upload/sed/2021/01/29/0.49829100%201611925306/38-%D0%9F%20%D0%BE%D1%82%2028.01.2021.pdf</t>
  </si>
  <si>
    <t>министерство финансов Кировской области</t>
  </si>
  <si>
    <t xml:space="preserve">иные межбюджетные трансферты местным бюджетам из областного бюджета на цели, принятые на местном референдуме (сходе граждан), такие как: проведение ремонтных работ проезжих частей улиц, на ремонт водопровода, на строительство детских и спортивных площадок, на выполнение противопожарных мероприятий, благоустройство кладбищ, устройство и содержание уличного освещения, вывоз мусора и т.п. </t>
  </si>
  <si>
    <t>городские и сельские поселения, муниципальные и городские округа</t>
  </si>
  <si>
    <t>финансирование из бюджетов муниципальных образований не осуществляется</t>
  </si>
  <si>
    <t>финансирование со стороны юридических лиц и индивидуальных предпринимателей не осуществляется</t>
  </si>
  <si>
    <t>финансирование из федерального бюджета не осуществляется</t>
  </si>
  <si>
    <t xml:space="preserve">направления расходования средств самообложения граждан устанавливаются в решении референдума (схода граждан)  </t>
  </si>
  <si>
    <t>не ведется учет числа благополучателей</t>
  </si>
  <si>
    <t>на местном референдуме (сходе граждан) принимается решение о введении самообложения граждан, а также размер разовых платежей. Уплата платежей по самообложению производится всеми гражданами, достигшими 18-летнего возраста, место жительства которых расположено в границах определенного муниципального образования</t>
  </si>
  <si>
    <t>участвовало 142 городских и сельских поселений, 1 городской округ (данными о численности участвоваших не располагаем)</t>
  </si>
  <si>
    <t>Информационные раздаточные материалы, инфографика не предусмотрены</t>
  </si>
  <si>
    <r>
      <rPr>
        <sz val="10"/>
        <rFont val="Times New Roman"/>
        <family val="1"/>
      </rPr>
      <t xml:space="preserve">раздел "Самообложение" на официальном сайте министерства финансов Кировской области </t>
    </r>
    <r>
      <rPr>
        <u/>
        <sz val="10"/>
        <color theme="10"/>
        <rFont val="Times New Roman"/>
        <family val="1"/>
      </rPr>
      <t>http://www.minfin.kirov.ru/otkrytyy-byudzhet/dlya-spetsialistov/narodniy-byudzhet/self-imposition/</t>
    </r>
  </si>
  <si>
    <r>
      <t xml:space="preserve">Вся информация о самообложении граждан освещается </t>
    </r>
    <r>
      <rPr>
        <b/>
        <sz val="10"/>
        <color rgb="FF000000"/>
        <rFont val="Times New Roman"/>
        <family val="1"/>
      </rPr>
      <t xml:space="preserve">в разделе "Новости" </t>
    </r>
    <r>
      <rPr>
        <sz val="10"/>
        <color rgb="FF000000"/>
        <rFont val="Times New Roman"/>
        <family val="1"/>
      </rPr>
      <t xml:space="preserve">на официальном сайте министерства финансов Кировской области  hhttp://minfin.kirov.ru/novosti-i-anonsy/other/10599/?sphrase_id=67418, http://minfin.kirov.ru/novosti-i-anonsy/raskhody/10692/?sphrase_id=67418, http://minfin.kirov.ru/novosti-i-anonsy/other/11023/?sphrase_id=67418
Также информация  о самообложении граждан публикуется </t>
    </r>
    <r>
      <rPr>
        <b/>
        <sz val="10"/>
        <color rgb="FF000000"/>
        <rFont val="Times New Roman"/>
        <family val="1"/>
      </rPr>
      <t xml:space="preserve">на официальном сайте Правительства Кировской области </t>
    </r>
    <r>
      <rPr>
        <sz val="10"/>
        <color rgb="FF000000"/>
        <rFont val="Times New Roman"/>
        <family val="1"/>
      </rPr>
      <t>https://www.kirovreg.ru/news/detail.php?ID=79615&amp;sphrase_id=494692</t>
    </r>
  </si>
  <si>
    <t>01 января 2017</t>
  </si>
  <si>
    <t>https://kirovreg.ru/publ/AkOUP.nsf/de017b98ac867075c32571440061b25c/c5cfc3177e78934f43257dcf00397b26?OpenDocument https://doc.kirovreg.ru/upload/sed/2020/03/6/0.43394700%201583452706/755-%D0%9F%20%D0%BE%D1%82%2030.12.2019.pdf</t>
  </si>
  <si>
    <t xml:space="preserve">Государственная программа Кировской области "Управление государственными финансами и регулирование межбюджетных отношений"  Отдельное мероприятие "Повышение финансовой грамотности населения"
</t>
  </si>
  <si>
    <t>Постановление Правительства Кировской области от 25.12.2019 N 695-П "Об утверждении государственной программы Кировской области "Управление государственными финансами и регулирование межбюджетных отношений"</t>
  </si>
  <si>
    <t>Постановление Правительства Кировской области от 15.03.2018 № 122-П "О реализации проекта "Народный бюджет"</t>
  </si>
  <si>
    <t>http://www.kirovreg.ru/publ/AkOUP.nsf/de017b98ac867075c32571440061b25c/a477b32730cd333b43258256004958f1?OpenDocument</t>
  </si>
  <si>
    <t>Министерство финансов Кировской области</t>
  </si>
  <si>
    <t>грант в форме иных межбюджетных трансфертов</t>
  </si>
  <si>
    <t xml:space="preserve">администрация муниципального образования-участника проекта </t>
  </si>
  <si>
    <t>не ведется учет благополучателей</t>
  </si>
  <si>
    <t>150 человек в 10 муниципальных образованиях</t>
  </si>
  <si>
    <t>Участие принимают все городские поселения и городские и муниципальные округа Кировской области</t>
  </si>
  <si>
    <t>До 2020 года в проекте принимали участия только городские поселения Кировской области. В 2019 году в качесте пилотной версии проект был реализован в муниципальном образовании "Город Киров". Реализация прошла успешно и вызвала интерес жителей, потому было принято решение с 2020 года осществлять реализацию в городских поселениях, муниципальных округах и городских округах Кировской области</t>
  </si>
  <si>
    <t>Для работы бюджетной комиссии, информирования населения, а также мониторинга реализации проекта используется социальная сеть ВКонтакте. Для каждого муниципального образования создается группа в социалной сети Вконтакте. Пример группы пгт Вахруши https://vk.com/narodnijbudjet.vaxrushi</t>
  </si>
  <si>
    <t>http://www.minfin.kirov.ru/otkrytyy-byudzhet/dlya-spetsialistov/narodniy-byudzhet/nb/2019/</t>
  </si>
  <si>
    <t xml:space="preserve">Официальная группа </t>
  </si>
  <si>
    <t>http://minfin.kirov.ru.opt-images.1c-bitrix-cdn.ru/upload/medialibrary/documents/2019_03/%D0%BD%D0%B1.png</t>
  </si>
  <si>
    <t xml:space="preserve">Официальная группа министерства финансов ВКонтакте https://vk.com/minfinkirov
Ссылки на группы ВКонтакте муниципальных образований, участвующих в проекте в 2019-2020 годах: 
https://vk.com/club94435490
https://vk.com/narodnijbudjet.vaxrushi
https://vk.com/club94393359
https://vk.com/club182279278
https://vk.com/public182427739
https://vk.com/club94435950
https://vk.com/club182304009
https://vk.com/club182397844
https://vk.com/club166328501
https://vk.com/club182422763
</t>
  </si>
  <si>
    <t>Для муниципальных образований готовится раздаточный материал с руководством по реализации проекта, включающий рекомендации и примеры проведения рекламной кампании, рекрутинга жителей в бюджетную комиссию и организацию непосредственной работы бюджетной комиссии. Ссылка на руководство http://www.minfin.kirov.ru/upload/iblock/907/ci2zk6tduljoqy875gfk3qwgjumb266w.pdf . Презентация для граждан http://www.minfin.kirov.ru/upload/iblock/2d4/e4qd3cav8rtr831nqht72scgqk9ixuov.pdf</t>
  </si>
  <si>
    <t xml:space="preserve">1. Организационное собрание проводится 1 раз в год.
2. Презентация проекта проводится от 1 раза. </t>
  </si>
  <si>
    <t>1. Организационное собрание - 35 человек                        2. Учет участников не ведется</t>
  </si>
  <si>
    <r>
      <t xml:space="preserve">Разработка и отбор инициативных предложений происходит на заседаниях </t>
    </r>
    <r>
      <rPr>
        <b/>
        <sz val="10"/>
        <color rgb="FF000000"/>
        <rFont val="Times New Roman"/>
        <family val="1"/>
      </rPr>
      <t>бюджетной комиссии*</t>
    </r>
    <r>
      <rPr>
        <sz val="10"/>
        <color rgb="FF000000"/>
        <rFont val="Times New Roman"/>
        <family val="1"/>
      </rPr>
      <t xml:space="preserve">, состоящей из местных жителей. По ссылке размещена видеозапись одного из заседаний в пгт Оричи в 2019 году https://vk.com/club182304009?z=video-182304009_456239024%2Fb30de7868e7f4989b1%2Fpl_wall_-182304009 </t>
    </r>
  </si>
  <si>
    <r>
      <t xml:space="preserve">Инициативные предложения, которые в дальнейшем будут реализованы, выбираются путем </t>
    </r>
    <r>
      <rPr>
        <b/>
        <sz val="10"/>
        <color rgb="FF000000"/>
        <rFont val="Times New Roman"/>
        <family val="1"/>
      </rPr>
      <t>голосования бюджетной комиссии**</t>
    </r>
  </si>
  <si>
    <r>
      <t>1. Организационное собрание для муниципальных образований - участников проекта. Собрание проводится с целью методологической помощи в организации проекта в муниципальных образованиях. В собрании принимают участие сотрудники администрации и</t>
    </r>
    <r>
      <rPr>
        <b/>
        <sz val="10"/>
        <color rgb="FF000000"/>
        <rFont val="Times New Roman"/>
        <family val="1"/>
      </rPr>
      <t xml:space="preserve"> модераторы проекта***</t>
    </r>
    <r>
      <rPr>
        <sz val="10"/>
        <color rgb="FF000000"/>
        <rFont val="Times New Roman"/>
        <family val="1"/>
      </rPr>
      <t xml:space="preserve"> от муниципальных образований. http://www.minfin.kirov.ru/novosti-i-anonsy/byudzhet/9737/?sphrase_id=67497
2. Презентация проекта в муниципальном образовании с целью информирования населения о проекте. Проводится с участием представителей администрации муниципального образования и министерства финансов Кировской области.</t>
    </r>
  </si>
  <si>
    <t>https://kirovreg.ru/publ/AkOUP.nsf/de017b98ac867075c32571440061b25c/2bf5eb0d1b2998b1432584dc003b2a74?OpenDocument http://www.minfin.kirov.ru/upload/iblock/896/8962de802becf9df37a68f5719052ce7.pdf</t>
  </si>
  <si>
    <t>Государственная программа Кировской области "Содействие развитию гражданского общества и реализация государственной национальной политики", отдельное мероприятие "Реализация проекта по поддержке местных инициатив в Кировской области"</t>
  </si>
  <si>
    <t>Постановление Правительства Кировской области от 28.12.2012 № 189/839 "Об утверждении государственной программы Кировской области "Содействие развитию гражданского общества, поддержка социально ориентированных некоммерческих организаций и укрепление единства российской нации" на 2013 - 2021 годы"</t>
  </si>
  <si>
    <t>http://www.kirovreg.ru/publ/AkOUP.nsf/de017b98ac867075c32571440061b25c/c5cfc3177e78934f43257dcf00397b26?OpenDocument</t>
  </si>
  <si>
    <t>Министерство социального развития Кировской области</t>
  </si>
  <si>
    <t>Субсидии местным бюджетам из областного бюджета на софинансирование инвестиционных программ и проектов развития общественной инфраструктуры муниципальных образований в Кировской области</t>
  </si>
  <si>
    <t>администрация муниципального образования</t>
  </si>
  <si>
    <t>трудовое участие, не требующее высокой квалификации - уборка территории, посадка растений и т.д.</t>
  </si>
  <si>
    <t>На основании сведений муниципальных образований, указанных в конкурсных заявках и подтвержденных документально - справки о численности жителей населенных пунктов, ТОСов, общестенных организаций и другое. Подписные листы, подтверждающие желание жителей определенной территории участвовать в реализации конкретного проекта и поддержать его деньгами. Схемы движения благополучателей (с указанием групп благополучателей и их численности) относительно запланированного объекта</t>
  </si>
  <si>
    <t>https://kirovstat.gks.ru/</t>
  </si>
  <si>
    <t>3 сотрудника министерства социального развития Кировской области</t>
  </si>
  <si>
    <t>Для фиксации использовались регистрационные списки участников собраний и конференций граждан, опросные листы, фото и видеоматериалы собраний</t>
  </si>
  <si>
    <t>Для опосредованного вовлечения граждан в процедуру ППМИ были использованы опросы и голосования в соцсетях, инициированные активными жителями. 
Учет количества вовлеченных граждан не велся.</t>
  </si>
  <si>
    <t>Конкурсная комиссия из представителей органов исполнительной власти Кировской области, а также по согласованию из представителей Законодательного Собрания Кировской области, общественных объединений в сфере местного самоуправления.</t>
  </si>
  <si>
    <t>Информационная система управления заявками ППМИ Кировской области позволяет: подавать заявки от муниципальных образований и загружать необходимые документы, формировать отчетную документацию (отчеты консультантов о проведенных собраниях граждан, отчетность в рамках заключенных соглашений), производить оценку конкурсных заявок в автоматическом режиме, заполнять соглашения и приложения к нему по упрощенной форме с дальнейшим выводом на печать, загружать фотографии реализованных проектов.</t>
  </si>
  <si>
    <t>http://www.socialkirov.ru/social/root/ppmi/Info.htm</t>
  </si>
  <si>
    <t>https://vk.com/ppmi43
https://www.facebook.com/groups/ppmi43/</t>
  </si>
  <si>
    <t>http://socialkirov.ru/images/PPMIImages/ППМИ_лого.png</t>
  </si>
  <si>
    <t>Вся информация о ППМИ доступна на официальных сайтах министерства социального развития (socialkirov.ru) и Правительства Кировской области (kirovreg.ru). Информация о практике ППМИ размещена на интернет-ресурсах муниципальных образований региона. Репортажи об открытии объектов, а также информация о ходе реализации Проекта вещается региональными телеканалами – «СТС – 9 канал», «ТНТ – 43 регион», «Рен ТВ. Киров», ГТРК «Вятка», «Первый городской». Интервью и репортажи транслируются на радиостанции «Эхо Москвы. Киров». Проект освещают районные и областные газеты. Статьи о реализации Проекта публикуются в журналах местных изданий («Товар-Деньги-Товар» и др.). В социальных сетях информирование о Проекте осуществлялось инициативными группами и администрациями муниципальных образований путем создания тематических сообществ на сайте «Вконтакте» (vk.com).</t>
  </si>
  <si>
    <t>В качестве раздаточных материалов использовались: операционное руководство Проекта по поддержке местных инициатив в Кировской области, инструкции по работе с информационной системой управления заявками, инструкции по заполнению отчетных форм в информационной системе управления заявками, памятки по проведению собраний, памятки по критериям конкурсного отбора, памятки по содержанию и порядку формирования конкурсных заявок. Презентации, инструкции и памятки размещаются в соответсвующем разделе портала социальных услуг -  / Проект по поддержке местных инициатив  / Реализация Проекта  / ППМИ - 2019. http://www.socialkirov.ru/social/root/ppmi/Realisation/2019.htm</t>
  </si>
  <si>
    <t>Проведено 3 обучающих тренинга для представителей муниипальных образований посредством видеоконференцсвязи. 03.07.2018 и 02.10.2018 и 04-07.11.2017. Точный подсчет участников не проводился, к видеосвязи были подключены все муниципальные районы и городские округа региона. Консультантами Проекта в рамках заключенного государственного контракта на оказание информационно-консультационных услуг проведено 10  кустовых семинаров для представителей муниципалитетов и жителей региона. Семинары состоялись до начала периода проведения собраний по выбору актуальных вопросов местного значения.</t>
  </si>
  <si>
    <t xml:space="preserve">1. Подсчет участников видеотренингов не проводился.
2. Участников выездных семинаров - 314 человек. </t>
  </si>
  <si>
    <t>Развитие инициативного бюджетирования в Краснодарском крае</t>
  </si>
  <si>
    <t>Государственная программа Краснодарского края "Региональная политика и развитие гражданского общества  (подпрограмма "Развитие инициативного бюджетирования в Краснодарском крае")</t>
  </si>
  <si>
    <t>Постановление главы администрации (губернатора) Краснодарского края от 06.11.2019 № 738
"О внесении изменений в некоторые нормативные правовые акты главы администрации (губернатора) Краснодарского края и об утверждении Порядков предоставления дотаций на содействие достижению и (или) поощрению достижения наилучших значений показателей деятельности органов местного самоуправления городских округов и муниципальных районов Краснодарского края и предоставления и распределения субсидий из краевого бюджета местным бюджетам муниципальных образований Краснодарского края на софинансирование расходных обязательств муниципальных образований Краснодарского края по проведению мероприятий по восстановлению (ремонту, благоустройству) воинских захоронений, установке мемориальных знаков на воинских захоронениях, нанесению имен погибших при защите Отечества на мемориальные сооружения воинских захоронений по месту захоронения в пределах полномочий, установленных законодательством Российской Федерации"</t>
  </si>
  <si>
    <t>https://admkrai.krasnodar.ru/upload/iblock/929/929e735a1bd74bc746554e0956b85848.pdf</t>
  </si>
  <si>
    <t>Постановление главы администрации (губернатора) Краснодарского края от 19.10.2015 № 975
"Об утверждении государственной программы Краснодарского края "Региональная политика и развитие гражданского общества"
(с 2020 года по 2024 год)</t>
  </si>
  <si>
    <t>https://economy.krasnodar.ru/gos-prog-kk/perech-gp/files/14_975_30.12.2020.rtf</t>
  </si>
  <si>
    <t xml:space="preserve">Постановление главы администрации (губернатора) Краснодарского края от 06.02.2020 № 70
"О краевом конкурсе по отбору проектов местных инициатив"
</t>
  </si>
  <si>
    <t>https://admkrai.krasnodar.ru/upload/iblock/7fb/7fbf0fe8cabed452fca8a88b2bf79a92.pdf</t>
  </si>
  <si>
    <t>Департамент внутренней политики администрации Краснодарского края</t>
  </si>
  <si>
    <t>Администрация Краснодарского края</t>
  </si>
  <si>
    <t>Муниципальные районы Краснодарского края</t>
  </si>
  <si>
    <t>https://www.gks.ru/folder/11110/document/13282</t>
  </si>
  <si>
    <t>Протокол заседания комиссии</t>
  </si>
  <si>
    <t>Муниципальные образования Краснодарского края: городские, сельские поселения, входящие в состав муниципального района Краснодарского края, с численностью населения до 10 тысяч человек</t>
  </si>
  <si>
    <t>https://open.krasnodar.ru/initiative/</t>
  </si>
  <si>
    <t>Распоряжение Правительства Челябинской области № 101-рп от 20.02.2020 «О направлении средств в виде дотации на поддержку мер по обеспечению сбалансированности местных бюджетов» (в редакции Распоряжения Правительства Челябинской области от 29.12.2020 № 1202-рп)</t>
  </si>
  <si>
    <t>«Реальные дела»</t>
  </si>
  <si>
    <t>20 февраля 2020 г.</t>
  </si>
  <si>
    <t>Закон Челябинской области «О некоторых вопросах правового регулирования отношений, связанных с инициативными проектами, выдвигаемыми для получения финансовой поддержки за счет межбюджетных трансфертов из областного бюджета» от 22.12.2020 года №288-ЗО (вступил в силу 01.01.2021)</t>
  </si>
  <si>
    <t>http://publication.pravo.gov.ru/Document/View/7400202012230002</t>
  </si>
  <si>
    <t>http://publication.pravo.gov.ru/Document/View/7400201902120003</t>
  </si>
  <si>
    <t>Управление по внутренней политике Правительства Челябинской области</t>
  </si>
  <si>
    <t>Правительство Челябинской области</t>
  </si>
  <si>
    <t>Дотации на поддержку мер по обеспечению сбалансированности местных бюджетов</t>
  </si>
  <si>
    <t xml:space="preserve">Косвенными благополучателями являются все жители муниципальных образований, в которых реализовывался проект "Реальные дела" </t>
  </si>
  <si>
    <t>https://chelstat.gks.ru/population</t>
  </si>
  <si>
    <t>Иной механизм (Проекты отбирались исходя из: письменных обращений граждан, поручений, основанных на обращениях граждан, поступивших по итогам выездных мероприятий руководства региона в муниципальные образования Челябинской области, перечня объектов, требующих первоочередной модернизацию (создания)</t>
  </si>
  <si>
    <t>Электронное голосование на платформе "Активный житель - 74" https://opros.gosuslugi74.ru/home</t>
  </si>
  <si>
    <t>Сайты муниципальных районов и городских округов</t>
  </si>
  <si>
    <t>Вебинары</t>
  </si>
  <si>
    <t>инициативные проекты, выдвигаемые для получения финансовой поддержки за счет субсидий из областного бюджета</t>
  </si>
  <si>
    <t>"Сделаем вместе"</t>
  </si>
  <si>
    <t>25 октября 2019 года</t>
  </si>
  <si>
    <t>1 октября 2020 года</t>
  </si>
  <si>
    <t>–</t>
  </si>
  <si>
    <t>Областной закон от 25.12.2018 № 70-ЗС «Об областном бюджете на 2019 год и на плановый период 2020 и 2021 годов»  
Распоряжение Губернатора Ростовской области от 09.11.2019 № 239 «Об определении предельного (максимального) объема средств областного бюджета, выделяемых на оказание финансовой поддержки в сфере инициативного бюджетирования в 2020 году»</t>
  </si>
  <si>
    <t>https://pravo.donland.ru/doc/view/id/%D0%9E%D0%B1%D0%BB%D0%B0%D1%81%D1%82%D0%BD%D0%BE%D0%B9+%D0%B7%D0%B0%D0%BA%D0%BE%D0%BD_70-%D0%97%D0%A1_25122018_11295/  https://pravo.donland.ru/doc/view/id/%D0%A0%D0%B0%D1%81%D0%BF%D0%BE%D1%80%D1%8F%D0%B6%D0%B5%D0%BD%D0%B8%D0%B5_239_12112019_14282/</t>
  </si>
  <si>
    <t xml:space="preserve">Областной закон  от 01.08.2019 N 178-ЗС "Об инициативных проектах"
</t>
  </si>
  <si>
    <t>https://pravo.donland.ru/doc/view/id/%D0%9E%D0%B1%D0%BB%D0%B0%D1%81%D1%82%D0%BD%D0%BE%D0%B9+%D0%B7%D0%B0%D0%BA%D0%BE%D0%BD_178-%D0%97%D0%A1_01082019_12886/   https://pravo.donland.ru/doc/view/id/%D0%9E%D0%B1%D0%BB%D0%B0%D1%81%D1%82%D0%BD%D0%BE%D0%B9+%D0%B7%D0%B0%D0%BA%D0%BE%D0%BD_411-%D0%97%D0%A1_11122020_23847/</t>
  </si>
  <si>
    <t>Постановление Правительства Ростовской области от 05.04.2021 № 280 «О некоторых мерах по реализации Областного закона от 01.08.2019 № 178-ЗС»</t>
  </si>
  <si>
    <t>https://pravo.donland.ru/doc/view/id/%D0%9F%D0%BE%D1%81%D1%82%D0%B0%D0%BD%D0%BE%D0%B2%D0%BB%D0%B5%D0%BD%D0%B8%D0%B5_280_07042021_26978/</t>
  </si>
  <si>
    <t>Правительство Ростовской области</t>
  </si>
  <si>
    <t>органы исполнительной власти Ростовской области</t>
  </si>
  <si>
    <t xml:space="preserve">местные администрации городских округов, муниципальных районов
</t>
  </si>
  <si>
    <t>любой из видов работ, предусмотренных сметой, иным расчетом расходов</t>
  </si>
  <si>
    <t>количество благополучателей указывается в составе заявки на участие в конкурсном отборе проектов, выдвигаемых для получения финансовой поддержки за счет субсидий из областного бюджета, направляемой местными администрациями городских округов, муниципальных районов</t>
  </si>
  <si>
    <t>https://rostov.gks.ru/storage/mediabank/5YxrWvpV/%D0%A7%D0%B8%D1%81%D0%BB%D0%B5%D0%BD%D0%BD%D0%BE%D1%81%D1%82%D1%8C%20%D0%BD%D0%B0%D1%81%D0%B5%D0%BB%D0%B5%D0%BD%D0%B8%D1%8F.pdf</t>
  </si>
  <si>
    <t>в протоколе собрания граждан, в том числе проводимого в целях осуществления территориального общественного самоуправления, о выдвижении инициативы, направленной на решение вопроса местного значения</t>
  </si>
  <si>
    <t>практика предусматривает возможность участия всех муниципальных образований, однако заявки на участие в конкурсном отборе проектов, выдвигаемых для получения финансовой поддержки за счет субсидий из областного бюджета, направляются местными администрациями 55 городских округов и муниципальных районов</t>
  </si>
  <si>
    <t>http://vmeste161.ru/</t>
  </si>
  <si>
    <t>https://www.donland.ru/activity/2623/</t>
  </si>
  <si>
    <t>https://disk.yandex.ru/client/disk/ИБ_фирменный%20стиль/ЛОГО?idApp=client&amp;dialog=slider&amp;idDialog=%2Fdisk%2FИБ_фирменный%20стиль%2FЛОГО%2Fлого.jpg</t>
  </si>
  <si>
    <t xml:space="preserve">Информационное освещение инициативного бюджетирования, реализуемого на территории Ростовской области, проводилось путем размещения материалов на телевидении (передачи, сюжеты), радио (новостные сюжеты), региональных сайтах и сайтах информационных агентсв, а также в социальных сетях.
Ссылки на освещение ИБ в СМИ:
ТВ-сюжеты:
https://cloud.mail.ru/public/U9jx/hktcG5eML http://dontr.ru/novosti/na-kontrole-gubernatora-vasiliy-golubev-pobyval-v-shakhtakh-i-novocherkasske/?sphrase_id=122019
http://dontr.ru/novosti/sdelaem-vmeste-na-initsiativnoe-byudzhetirovanie-2021-v-rostovskoy-oblasti-vydelyat-300-mln-rub/?sphrase_id=122019
https://don24.ru/rubric/zhkh/rezultaty-iniciativnogo-byudzhetirovaniya.html
Интернет СМИ:
https://www.interfax-russia.ru/south-and-north-caucasus/report/blagoustroystvo-125-iz-159-obshchestvennyh-territoriy-zaversheno-v-rostovskoy-oblasti-zhkh
https://yugsn.ru/vmeste-rekonstruirovali-avarijnyij-stadion-v-salskom-rajone/
https://don24.ru/rubric/zhkh/do-1-oktyabrya-v-azove-blagoustroyat-obschestvennuyu-territoriyu-na-ulice-pushkinskoy.html
Соц сети:
https://vk.com/wall-37680642_88237
https://m.youtube.com/watch?v=DxT1a7kwQKQ&amp;feature=youtu.be
https://www.instagram.com/p/CAdAeanBkIV/?igshid=17w0rska634ww
https://www.instagram.com/p/CAxkjo9B5eN/?igshid=1t2fabwrza4t
</t>
  </si>
  <si>
    <t>в 2019-2020 году было проведено 2 обучающих мероприятия по инициативному бюджетированию в формате заседания круглого стола, в котором принимали участие депутаты Законодательного Собрания Ростовской области, представители Правительства Ростовской области, органов исполнительной власти, органов местного самоуправления и инициативных групп по выдвижению проектов</t>
  </si>
  <si>
    <r>
      <rPr>
        <sz val="10"/>
        <color theme="1"/>
        <rFont val="Times New Roman"/>
        <family val="1"/>
      </rPr>
      <t>В качестве информационного сопровождения Инициативного бюджетирования, реализуемого на территории Ростовской области, в местные администрации 55 городских округов и муниципальных районов были направлены шаблоны информационных раздаточных материалов (объявление о сборе средств,необходимых на реализацию проекта ИБ; (объявление о собрании граждан о выдвижении инициативы, направленной на решение вопроса местного значения, или иного вопроса, право решения которого предоставлено органу местного самоуправления и др.)</t>
    </r>
    <r>
      <rPr>
        <u/>
        <sz val="10"/>
        <color theme="10"/>
        <rFont val="Times New Roman"/>
        <family val="1"/>
      </rPr>
      <t xml:space="preserve">
https://disk.yandex.ru/edit/disk/disk%2FИБ_фирменный%20стиль%2FШАБЛОНЫ%2FШаблон_Объявление%20о%20сборе%20средств_цветной.docx?sk=y9c3fc0d5cb38784da9f09f24af76f8f6
https://disk.yandex.ru/edit/disk/disk%2FИБ_фирменный%20стиль%2FШАБЛОНЫ%2FШаблон_Объявление%20о%20собрании_цветной.docx?sk=y9c3fc0d5cb38784da9f09f24af76f8f6
</t>
    </r>
  </si>
  <si>
    <t>Субсидии местным бюджетам на реализацию муниципальных программ, направленных на реализацию проектов благоустройства территорий поселений и городских округов, отобраных на конкурсной основе,предложенных территориальным общественным самоуправлением</t>
  </si>
  <si>
    <t>Субсидии для территориального общественного самоуправления (ТОС)</t>
  </si>
  <si>
    <t xml:space="preserve">Постановление администрации Липецкой области от 31.08.2017 N 408 "Об утверждении государственной программы Липецкой области "Формирование современной городской среды в Липецкой области" (подпрограмма  "Развитие благоустройства территорий муниципальных
образований Липецкой области", основное мероприятие 6 задачи подпрограммы: "Предоставление субсидий местным бюджетам на реализацию муниципальных программ, направленных на реализацию проектов, отобранных на конкурсной основе, предложенных территориальным общественным самоуправлением")
</t>
  </si>
  <si>
    <t>Постановление администрации Липецкой области от 28.03.2019 N 162 "О внесении изменений в постановление администрации Липецкой области от 31 августа 2017 года N 408 "Об утверждении государственной программы Липецкой области "Формирование современной городской среды в Липецкой области"</t>
  </si>
  <si>
    <t>http://publication.pravo.gov.ru/Document/View/4800201904040004?index=0&amp;rangeSize=1</t>
  </si>
  <si>
    <t>Закон Липецкой области от 17 декабря 2019 года № 318-ОЗ "Об областном бюджете на 2020 год и на плановый период 2021 и 2022 годов"</t>
  </si>
  <si>
    <t>Управление жилищно-коммунального  хозяйства Липецкой области</t>
  </si>
  <si>
    <t>Городские округа, городские и сельские поселения Липецкой области</t>
  </si>
  <si>
    <t>Количество благополучателей приравнивается к количеству населения, проживающему на территории  городских округов, городских и сельских поселений Липецкой области, в которых реализованы проекты</t>
  </si>
  <si>
    <t>Протокол заседания ТОС</t>
  </si>
  <si>
    <t>Решение (протокол) муниципальной конкурсной комиссии . Трёхуровневый отбор: на уровне ТОС, на уровне МО, на региональном уровне.</t>
  </si>
  <si>
    <t>Предусматривает участие городских округов, городских и сельских поселений Липецкой области</t>
  </si>
  <si>
    <t xml:space="preserve">В соответствии с частью 1 статьи 27 Федерального закона от 6 октября 2003 года № 131 - ФЗ "Об общих принципах организации местного самоуправления в Российской Федерации"  территориальное общественное самоуправление (далее в этом пункте - ТОС) это самоорганизация граждан по месту их жительства на части территории поселения, городского округа. В связи с тем, что ИБ осуществляется через ТОС муниципальные районы не участвуют в распределении субсидий. </t>
  </si>
  <si>
    <t>http://sovetskaya22.ru/news/news/Another-court-of-Lipetsk-has-prospered-in-the-framework-of-the-Proactive-budgeting/ http://m.lipetskcity.ru/iblock/news/e/lipchane_mogut_podat_zayavku_na_uchastie_v_initsiativnom_bydjetirovanii24-08-2020/ http://lipetsktime.ru/news/society/poryadka_25_millionov_rubley_vydeleno_na_blagoustroystvo_territoriy_goroda/ https://lipeck.bezformata.com/listnews/programmi-initciativnoe-byudzhetirovanie/85244446/</t>
  </si>
  <si>
    <t>"Бюджетная инициатива граждан" ("Уютный Ямал")</t>
  </si>
  <si>
    <t>"Уютный Ямал"</t>
  </si>
  <si>
    <t>Постановление Правительства ЯНАО от 25.12.2013 N 1134-П
"Об утверждении государственной программы Ямало-Ненецкого автономного округа "Управление государственными финансами Ямало-Ненецкого автономного округа и создание условий для эффективного и ответственного управления муниципальными финансами, повышение устойчивости бюджетов муниципальных образований в Ямало-Ненецком автономном округе на 2014 - 2024 годы". 
Подпрограмма 3</t>
  </si>
  <si>
    <t>Постановление Правительства Ямало-Ненецкого автономного округа от  21 июня 2018 года № 631-П</t>
  </si>
  <si>
    <t>http://www.yamalfin.ru/index.php?option=com_content&amp;view=article&amp;id=3044:-------21--2018--631-&amp;catid=158:2018-12-13-04-38-03&amp;Itemid=125</t>
  </si>
  <si>
    <t>Департамент финансов Ямало-Ненецкого автономного округа, Департамент внутренней политки Ямало-Ненецкого автономного округа</t>
  </si>
  <si>
    <t>Департамент финансов Ямало-Ненецкого автономного округа</t>
  </si>
  <si>
    <t>Иной межбюджетный трансфер в форме дотации.</t>
  </si>
  <si>
    <t>Муниципальные образования в Ямало-Ненецком автономном округе</t>
  </si>
  <si>
    <t>трудовое участие, материалы</t>
  </si>
  <si>
    <t>http://www.yamalfin.ru/index.php?option=com_content&amp;view=category&amp;id=158&amp;Itemid=125</t>
  </si>
  <si>
    <t>https://vk.com/uyt_yamal
https://www.instagram.com/uyt_yamal/
https://www.живёмнасевере.рф/homely/
https://vk.com/yamalfin 
https://www.facebook.com/yamalfin/
https://www.instagram.com/departamentfinansov/
https://www.ok.ru/group/54301807476912</t>
  </si>
  <si>
    <t>Брэндбук проекта в сети не размещен. Изображение логотипа можно увидеть в социальных сетях (официальный аккаунт проекта "Уютный Ямал"):
https://vk.com/uyt_yamal
https://www.instagram.com/uyt_yamal/</t>
  </si>
  <si>
    <t xml:space="preserve">1. На территории Ямало-Ненецкого автономномго округа в один день были открыты двери проектных офисов "Уютный Ямал", что было освещено на телевидении и во всех муниципальных СМИ. 
2. В аккаунтах в социалных сетях с определенной периодичностью транслируется информация как о мероприятих на территории автономного округа, так и общая информация об инициативном бюджетировании. Так же в МО либо созданы аккаунты данного проекта, либо в аккаунте администрации транслируются новости в части инициативного бюджетирования.
3 В новостных выпусках проходят репортажи, направленные на популяризацию инициативного бюджетирования
4. На сайте добровольцыроссии.рф размещались объявления о наборе волонтеров, что тспособствовало популяризации инциативного бюджетирования
5. Для детей были проведены обучающие мероприятия, которые охватили 100% МО и широко транслировались на телевидении
</t>
  </si>
  <si>
    <t>Каждый год изготовливается брендированная продукция: кепки, ветровки, шарфы, ручки, флажки, шары, банеры (в том числе совмещенные с логотипами муниципальных образований при наличии его наличии), флаги, флаг-парус, футболки, тумба для голосования, урна для голосования, информационные буклеты, бейджи для волонетров и участников мероприятий, роллапы, сумки, указатели (для мероприятий), банер для социальных сетей</t>
  </si>
  <si>
    <t>На территории ЯНАО проведены мероприятия:
1. Межмуниципальные информационный семинар по вопросам реализации ШПБ:
26 - 27 ноября, г. Салехард.
2. Межмуниципальный семинар «Итоги реализации проекта «Бюджетная инициатива граждан» («Уютный Ямал») в 2020 году. Результаты оценки. Новации законодательства.»
8 - 9 декабря, г. Салехард.</t>
  </si>
  <si>
    <t>Муниципальное образование (наименование)</t>
  </si>
  <si>
    <t>Наименования нормативно-правовых актов, которые регулируют практику инициативного бюджетирования на территории муниципального образования. Ссылки</t>
  </si>
  <si>
    <t>7.B.3.</t>
  </si>
  <si>
    <t>Доля указанных бюджетных ассигнований в бюджете муниципального образования на 2020 год</t>
  </si>
  <si>
    <t>Места массового отдыха населения и объекты организации благоустройства</t>
  </si>
  <si>
    <t>Места захоронений</t>
  </si>
  <si>
    <t>0.2</t>
  </si>
  <si>
    <r>
      <t>Постановление Правительства Новосибирской области от 26.12.2018 № 567-п</t>
    </r>
    <r>
      <rPr>
        <sz val="10"/>
        <color rgb="FFFF0000"/>
        <rFont val="Times New Roman"/>
        <family val="1"/>
      </rPr>
      <t xml:space="preserve"> </t>
    </r>
    <r>
      <rPr>
        <sz val="10"/>
        <color rgb="FF000000"/>
        <rFont val="Times New Roman"/>
        <family val="1"/>
      </rPr>
      <t xml:space="preserve"> "О государственной программе Новосибирской области "Управление финансами в Новосибирской области"</t>
    </r>
  </si>
  <si>
    <r>
      <rPr>
        <sz val="10"/>
        <color rgb="FF00B050"/>
        <rFont val="Times New Roman"/>
        <family val="1"/>
      </rPr>
      <t>Постановление Правительства Новгородской области от 11 апреля 2016 года № 130</t>
    </r>
    <r>
      <rPr>
        <sz val="10"/>
        <color rgb="FF000000"/>
        <rFont val="Times New Roman"/>
        <family val="1"/>
      </rPr>
      <t xml:space="preserve">, Постановление Правительства Новгородской области от 26 апреля 2018 года № 166, Постановление Правительства Новгородской области от 20 июня 2019 года № 229 </t>
    </r>
  </si>
  <si>
    <t>Постановление Администрации Томской области от 20.09.2019 № 329а «Об утверждении государственной программы «Эффективное управление региональными финансами, государственными закупками и совершенствование межбюджетных отношений в Томской области»</t>
  </si>
  <si>
    <r>
      <t xml:space="preserve">1) </t>
    </r>
    <r>
      <rPr>
        <b/>
        <sz val="10"/>
        <rFont val="Times New Roman"/>
        <family val="1"/>
      </rPr>
      <t>Закон Томской области от 10 июля 2017 года №82-ОЗ</t>
    </r>
    <r>
      <rPr>
        <sz val="10"/>
        <rFont val="Times New Roman"/>
        <family val="1"/>
      </rPr>
      <t xml:space="preserve"> "О внесении изменений в Закон Томской области "О межбюджетных отношениях в Томской области"; 
2) </t>
    </r>
    <r>
      <rPr>
        <b/>
        <sz val="10"/>
        <rFont val="Times New Roman"/>
        <family val="1"/>
      </rPr>
      <t xml:space="preserve">Распоряжение Департамента финансов Томской области от 05.08.2020 № 16/47-р </t>
    </r>
    <r>
      <rPr>
        <sz val="10"/>
        <rFont val="Times New Roman"/>
        <family val="1"/>
      </rPr>
      <t xml:space="preserve">"Об организации проведения конкурсного отбора проектов, предложенных непосредственно населением муниципальных образований Томской области для получения бюджетами муниципальных образований Томской области субсидий на их реализацию";
3) </t>
    </r>
    <r>
      <rPr>
        <b/>
        <sz val="10"/>
        <rFont val="Times New Roman"/>
        <family val="1"/>
      </rPr>
      <t>Распоряжение Администрации Томской области от 15.07.2020 N 463-ра</t>
    </r>
    <r>
      <rPr>
        <sz val="10"/>
        <rFont val="Times New Roman"/>
        <family val="1"/>
      </rPr>
      <t xml:space="preserve">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(вместе с "Положением о конкурсной комиссии по отбору инициативных проектов, выдвигаемых муниципальными образованиями Томской области для получения из областного бюджета субсидий на их финансовую поддержку")
4) </t>
    </r>
    <r>
      <rPr>
        <b/>
        <sz val="10"/>
        <rFont val="Times New Roman"/>
        <family val="1"/>
      </rPr>
      <t>Распоряжение Департамента финансов Томской области от 24.11.2020 №16/66-р</t>
    </r>
    <r>
      <rPr>
        <sz val="10"/>
        <rFont val="Times New Roman"/>
        <family val="1"/>
      </rPr>
      <t xml:space="preserve"> "Об особенностях организации проведения конкурсного отбора проектов, предложенных непосредственно населением муниципальных образований Томской области для получения бюджетами муниципальных образований Томской области из областного бюджета субсидий на их реализацию, в период действия режима функционирования «повышенная готовность» для органов управления сил и средств территориальной подсистемы единой государственной системы предупреждения и ликвидации чрезвычайной ситуации Томской области" </t>
    </r>
  </si>
  <si>
    <r>
      <t xml:space="preserve">1. </t>
    </r>
    <r>
      <rPr>
        <u/>
        <sz val="10"/>
        <rFont val="Times New Roman"/>
        <family val="1"/>
      </rPr>
      <t>государственные бюджетные учреждения</t>
    </r>
    <r>
      <rPr>
        <sz val="10"/>
        <rFont val="Times New Roman"/>
        <family val="1"/>
      </rPr>
      <t xml:space="preserve">: СПб ГБУ "ПМЦ Василеостровского района", ГБОУ СОШ №51 Петроградского района; ГБУЗ «Городская поликлиника №44 Фрунзенского района Санкт-Петербурга». 
</t>
    </r>
    <r>
      <rPr>
        <sz val="10"/>
        <color rgb="FFFF0000"/>
        <rFont val="Times New Roman"/>
        <family val="1"/>
      </rPr>
      <t xml:space="preserve"> </t>
    </r>
    <r>
      <rPr>
        <sz val="10"/>
        <rFont val="Times New Roman"/>
        <family val="1"/>
      </rPr>
      <t xml:space="preserve">
2. </t>
    </r>
    <r>
      <rPr>
        <u/>
        <sz val="10"/>
        <rFont val="Times New Roman"/>
        <family val="1"/>
      </rPr>
      <t>государственные казенные учреждения:</t>
    </r>
    <r>
      <rPr>
        <sz val="10"/>
        <rFont val="Times New Roman"/>
        <family val="1"/>
      </rPr>
      <t xml:space="preserve"> ГКУ "Организатор перевозок"; Администрация Невского района; Администрация Приморского района, СПб ГКУ "Жилищное агентство Приморского района"; Комитет по благоустройству; Администрация Московского района; Комитет по благоустройству; Администрация Фрунзенского района; Комитет по благоустройству.
</t>
    </r>
  </si>
  <si>
    <t>в соответсвтвии с Законом Томской области от 25 декабря 2019 года № 164-ОЗ «Об областном бюджете на 2020 год и на плановый период 2021 И 2022 годов» общий объем расходов областного бюджета 82926437,7 тысяч рублей</t>
  </si>
  <si>
    <t>в соответсвтвии с Законом Томской области от 29 декабря 2020 года № 180-ОЗ «Об областном бюджете на 2021 год и на плановый период 2022 И 2023 годов» общий объем расходов областного бюджета 88802658,4
тысяч рублей</t>
  </si>
  <si>
    <r>
      <t xml:space="preserve">В целях увеличения масштаба общественного участия на портале «Единая карта петербуржца» в декабре 2020 года проведено общегородское рейтинговое голосование с использованием сервиса «Городской диалог». На голосование были вынесены </t>
    </r>
    <r>
      <rPr>
        <b/>
        <sz val="10"/>
        <color rgb="FF000000"/>
        <rFont val="Times New Roman"/>
        <family val="1"/>
      </rPr>
      <t>37 инициатив</t>
    </r>
    <r>
      <rPr>
        <sz val="10"/>
        <color rgb="FF000000"/>
        <rFont val="Times New Roman"/>
        <family val="1"/>
      </rPr>
      <t xml:space="preserve"> участников, прошедших этап экспертизы, но не победивших на районном туре голосований. Участие в голосовании приняли 2670 петербуржцев, по его итогам определены дополнительно 6 инициатив-победителей на общую сумму 31,6 млн руб.</t>
    </r>
  </si>
  <si>
    <r>
      <t xml:space="preserve">Участие принимают органы местного самоуправления </t>
    </r>
    <r>
      <rPr>
        <sz val="10"/>
        <color rgb="FF000000"/>
        <rFont val="Times New Roman"/>
        <family val="1"/>
      </rPr>
      <t>или органы территориального общественного самоуправления</t>
    </r>
    <r>
      <rPr>
        <sz val="10"/>
        <rFont val="Times New Roman"/>
        <family val="1"/>
      </rPr>
      <t>, расположенные на сельской территории в Тюменской области</t>
    </r>
  </si>
  <si>
    <r>
      <rPr>
        <sz val="10"/>
        <rFont val="Times New Roman"/>
        <family val="1"/>
      </rPr>
      <t xml:space="preserve">Предусмотрена подача и обработка заявок, информационное сопровождение заявленных проектов их координаторами на портале инициативного бюджетирования
</t>
    </r>
    <r>
      <rPr>
        <u/>
        <sz val="10"/>
        <color theme="10"/>
        <rFont val="Times New Roman"/>
        <family val="1"/>
      </rPr>
      <t>https://pib.sakhminfin.ru/projects?MembersCategoryId=1</t>
    </r>
  </si>
  <si>
    <r>
      <rPr>
        <sz val="10"/>
        <color theme="1"/>
        <rFont val="Times New Roman"/>
        <family val="1"/>
      </rPr>
      <t>В рамках рекламной кампании по продвижению проекта "Дорога к дому"  использовались региональные СМИ, ТВ, социальные сети.</t>
    </r>
    <r>
      <rPr>
        <sz val="10"/>
        <color theme="10"/>
        <rFont val="Times New Roman"/>
        <family val="1"/>
      </rPr>
      <t xml:space="preserve">                                                                                           https://vk.com/wall-172423093_126/                                                    https://vk.com/wall-172837323_132/                                                        https://vk.com/wall-179028382_98/                                                                https://vk.com/wall-186257019_242/                                                              https://vk.com/wall-160413159_3245/                                                             https://vk.com/wall-189180198_171</t>
    </r>
  </si>
  <si>
    <r>
      <rPr>
        <sz val="10"/>
        <rFont val="Times New Roman"/>
        <family val="1"/>
      </rPr>
      <t>Рекламная кампания проводилась в СМИ и непосредственно в школах. На YouTube-канале размещены информационные и обучающие ролики.</t>
    </r>
    <r>
      <rPr>
        <u/>
        <sz val="10"/>
        <color theme="10"/>
        <rFont val="Times New Roman"/>
        <family val="1"/>
      </rPr>
      <t xml:space="preserve">
https://www.youtube.com/watch?v=DNii10B8ujw 
https://www.youtube.com/watch?v=Zzaz4R3Tcoc
https://www.youtube.com/watch?v=9gnVVQuTOyg
https://www.youtube.com/watch?v=vd46iE-ygC8
https://www.youtube.com/watch?v=qMjB4wsaL_A
</t>
    </r>
  </si>
  <si>
    <r>
      <t>https://xn--h1ahj0a.xn--p1ai/novosti/katalog-sbornik-proektov-realizovannykh-v-2020-godu/</t>
    </r>
    <r>
      <rPr>
        <sz val="10"/>
        <color theme="10"/>
        <rFont val="Times New Roman"/>
        <family val="1"/>
      </rPr>
      <t xml:space="preserve">                                                https://www.facebook.com/groups/1825803114105110/permalink/3901775919841142/</t>
    </r>
  </si>
  <si>
    <r>
      <rPr>
        <sz val="10"/>
        <rFont val="Times New Roman"/>
        <family val="1"/>
      </rPr>
      <t>Буклеты</t>
    </r>
    <r>
      <rPr>
        <u/>
        <sz val="10"/>
        <color theme="10"/>
        <rFont val="Times New Roman"/>
        <family val="1"/>
      </rPr>
      <t xml:space="preserve">
https://disk.yandex.ru/d/tueGKTdGn5HVTw?w=1</t>
    </r>
  </si>
  <si>
    <r>
      <rPr>
        <sz val="10"/>
        <rFont val="Times New Roman"/>
        <family val="1"/>
      </rPr>
      <t>Буклеты, брошюры, лифлеты, плакаты, флаеры, бюллетени, баннеры, прокат информационных роликов в двух этапах (к этапу общих собраний и к этапу голосования) на ТВ, радио, размещение таргетированной рекламы, прокат видеороликов в кинотеатрах, размещение на уличном мониторе видеоролика к этапу голосования</t>
    </r>
    <r>
      <rPr>
        <u/>
        <sz val="10"/>
        <color theme="10"/>
        <rFont val="Times New Roman"/>
        <family val="1"/>
      </rPr>
      <t xml:space="preserve">
https://disk.yandex.ru/d/RtF5Y1PiN4ACoQ?w=1</t>
    </r>
  </si>
  <si>
    <r>
      <rPr>
        <sz val="10"/>
        <rFont val="Times New Roman"/>
        <family val="1"/>
      </rPr>
      <t>Лифлеты, брошюры, операционное руководство, рабочая тетрадь</t>
    </r>
    <r>
      <rPr>
        <u/>
        <sz val="10"/>
        <color theme="10"/>
        <rFont val="Times New Roman"/>
        <family val="1"/>
      </rPr>
      <t xml:space="preserve">
https://disk.yandex.ru/d/9EQ-MwvZjgXOUw?w=1</t>
    </r>
  </si>
  <si>
    <r>
      <rPr>
        <b/>
        <sz val="10"/>
        <color rgb="FF000000"/>
        <rFont val="Times New Roman"/>
        <family val="1"/>
      </rPr>
      <t>1.</t>
    </r>
    <r>
      <rPr>
        <sz val="10"/>
        <color rgb="FF000000"/>
        <rFont val="Times New Roman"/>
        <family val="1"/>
      </rPr>
      <t xml:space="preserve"> В рамках выездов Главы Чувашской Республики с руководителями органов исполнительной власти Чувашской Республики в органы местного самоуправления Чувашской Республики в целях обсуждения итогов социально-экономического развития муниципальных образований за отчетный период (2 раза в год в каждый муниципальный район и городской округ) обсуждались вопросы реализации проектов инициативного бюджетирования. Количесво участников - 1550 ед.</t>
    </r>
    <r>
      <rPr>
        <b/>
        <sz val="10"/>
        <color rgb="FF000000"/>
        <rFont val="Times New Roman"/>
        <family val="1"/>
      </rPr>
      <t xml:space="preserve"> </t>
    </r>
    <r>
      <rPr>
        <sz val="10"/>
        <color rgb="FF000000"/>
        <rFont val="Times New Roman"/>
        <family val="1"/>
      </rPr>
      <t xml:space="preserve">  2</t>
    </r>
    <r>
      <rPr>
        <b/>
        <sz val="10"/>
        <color rgb="FF000000"/>
        <rFont val="Times New Roman"/>
        <family val="1"/>
      </rPr>
      <t xml:space="preserve">. </t>
    </r>
    <r>
      <rPr>
        <sz val="10"/>
        <color rgb="FF000000"/>
        <rFont val="Times New Roman"/>
        <family val="1"/>
      </rPr>
      <t>Сотрудниками Министерства финансов Чувашской Республитки с участием представителей финансовых органов муниципальных районов и городских округов ежеквартально проводятся Коллегии Министерства финансов Чувашской Республики, где также обсуждаются вопросы финансирования проектов иницитивного бюджетирования. Количество участников -  200 ед. 3</t>
    </r>
    <r>
      <rPr>
        <b/>
        <sz val="10"/>
        <color rgb="FF000000"/>
        <rFont val="Times New Roman"/>
        <family val="1"/>
      </rPr>
      <t xml:space="preserve">. </t>
    </r>
    <r>
      <rPr>
        <sz val="10"/>
        <color rgb="FF000000"/>
        <rFont val="Times New Roman"/>
        <family val="1"/>
      </rPr>
      <t xml:space="preserve">Сотрудниками Минстроя Чувашии и Минсельхоза Чувашии ежеквартально проводятся совещания в режиме видеоконференцсвязи по актуальным вопросам реализации проектов инициативного бюджетирования. Количество участников - 280 ед. 4. В декабре 2020 года ответственные сотрудники Минфина Чувашии, Минстроя Чувашии и Минобразования Чувашии приняли участие в вебинаре, организованном Научно-исследовательским финансовым институтом Министерства финансов Российской Федерации (НИФИ Минфина России)  в рамках проекта «Развитие инициативного бюджетирования в субъектах Российской Федерации в 2018-2020 годах».Количество участников - 10 ед.
</t>
    </r>
  </si>
  <si>
    <r>
      <t xml:space="preserve">Обучающие мероприятия для членов бюджетных комиссий: </t>
    </r>
    <r>
      <rPr>
        <b/>
        <sz val="10"/>
        <rFont val="Times New Roman"/>
        <family val="1"/>
      </rPr>
      <t>11 лекционных занятий</t>
    </r>
    <r>
      <rPr>
        <sz val="10"/>
        <rFont val="Times New Roman"/>
        <family val="1"/>
      </rPr>
      <t xml:space="preserve"> (из них 5 - общие лекции в онлайн формате и по 1 лекции - индивидуальн. очно в 6 районах).</t>
    </r>
  </si>
  <si>
    <r>
      <rPr>
        <b/>
        <sz val="10"/>
        <rFont val="Times New Roman"/>
        <family val="1"/>
      </rPr>
      <t xml:space="preserve">358 чел. </t>
    </r>
    <r>
      <rPr>
        <sz val="10"/>
        <rFont val="Times New Roman"/>
        <family val="1"/>
      </rPr>
      <t xml:space="preserve">(учтены посещения членов бюджетных комиссий по 5 обязательным лекциям из 6); </t>
    </r>
    <r>
      <rPr>
        <b/>
        <sz val="10"/>
        <rFont val="Times New Roman"/>
        <family val="1"/>
      </rPr>
      <t>14 035 просмотров</t>
    </r>
    <r>
      <rPr>
        <sz val="10"/>
        <rFont val="Times New Roman"/>
        <family val="1"/>
      </rPr>
      <t xml:space="preserve"> (учтено количество просмотров на 04.12.2020 по 4 лекциям из 5, проведенных в онлайн формате).</t>
    </r>
  </si>
  <si>
    <r>
      <t xml:space="preserve">Название практики </t>
    </r>
    <r>
      <rPr>
        <b/>
        <sz val="10"/>
        <color rgb="FFC00000"/>
        <rFont val="Times New Roman"/>
        <family val="1"/>
      </rPr>
      <t>СУБЪЕКТА РФ</t>
    </r>
  </si>
  <si>
    <r>
      <t xml:space="preserve">Итого: </t>
    </r>
    <r>
      <rPr>
        <i/>
        <sz val="10"/>
        <rFont val="Times New Roman"/>
        <family val="1"/>
      </rPr>
      <t>(считается автоматически)</t>
    </r>
  </si>
  <si>
    <t>Марий Эл республика</t>
  </si>
  <si>
    <t>Постановление Администрации Ненецкого автономного округа от 29.05.2017 № 175-п "Об утверждении Положения о порядке и условиях предоставления субсидий бюджетам муниципальных образований Ненецкого автономного округа на реализацию проекта по поддержке местных инициатив"</t>
  </si>
  <si>
    <t>Постановление Администрации Ненецкого автономного округа от 15.10.2014 № 390-п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
Подпрограмма 5 "Создание условий для развития местного самоуправления в Ненецком автономном округе"</t>
  </si>
  <si>
    <t>Постановление администрации НАО от 12.09.2017 N 289-п
"О внесении изменений в государственную программу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</si>
  <si>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Бюджетное законодательство Ненецкого автономного округа</t>
  </si>
  <si>
    <t>Закон не принимался</t>
  </si>
  <si>
    <t>2017-2022; постановление администрации НАО от 15.10.2014 N 390-п (ред. от 20.02.2020)
"Об утверждении государственной программы Ненецкого автономного округа "Реализация региональной политики Ненецкого автономного округа в сфере международных, межрегиональных и межнациональных отношений, развития гражданского общества и информации"</t>
  </si>
  <si>
    <t>http://www.consultant.ru/</t>
  </si>
  <si>
    <t>Отсутствуют</t>
  </si>
  <si>
    <t>Департамент внутренней политики Ненецкого автономного округа</t>
  </si>
  <si>
    <t>Муниципальные образования (победители конкурса), местные бюджеты</t>
  </si>
  <si>
    <t xml:space="preserve">участие граждан - трудовое участие (вклад) граждан в выполнении работ по созданию, ремонту и содержанию объектов общественной инфраструктуры;                                                      участие юридических лиц (индивидуальных предпринимателей) - участие (вклад) юридических лиц (индивидуальных предпринимателей) в реализации проекта в различных формах (трудовое участие, предоставление помещений, технических средств и др.)                                                                   </t>
  </si>
  <si>
    <t xml:space="preserve">https://arhangelskstat.gks.ru/population111 </t>
  </si>
  <si>
    <t>Опросные листы, анкеты</t>
  </si>
  <si>
    <t>Протокол собрания граждан, фотофиксация собрания</t>
  </si>
  <si>
    <t>Возможность участия всех муниципалитетов</t>
  </si>
  <si>
    <t>https://smi.adm-nao.ru/iniciativnoe-byudzhetirovanie/</t>
  </si>
  <si>
    <t>https://smi.adm-nao.ru/iniciativnoe-byudzhetirovanie/informaciya-o-pobeditelyah-konkursov/</t>
  </si>
  <si>
    <r>
      <t xml:space="preserve">Рекламная кампания проводилась посредством официального сайта субъекта РФ, через СМИ региона и социальные сети.                                                        </t>
    </r>
    <r>
      <rPr>
        <u/>
        <sz val="10"/>
        <rFont val="Times New Roman"/>
        <family val="1"/>
      </rPr>
      <t>Официальный сайт Администрации НАО:</t>
    </r>
    <r>
      <rPr>
        <sz val="10"/>
        <rFont val="Times New Roman"/>
        <family val="1"/>
      </rPr>
      <t xml:space="preserve"> 1) https://adm-nao.ru/press/governor/23327/; 2) https://adm-nao.ru/press/governor/23379/; 3) https://smi.adm-nao.ru/obshaya-informaciya-ob-upravlenii/news/23556/; 4) https://smi.adm-nao.ru/obshaya-informaciya-ob-upravlenii/news/24325/; 5) https://smi.adm-nao.ru/obshaya-informaciya-ob-upravlenii/news/24061/
</t>
    </r>
    <r>
      <rPr>
        <u/>
        <sz val="10"/>
        <rFont val="Times New Roman"/>
        <family val="1"/>
      </rPr>
      <t>Ненецкое информационное агентство – 24 (НАО24):</t>
    </r>
    <r>
      <rPr>
        <sz val="10"/>
        <rFont val="Times New Roman"/>
        <family val="1"/>
      </rPr>
      <t xml:space="preserve"> 1) https://nao24.ru/vlast/19416-aleksandr-cybulskiy-neneckiy-okrug-gotov-tirazhirovat-svoy-opyt-po-realizacii-proektov-narodnogo-byudzhetirovaniya.html; 2) https://nao24.ru/stroitelstvo/19418-v-neneckom-okruge-obyavlen-konkurs-proektov-v-ramkah-iniciativnogo-byudzhetirovaniya.html; 3) https://nao24.ru/stroitelstvo/19773-municipalitety-neneckogo-okruga-predstavili-36-proektov-na-konkurs-po-iniciativnomu-byudzhetirovaniyu.html; 4) https://nao24.ru/ekonomika/19930-v-neneckom-okruge-na-podderzhku-proektov-po-iniciativnomu-byudzhetirovaniyu-dopolnitelnye-sredstva.html; 5) https://nao24.ru/obshestvo/22183-art-obekty-sportivnye-ploschadki-parki-otdyha-kakie-territorii-obustroyat-v-municipalitetah-nao.html; 6) https://nao24.ru/vlast/22594-minfin-obespechit-vnedrenie-i-edinuyu-metodologiyu-primeneniya-podpisannyh-prezidentom-zakonov-ob-iniciativnom-byudzhetirovanii.html; 7) https://nao24.ru/obshestvo/22642-v-naryan-mare-otkrylas-novaya-sportivnaya-ploschadka.html                                                                                                                                                                                                                                                                            </t>
    </r>
    <r>
      <rPr>
        <u/>
        <sz val="10"/>
        <rFont val="Times New Roman"/>
        <family val="1"/>
      </rPr>
      <t>Телеканал «Север»:</t>
    </r>
    <r>
      <rPr>
        <sz val="10"/>
        <rFont val="Times New Roman"/>
        <family val="1"/>
      </rPr>
      <t xml:space="preserve">  1) http://trksever.ru/news/2/20371/?sphrase_id=66749; 2) http://trksever.ru/news/2/20232/?sphrase_id=66749; 3) http://trksever.ru/news/2/20120/?sphrase_id=66749; 4) http://trksever.ru/news/1/20108/?sphrase_id=66749; 5) http://trksever.ru/news/2/20980/?sphrase_id=66749; 6) http://trksever.ru/news/152/21476/?sphrase_id=66749                                                                                                                                                                                                                                            </t>
    </r>
    <r>
      <rPr>
        <u/>
        <sz val="10"/>
        <rFont val="Times New Roman"/>
        <family val="1"/>
      </rPr>
      <t>Официальное сообщество Администрации НАО «Ненецкий автономный округ» в социальной сети «ВКонтакте»: https://vk.com/wall-129747883_11532
https://vk.com/wall-129747883_11638
https://vk.com/wall-129747883_11799
https://vk.com/wall-129747883_11960
Сообщество «Департамент внутренней политики НАО» в социальной сети «ВКонтакте»</t>
    </r>
    <r>
      <rPr>
        <sz val="10"/>
        <rFont val="Times New Roman"/>
        <family val="1"/>
      </rPr>
      <t xml:space="preserve">
https://vk.com/wall-187186351_185
https://vk.com/wall-187186351_135
https://vk.com/wall-187186351_120
https://vk.com/wall-187186351_106
https://vk.com/wall-187186351_85
https://vk.com/wall-187186351_84
</t>
    </r>
  </si>
  <si>
    <t xml:space="preserve">«Формирование современной городской среды
на территории Орловской области»
</t>
  </si>
  <si>
    <t xml:space="preserve">«Формирование комфортной городской среды»
</t>
  </si>
  <si>
    <t xml:space="preserve">Государственная программа Орловской области «Формирование современной городской среды на территории Орловской области» 
</t>
  </si>
  <si>
    <t xml:space="preserve">Постановление Правительства Орловской области от 31.08.2017 N 372
"Об утверждении государственной программы Орловской области "Формирование современной городской среды на территории Орловской области"
</t>
  </si>
  <si>
    <t>http://orel-region.ru/index.php?head=17&amp;part=19&amp;docid=10476</t>
  </si>
  <si>
    <t xml:space="preserve">Закон Орловской области от 4 декабря 2019 года № 2421-ОЗ "Об областном бюджете на 2020 год и на плановый период 2021 и 2022 годов"                                                                        Закон Орловской области от 4 декабря 2020 года № 2537-ОЗ "Об областном бюджете на 2021 год и на плановый период 2022 и 2023 годов"    </t>
  </si>
  <si>
    <t>http://publication.pravo.gov.ru/Document/View/5700201912040001                                     http://publication.pravo.gov.ru/Document/View/5700202012040008</t>
  </si>
  <si>
    <t xml:space="preserve">Департамент строительства, топливно-энергетического комплекса, жилищно-коммунального хозяйства, транспорта и дорожного хозяйства Орловской области </t>
  </si>
  <si>
    <t>муниципальные образования Орловской области</t>
  </si>
  <si>
    <t>1)Предоставление и распределение субсидий из федерального бюджета бюджетам субъектов Российской Федерации на поддержку государственных программ субъектов Российской Федерации и муниципальных программ формирования современной городской среды, предусмотренными приложением № 15 к государственной программе Российской Федерации «Обеспечение доступным и комфортным жильем и коммунальными услугами граждан Российской Федерации» 
2) Предоставление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утвержденными постановлением Правительства Российской Федерации от 7 марта 2018г. № 237«Об утверждении Правил предоставления средств государственной поддержки из федерального бюджета бюджетам субъектов Российской 
Федерации для поощрения муниципальных образований 
-победителей Всероссийского конкурса лучших проектов создания комфортной городской среды».   3)Федеральный проект «Формирование комфортной городской среды" Национального проекта "Жилье и городская среда".   Паспорт нацпроекта разработан Минстроем России во исполнение Указа Президента Российской Федерации от 7 мая 2018 года № 204 «О национальных целях и стратегических задачах развития Российской Федерации на период до 2024 года» и включает в себя четыре федеральных проекта: «Ипотека», «Жильё», «Формирование комфортной городской среды» и «Обеспечение устойчивого сокращения непригодного для проживания жилищного фонда».</t>
  </si>
  <si>
    <t xml:space="preserve">Министерстве строительства и жилищно-коммунального хозяйства Российской Федерации, утвержденного постановлением Правительства Российской Федерации </t>
  </si>
  <si>
    <t xml:space="preserve">Форма трудового участия заинтересованных лиц в реализации мероприятий по благоустройству дворовых территорий в рамках минимального и дополнительного перечней работ по благоустройству  выражена в виде:
1) выполнения жителями неоплачиваемых работ, не требующих специальной квалификации (подготовка объектов (дворовой территории) к началу работ, земляные работы, снятие старого оборудования, уборка мусора), и других работ (покраска оборудования, озеленение территории, посадка деревьев, охрана объекта);
2) предоставления строительных материалов, техники;
3) обеспечения благоприятных условий для работы подрядной организации, выполняющей работы, и для ее сотрудников.
</t>
  </si>
  <si>
    <t>https://численность-населения.рф/орловская-область</t>
  </si>
  <si>
    <t>опросы граждан</t>
  </si>
  <si>
    <t>части их них</t>
  </si>
  <si>
    <t xml:space="preserve">Субсидии из областного бюджета предоставляются муниципальным образованиям Орловской области: городским округам Орловской области, городским поселениям Орловской области и сельским поселениям Орловской области, в состав которых входят населенные пункты с численностью населения свыше 1000 человек (далее также - муниципальные образования Орловской области), в целях благоустройства территорий данных муниципальных образований Орловской области </t>
  </si>
  <si>
    <t>https://invest-orel.ru/ https://gorodsreda.ru/</t>
  </si>
  <si>
    <t xml:space="preserve">https://gorodsreda.ru/ </t>
  </si>
  <si>
    <t>ТВ, радио, наружная реклама, социальные сети и др.</t>
  </si>
  <si>
    <r>
      <t>https://orel-region.ru/</t>
    </r>
    <r>
      <rPr>
        <sz val="10"/>
        <color theme="10"/>
        <rFont val="Times New Roman"/>
        <family val="1"/>
      </rPr>
      <t xml:space="preserve">                                                                                                                       </t>
    </r>
    <r>
      <rPr>
        <u/>
        <sz val="10"/>
        <color theme="10"/>
        <rFont val="Times New Roman"/>
        <family val="1"/>
      </rPr>
      <t>https://gorodsreda.ru/ 
57.gorodsreda.ru</t>
    </r>
  </si>
  <si>
    <t>Благоустройство сельских территорий, Современный облик сельских территорий</t>
  </si>
  <si>
    <t>Государственная программа Орловской области "Комплексное развитие сельских территорий Орловской области", подпрограмма 3 "Создание и развитие инфраструктуры на сельских территориях", основное мероприятие 3.1 "Благоустройство сельских территорий", основное мероприятие 3.4 "Современный облик сельских территорий"</t>
  </si>
  <si>
    <t>Постановление Правительства Орловской области от 20.12.2019 № 705 "Об утверждении государственной программы Орловской области "Комплексное развитие сельских территорий Орловской области"</t>
  </si>
  <si>
    <t>https://orel-region.ru/index.php?head=17&amp;part=19&amp;formName=docsearch&amp;doc_type=0&amp;doc_organ=0&amp;fwords=&amp;number=705&amp;date1f=20-12-2019&amp;date2f=%E4%E4-%EC%EC-%E3%E3%E3%E3&amp;date3f=%E4%E4-%EC%EC-%E3%E3%E3%E3&amp;x=29&amp;y=9</t>
  </si>
  <si>
    <t>Департамент сельского хозяйства Орловской области</t>
  </si>
  <si>
    <t>Мценский район, Троснянский район, Новодеревеньковский район, Ливенский район, Свердловский район, Кромской район</t>
  </si>
  <si>
    <t>Государственная программа Российской Федерации "Комплексное развитие сельских территорий", ведомстевнны проект "Благоустройство сельских территорий", ведомпственный проект "Современный облик сельских территорий"</t>
  </si>
  <si>
    <t>https://ru.wikipedia.org/wiki/%D0%9D%D0%B0%D1%81%D0%B5%D0%BB%D0%B5%D0%BD%D0%B8%D0%B5_%D0%9E%D1%80%D0%BB%D0%BE%D0%B2%D1%81%D0%BA%D0%BE%D0%B9_%D0%BE%D0%B1%D0%BB%D0%B0%D1%81%D1%82%D0%B8</t>
  </si>
  <si>
    <t>протоколы собраний жителей муниципальных образований Орловской области</t>
  </si>
  <si>
    <t>Проект "Народный бюджет" в Орловской области</t>
  </si>
  <si>
    <t>Конкурс проектов инициативного бюджетирования "Народный бюджет"</t>
  </si>
  <si>
    <t xml:space="preserve">Закон Орловской области от 4 декабря 2019 года № 2421-ОЗ "Об областном бюджете на 2020 год и на плановый период 2021 и 2022 годов"                                                                        Закон Орловской области от 4 декабря 2020 года № 2537-ОЗ "Об областном бюджете на 2021 год и на плановый период 2022 и 2023 годов"        </t>
  </si>
  <si>
    <t>Постановление Правительства Орловской области от 02.10.2017 № 412 "Об утверждении Положения о проекте "Народный бюджет" в Орловской области"</t>
  </si>
  <si>
    <t>http://publication.pravo.gov.ru/Document/View/5700201710030002</t>
  </si>
  <si>
    <t>Департамент по проектам развития территорий Орловской области</t>
  </si>
  <si>
    <t>Департамент строительства, топливно-энергетического комплекса жилищно-коммунального хозяйства, транспорта и дорожного хозяйства Орловской области, Департамент образования Орловской области, Управление культуры и архивного дела Орловской области</t>
  </si>
  <si>
    <t>муниципальные образования Орловской области - Сеньковское сельское поселение Глазуновского района, Дмитровский район, Бортновское сельское поселение Залегощенского района, Залегощенский район, Знаменское сельское поселение Знаменского района, Краснозоренский район, Городское поселение Кромы Кромского района, Ливенский район, Малоархангельский район, Подмокринское сельское поселение Мценского района, Мценский район, Город Мценск, Городское поселение Новосиль Новосильского района, Жиляевское сельское поселение Орловского района, Орловский район, Покровский район, Свердловский район, Сосковский район, Троснянский район, Подзаваловское сельское поселение Урицкого района</t>
  </si>
  <si>
    <t>Численность населения в поселениях муниципальных образований Орловской области, на территории которых реализуются проекты ИБ; количество граждан в муниципальных образованиях Орловской области, которые непосредственно пользуются результатами реализованных проектов ИБ</t>
  </si>
  <si>
    <t>http://orel.old.gks.ru/wps/wcm/connect/rosstat_ts/orel/ru/statistics/population/</t>
  </si>
  <si>
    <t>https://www.sites.google.com/site/ruregdatav1/naselenie/orlovskoi-oblasti</t>
  </si>
  <si>
    <t>https://orel-region.ru/index.php?head=1&amp;unit=17469</t>
  </si>
  <si>
    <t>http://орёл.рф/народный-бюджет</t>
  </si>
  <si>
    <t>ТВ; радио; социальные сети; акселерационный марафон «Развитие малых территорий: инструменты, механизмы, практики»</t>
  </si>
  <si>
    <t>Городской округ "Город Архангельск"</t>
  </si>
  <si>
    <t>Проект "Бюджет твоих возможностей"</t>
  </si>
  <si>
    <t>"Бюджет твоих возможностей","Большая перемена" (в части школьного инициативного бюджетирования)</t>
  </si>
  <si>
    <t>Положение о проекте "Бюджет твоих возможностей", утвержденное постановлением Администрации муниципального образования "Город Архангельск" от 22.05.2018 № 643</t>
  </si>
  <si>
    <t>https://www.arhcity.ru/?page=2373/0</t>
  </si>
  <si>
    <t>Департамент финансов Администрации муниципального образования "Город Архангельск"</t>
  </si>
  <si>
    <t>Департамент образования Администрации муниципального образования "Город Архангельск"</t>
  </si>
  <si>
    <t>Бюджетные ассигнования предоставляются непосредственно ГРБСу (при реализации инициативы им), а также в форме субсидий на иные цели муниципальным бюджетным и автономным учреждениям (при реализации инициативы учреждением)</t>
  </si>
  <si>
    <t>Муниципальные общеобразовательные учреждения муниципального образования "Город Архангельск", муниципальное дошкольное образовательное учреждение муниципального образования "Город Архангельск", муниципальное учреждение дополнительного образования муниципального образования "Город Архангельск"</t>
  </si>
  <si>
    <t>Количество благополучателей определено исходя из данных, указанных в заявках на участие в проекте, содержащих инициативы, которые были реализованы в 2020 году</t>
  </si>
  <si>
    <t>https://www.arhcity.ru/?page=31/2</t>
  </si>
  <si>
    <t>Команда проекта "Бюджет твоих возможностей"</t>
  </si>
  <si>
    <t>В рамках текущей деятельности на добровольных началах</t>
  </si>
  <si>
    <t>https://www.arhcity.ru/?page=2375/4</t>
  </si>
  <si>
    <t>Информация о ходе школьного этапа сбора заявок фиксировалась секретарями директоров школ</t>
  </si>
  <si>
    <t>https://бюджеттвоихвозможностей.рус/   и https://www.arhcity.ru/?page=2740/0</t>
  </si>
  <si>
    <t>На официальном информационном Интернет-портале муниципального образования "Город Архангельск" функционирует раздел "Бюджет твоих возможностей", где реализован следующий функционал: новости, документы, сбор заявок на участие, информация об отборе инициатив общественными советами и экспертизе инициатив, голосование, информация о реализации инициатив (дорожные карты, сбор мнений жителей).  В 2020 году добавлен раздел "Большая перемена". Голосование проходило на платформе сайта бюджетвоихвозможностей.рус, которая позволяет обеспечить объективность учета голосов, а также каждому голосующему составить по-настоящему свой бюджет возможностей.  Ведь проголосовать можно было сразу за несколько инициатив в пределах средств, предусмотренных на проект.  При этом допуск к голосованию производился на основании номера мобильного телефона голосующего и за весь период проведения голосования возможно только одно голосование с одного номера.  Реализована мобильная версия сайта, что сделало голосование с мобильного телефона более удобным.</t>
  </si>
  <si>
    <t>https://www.arhcity.ru/?page=2371/0</t>
  </si>
  <si>
    <t>https://vk.com/btv29</t>
  </si>
  <si>
    <t>Информационное освещение проекта осуществлялось путем публикаций новостных материалов в газетах "Архангельск-город воинской славы" и "Правда Севера",  сюжетов на телеканалах "Регион29" и "Поморье", на официальном информационном Интернет-портале муниципального образования "Город Архангельск" (www.arhcity.ru), в группах Вконтакте "Бюджет Архангельска", "Бюджет твоих возможностей". В рамках внедрения школьного инициативного бюджетирования была совершена рабочая поездка Главы муниципального образования "Город Архангельск" на встречу со школьниками на базе детского (подросткового) центра "Радуга". Информация о проекте "Большая перемена" подлежала размещению на официальных сайтах школ. Победители и участники проекта "Большая перемена"  поощрены благодарственными письмами Администрации муниципального образования "Город Архангельск".
http://xn--80aec1d.xn--p1ai/archives/25322 (публикация в газете "Архангельск-город воинской славы")
https://vk.com/btv29?w=wall-73332929_30403 (сюжет телеканала "Регион29"), https://vk.com/btv29?w=wall-178985470_486 (охват новостного поста 20 тысяч человек)</t>
  </si>
  <si>
    <t>https://vk.com/btv29?w=wall-178985470_354
https://vk.com/btv29?w=wall-178985470_320
https://vk.com/btv29?w=wall-178985470_365
https://vk.com/btv29?w=wall-178985470_618  
https://vk.com/btv29?w=wall-178985470_531
https://vk.com/btv29?w=wall-178985470_486
https://vk.com/btv29?w=wall-178985470_485
https://vk.com/btv29?w=wall-178985470_447</t>
  </si>
  <si>
    <t>Муниципальный район Аскинский район Республики Башкортостан</t>
  </si>
  <si>
    <t>Муниципальный проект инициативного бюджетирования «Наше село»</t>
  </si>
  <si>
    <t>Наше село</t>
  </si>
  <si>
    <t>1 июля 2020 года</t>
  </si>
  <si>
    <t>30 октября 2020 года</t>
  </si>
  <si>
    <t>Постановление Администрации муниципального района Аскинский район Республики Башкортостан от 26 июня 2020 года № 360 «О реализации на территории муниципального района Аскинский район Республики Башкортостан муниципальных проектов инициативного бюджетирования «Наше село» в сельских поселениях муниципального района Аскинский район Республики Башкортостан».</t>
  </si>
  <si>
    <t>https://askino.bashkortostan.ru/projects/506/</t>
  </si>
  <si>
    <t>Администрация муниципального района Аскинский район Республики Башкортостан</t>
  </si>
  <si>
    <t>Финансовое управление Администрации муниципального района Аскинский район Республики Башкортостан</t>
  </si>
  <si>
    <t>Сельские поселения</t>
  </si>
  <si>
    <t>Привлечение техники и транспортных средств для вывоза мусора, проведение субботников.</t>
  </si>
  <si>
    <t xml:space="preserve">Подсчет благополучателей осуществлен по данным из конкурсных заявок. </t>
  </si>
  <si>
    <t>Анкетная ведомость.</t>
  </si>
  <si>
    <t>Протоколы собраний.</t>
  </si>
  <si>
    <t>Протоколы собраний https://kashka04sp.ru/dokumenty/protokoly-sobraniya-grazhdan</t>
  </si>
  <si>
    <t>Протокол заседания конкурсной комиссии  https://kashka04sp.ru/dokumenty/protokoly-sobraniya-grazhdan</t>
  </si>
  <si>
    <t xml:space="preserve">Размещение информации на официальном сайте муниципального района, наружная реклама https://askino.bashkortostan.ru/presscenter/news/289396/
</t>
  </si>
  <si>
    <t>Проводились сходы граждан, опросы населения в сельских поселениях.</t>
  </si>
  <si>
    <t>Сотрудниками Центра изучения гражданских инициатив ГАНУ «Институт стратегических исследований Республики Башкортостан» ежегодно проводятся обучающие мероприятия для представителей муниципальных образований.</t>
  </si>
  <si>
    <t>Муниципальный район Благовещенский район Республики Башкортостан</t>
  </si>
  <si>
    <t xml:space="preserve">Муниципальный проект инициативного бюджетирования «Наше село» </t>
  </si>
  <si>
    <t>10 мая 2020 года</t>
  </si>
  <si>
    <t>Постановление Администрации Муниципального района Благовещенский район Республики Башкортостан от 12 декабря 2019 года № 1495 «О реализации на территории муниципального района Благовещенский район Республики Башкортостан муниципальных проектов инициативного бюджетирования «Наше село» в сельских поселениях муниципального района Благовещенский район Республики Башкортостан».</t>
  </si>
  <si>
    <t>https://blagoveshensk.bashkortostan.ru/documents/active/260746/</t>
  </si>
  <si>
    <t>Администрация муниципального района Благовещенский район Республики Башкортостан</t>
  </si>
  <si>
    <t>Финансовое управление Администрации муниципального района Благовещенский район Республики Башкортостан</t>
  </si>
  <si>
    <t xml:space="preserve">Сельские поселения </t>
  </si>
  <si>
    <t>Привлечение техники и транспортных средств, безвозмездный труд.</t>
  </si>
  <si>
    <t>Подсчет благополучателей осуществлен по данным из конкурсных заявок.</t>
  </si>
  <si>
    <t xml:space="preserve">Протоколы собраний граждан. </t>
  </si>
  <si>
    <t>Протокол заседания конкурсной комиссии https://blagoveshensk.bashkortostan.ru/documents/active/303363/</t>
  </si>
  <si>
    <t xml:space="preserve">https://blagoveshensk.bashkortostan.ru/presscenter/news/277712/
</t>
  </si>
  <si>
    <t>https://blagoveshensk.bashkortostan.ru/presscenter/news/277712/</t>
  </si>
  <si>
    <t>Муниципальный район Илишевский район Республики Башкортостан</t>
  </si>
  <si>
    <t>16 октября 2020 года</t>
  </si>
  <si>
    <t>Постановление Администрации муниципального района Илишевский район Республики Башкортостан от 10 мая 2018 года № 413 "О реализации на территории муниципального района Илишевский район Республики Башкортостан муниципальных проектов инициативного бюджетирования «Наше село».</t>
  </si>
  <si>
    <t>https://ilesh.bashkortostan.ru/documents/active/226380/</t>
  </si>
  <si>
    <t>Администрация муниципального района Илишевский район Республики Башкортостан</t>
  </si>
  <si>
    <t>Финансовое управление Администрации муниципального района Илишевский район Республики Башкортостан</t>
  </si>
  <si>
    <t>Привлечение техники и транспортных средств, приобретение хозтоваров, уборка территории.</t>
  </si>
  <si>
    <t xml:space="preserve">Протоколы собраний. </t>
  </si>
  <si>
    <t>Протокол заседания конкурсной комиссии.</t>
  </si>
  <si>
    <t>Размещение информации на местном телевидении и радио, использование наружной рекламы-баннеры.</t>
  </si>
  <si>
    <t>Проводились сходы граждан, опросы населения.</t>
  </si>
  <si>
    <t>Муниципальный район Чекмагушевский район Республики Башкортостан</t>
  </si>
  <si>
    <t>11 марта 2020 года</t>
  </si>
  <si>
    <t>Постановление Администрации муниципального района Чекмагушевский район Республики Башкортостан от 11 марта 2020 года № 170 «О реализации на территории муниципального района Чекмагушевский район Республики Башкортостан муниципальных проектов инициативного бюджетирования «Наше село».</t>
  </si>
  <si>
    <t>https://chekmagush.bashkortostan.ru/documents/active/278669/</t>
  </si>
  <si>
    <t>Администрация муниципального района Чекмагушевский район Республики Башкортостан</t>
  </si>
  <si>
    <t>Финансовое управление Администрации муниципального района Чекмагушевский район Республики Башкортостан</t>
  </si>
  <si>
    <t>Уборка территории, приобретение и укладка водопропускных стальных труб.</t>
  </si>
  <si>
    <t>Размещение информации на официальном сайте муниципального района, размещение наружной рекламы https://chekmagush.bashkortostan.ru/presscenter/news/263482/</t>
  </si>
  <si>
    <t>Проводились сходы граждан.</t>
  </si>
  <si>
    <t xml:space="preserve">Сотрудниками Центра изучения гражданских инициатив ГАНУ «Институт стратегических исследований Республики Башкортостан» ежегодно проводятся обучающие мероприятия для представителей муниципальных образований. </t>
  </si>
  <si>
    <t>Селивановский район</t>
  </si>
  <si>
    <t xml:space="preserve">поддержка инициатив граждан и юридических лиц  </t>
  </si>
  <si>
    <t>Постановление администрации от 24.01.2017 № 48 "Об утвреждении Положения о резервном фонде-фонде поддержки инициатив граждан и юридических лиц администрации Селивановского района Владимирской области</t>
  </si>
  <si>
    <t>http://selivanovo.ru/images/stories/201702/d8-37.pdf</t>
  </si>
  <si>
    <t>Отдел жизнеобеспечения муниципального учреждения "Хозяйственное управление администрации Селивановского района"</t>
  </si>
  <si>
    <t>Финансовое управление администрации района</t>
  </si>
  <si>
    <t>Администрации муниципальных образований городского и сельских поселений района</t>
  </si>
  <si>
    <t>протокол собрания жителей</t>
  </si>
  <si>
    <t>протокол собрания старост</t>
  </si>
  <si>
    <t>протокол собрания</t>
  </si>
  <si>
    <t>протокол заседания комиссии по отбору инициатив граждан и юридических лиц</t>
  </si>
  <si>
    <t>http://selivanovo.ru/images/stories/202102/d2-24.pdf</t>
  </si>
  <si>
    <t>Гвардейский городской округ</t>
  </si>
  <si>
    <t>Реализация инициативных проектов на территории муниципального образования "Гвардейский городской округ"</t>
  </si>
  <si>
    <t>1. https://gvardeysk.gov39.ru/power/normativnue-pravovue-aktu/2020-postanovl/
2. https://gvardeysk.gov39.ru/power/normativnue-pravovue-aktu/resheniya-soveta-deputatov-mo-gvardeyskiy-gorodskoy-okrug-za-2021-god/</t>
  </si>
  <si>
    <t>Администрация муниципального образования "Гвардейский городской округ"</t>
  </si>
  <si>
    <t>иные</t>
  </si>
  <si>
    <t>Технический заказчик</t>
  </si>
  <si>
    <t>Жители поселка, в котором инциирован проект+жители примыкающего поселка</t>
  </si>
  <si>
    <t>https://kaliningrad.gks.ru/statistical_news/document/81341</t>
  </si>
  <si>
    <t>Протокол собрания</t>
  </si>
  <si>
    <t>https://gvardeysk.gov39.ru/power/administrazia/strukturnye-podrazdeleniya-administrazii/upravlenie-po-finansam-i-budgetu/budget-dla-gragdan/</t>
  </si>
  <si>
    <t>Обявление на официальном сайте муниципального образования в сети Интернет. Объявление в местной газете муниципального образования "Наша Жизнь"</t>
  </si>
  <si>
    <t>Обучающий семинар для членов комиссии по отбору инициативных проектов под руководством первого заместителя главы администрации муниципального образования "Гвардейский городской округ" (1 раз в год)</t>
  </si>
  <si>
    <t>Муниципальное образование "Городской округ "Город Калининград"</t>
  </si>
  <si>
    <t>Реализация инициативных проектов</t>
  </si>
  <si>
    <t xml:space="preserve">постановление администрации городского округа «Город Калининград» от 21.11.2019 № 1076 «Об утверждении Положения о реализации инициативных проектов в городском округе «Город Калининград»;
- постановление администрации городского округа «Город Калининград» от 13.12.2019 № 1144 «О проведении конкурсного отбора инициативных проектов по направлению «Благоустройство территорий общего пользования» в городском округе «Город Калининград» и утверждении порядка его проведения»;  
- постановление администрации городского округа «Город Калининград» от 12.03.2020 № 217 «Об утверждении состава комиссии по оценке инициативных проектов»;
- постановление администрации городского округа «Город Калининград» от 18.06.2020 № 465 «О реализации инициативных проектов на территории городского округа «Город Калининград» в 2020 году» (в ред. от 15.07.2020         № 538);
- постановление администрации от 17.07.2020 № 553 о внесении изменений в ранее утвержденную муниципальную программу «Формирование современной городской среды городского округа «Город Калининград».
</t>
  </si>
  <si>
    <t>официальный сайт администрации ГО "Город Калининград"</t>
  </si>
  <si>
    <t>Комитет городского хозяйства администрации городского округа "Город Калининград"</t>
  </si>
  <si>
    <t>Комитет городского хозяйства администрации городского округа "Город Калининград";
Комитет развитие дорожно - транспортной инфроструктуры администрации городского округа "Город Калининград"</t>
  </si>
  <si>
    <t>муниципальный контракт</t>
  </si>
  <si>
    <t>МКУ "КР МКД"; МКУ "ГДСР"</t>
  </si>
  <si>
    <t>Подсчет благополучателей не представляется возможным, ввиду того, что работы по инициативным объектам выполнялись в разных района городского округа "Город Калининград" и результатами их реализации могут пользоваться неограниченый круг лиц</t>
  </si>
  <si>
    <t>http://www.statdata.ru/naselenie/gorod/kaliningrad</t>
  </si>
  <si>
    <t>протокол собрания инициативных групп</t>
  </si>
  <si>
    <t>организован конкурс инициативных проектов</t>
  </si>
  <si>
    <t>13 инициативных проектов</t>
  </si>
  <si>
    <t>протокол заседания комиссии, официальный сайт администрации ГО "Город Калининград"</t>
  </si>
  <si>
    <t xml:space="preserve">публикации на официальном сайте администрации ГО "Город Калининград"https://www.klgd.ru/activity/municipal_services/improvement/komfortnaya-sreda/konkurs_proektov/21.07.2020   https://www.klgd.ru/press/news/detail.php?ID=4905384, https://www.klgd.ru/press/news/detail.php?ID=4899538, https://www.klgd.ru/press/news/detail.php?ID=5199348, https://www.klgd.ru/press/news/detail.php?ID=5333694; 
</t>
  </si>
  <si>
    <t>публикации в СМИ https://klops.ru/news/2020-07-21/217233-avtotor-vydelil-dengi-na-blagoustroystvo-skvera-v-kosmodemyanskom,  https://klops.ru/news/2020-09-09/219917-tropa-zdorovya-v-chkalovske-i-zona-otdyha-na-severnoy-gore-kak-idyot-blagoustroystvo-po-proektam-kaliningradtsev</t>
  </si>
  <si>
    <t>город Калуга</t>
  </si>
  <si>
    <t>Реализация инициативного бюджетирования  (с 2021 года — реализация инициативных проектов )</t>
  </si>
  <si>
    <t>Управление по работе с населением на территориях</t>
  </si>
  <si>
    <t>МБУ "Калугаблагоустройство"/ управление городского хозяйства города Калуги</t>
  </si>
  <si>
    <t>рассчитывается самостоятельно инициаторами проектов</t>
  </si>
  <si>
    <t>https://kalugastat.gks.ru/storage/mediabank/B1UaQhRN/%D0%A7%D0%B8%D1%81%D0%BB%D0%B5%D0%BD%D0%BD%D0%BE%D1%81%D1%82%D1%8C%20%D0%BD%D0%B0%D1%81%D0%B5%D0%BB%D0%B5%D0%BD%D0%B8%D1%8F%20%D0%9A%D0%B0%D0%BB%D1%83%D0%B6%D1%81%D0%BA%D0%BE%D0%B9%20%D0%BE%D0%B1%D0%BB%D0%B0%D1%81%D1%82%D0%B8%20%D0%BF%D0%BE%20%D0%BC%D1%83%D0%BD%D0%B8%D1%86%D0%B8%D0%BF%D0%B0%D0%BB%D1%8C%D0%BD%D1%8B%D0%BC%20%D1%80%D0%B0%D0%B9%D0%BE%D0%BD%D0%B0%D0%BC%20%D0%B8%20%D0%B3%D0%BE%D1%80%D0%BE%D0%B4%D1%81%D0%BA%D0%B8%D0%BC%20%D0%BE%D0%BA%D1%80%D1%83%D0%B3%D0%B0%D0%BC.pdf</t>
  </si>
  <si>
    <t>подписные листы</t>
  </si>
  <si>
    <t>протоколы собрания граждан, ТОС</t>
  </si>
  <si>
    <t>протоколы Совета ТОС</t>
  </si>
  <si>
    <t>https://old.kaluga-gov.ru/?q=%D0%B8%D0%BD%D0%B8%D1%86%D0%B8%D0%B0%D1%82%D0%B8%D0%B2%D0%BD%D0%BE%D0%B5-%D0%B1%D1%8E%D0%B4%D0%B6%D0%B5%D1%82%D0%B8%D1%80%D0%BE%D0%B2%D0%B0%D0%BD%D0%B8%D0%B5_442365699</t>
  </si>
  <si>
    <t>https://vk.com/tos.kaluga</t>
  </si>
  <si>
    <t>Совет ТОС при ГУ, конференции ТОС, заседания Советов ТОС</t>
  </si>
  <si>
    <t>Муниципальное образование "Город Балабаново"</t>
  </si>
  <si>
    <t>Реализация проекта инициативного бюджетирования</t>
  </si>
  <si>
    <t>2019 год</t>
  </si>
  <si>
    <t>01.03.2020 г.</t>
  </si>
  <si>
    <t>30.11.2020 г.</t>
  </si>
  <si>
    <t>Положение о реализации на территории муниципального образования "Город Балабаново" проектов инициативного бюджетирования от 07.09.2017 №40-д</t>
  </si>
  <si>
    <t>http://admbalabanovo.ru/economica/initsiativnye-proekty/dokumenty/arkhiv.php</t>
  </si>
  <si>
    <t>Администрация (исполнительно-распорядительный орган) городского поселения "Город Балабаново"</t>
  </si>
  <si>
    <t>Муниципальное учреждение «Центр физкультуры и спорта»</t>
  </si>
  <si>
    <t>0,3</t>
  </si>
  <si>
    <t>0,06</t>
  </si>
  <si>
    <t>5,52</t>
  </si>
  <si>
    <t>https://www.gks.ru/scripts/db_inet2/passport/table.aspx?opt=29606105201920202021</t>
  </si>
  <si>
    <t>анкетирование по учреждениям и предприятиям города</t>
  </si>
  <si>
    <t>Протокол №2 сбора подписей жителей г. Балабаново от 01.03.2020 г.</t>
  </si>
  <si>
    <t>197 человек</t>
  </si>
  <si>
    <t>Публикации в газетах; информация по телевидению; информация в сети "Интернет"; использование специальных информационных досок/стендов</t>
  </si>
  <si>
    <t>Муниципальное образование городское поселение город Боровск</t>
  </si>
  <si>
    <t>Реализация проектов развития общественной инфраструктуры муниципального образования городское поселение город Боровск</t>
  </si>
  <si>
    <t>с 2018 года</t>
  </si>
  <si>
    <t>Положения о реализации на территории муниципального образования городское поселение город Боровск проектов инициативного бюджетирования в новой редакции, утвержденное решением Городской Думы муниципального образования городское поселение город Боровск от 29.03.2017 №16</t>
  </si>
  <si>
    <t xml:space="preserve">https://borovsk.org/wp-content/uploads/2019/03/RGD1629032017.pdf </t>
  </si>
  <si>
    <t>Администрация муниципального образования городское поселение город Боровск</t>
  </si>
  <si>
    <t>Иные межбюдженые трансферты</t>
  </si>
  <si>
    <t>вклад со стороны юридических лиц и индивидуальных предпринимателей не предусмотрен НПА</t>
  </si>
  <si>
    <t>Доля затрат на материалы - 38,96%, на работы - 61,04%</t>
  </si>
  <si>
    <t>https://www.gks.ru/scripts/db_inet2/passport/table.aspx?opt=29606101201920202021</t>
  </si>
  <si>
    <t>Сход граждан (очные встречи)</t>
  </si>
  <si>
    <t>https://borovsk.bezformata.com/listnews/initciativnoe-byudzhetirovanie-v-borovske/57626896/</t>
  </si>
  <si>
    <t>https://ok.ru/video/3616412864839</t>
  </si>
  <si>
    <t xml:space="preserve">Проведение информационно-разъяснительной работы среди населения через социальные сети. Помощь в организации собраний жителей и участия в них. Оповещение реализации программы инициативного бюджетирования  через областное телевидение
https://gtrk-kaluga.ru/news/obschestvo/news-8094 </t>
  </si>
  <si>
    <t>Выдвижение инициативных проектов осуществляется инициаторами проектов с 1 по 5 число каждого месяца с ноября по апрель. Инициаторы проектов-инициативные группы (численностью не менее пяти граждан города), органы территориального общественного самоуправления, юридические лица. Очередность реализации проектов осуществляется в порядке поступления денежных средств на софинансирование проекта от инициаторов, либо в порядке заключения "Соглашения об участии в реализации работ".</t>
  </si>
  <si>
    <t>Муниципальный район "Малоярославецкий район"</t>
  </si>
  <si>
    <t>Реализация проектов развития общественной инфраструктуры муниципальных образований, основанных на местных инициативах,в рамках муниципальной программы "Совершенствование системы управления финансами муниципального района "Малоярославекий район"</t>
  </si>
  <si>
    <t xml:space="preserve"> нет</t>
  </si>
  <si>
    <t>05 февраля 2020</t>
  </si>
  <si>
    <t>Постановление №101 от 05.02.2019 года "Об утверждении Положения о порядке предоставления бюджетам муниципальных образований Малоярославецкого района иных межбюджетных трансфертов на реализацию проектов развития общественной инфраструктуры муниципальных образований, основанных на местных инициативах, в рамках муниципальной программы "Совершенствование системы управления финансами муниципального района "Малоярославекий район"</t>
  </si>
  <si>
    <t>http://maloyar.ru/wp-content/uploads/2020/03/Постановление-от-5-02-2019-N101.pdf</t>
  </si>
  <si>
    <t>Малоярославецкая районная администрация муниципального района "Малоярославецкий район"</t>
  </si>
  <si>
    <t>СП "Поселок Детчино", СП Деревня Березовка", СП "Деревня Захарово", СП "Село Кудиново", СП "Деревня Прудки"</t>
  </si>
  <si>
    <t>уборка прелигающей территории,вырубка кустарника, опилка деревьев, покупка песка, щебня, ПГС, услуги спецтехники.</t>
  </si>
  <si>
    <t>Общее количество благополучателей всех проектов ИБ</t>
  </si>
  <si>
    <t>http://kalugastat.old.gks.ru/wps/wcm/connect/rosstat_ts/kalugastat/ru/statistics/population/</t>
  </si>
  <si>
    <t>подсчет</t>
  </si>
  <si>
    <t xml:space="preserve">http://berezovka-adm.ru/programma-podderzhki-mestnyh-iniciativ.html;  http://admdetchino.ru/category/ppmi/; http://selokudinovo.ru/programma-podderzhki-mestnyh-iniciativ.html; </t>
  </si>
  <si>
    <t>размещение информационного материала на стендах зданий администраций, магазинах, ФАПАХ, почтовых отделений.</t>
  </si>
  <si>
    <t>город Новороссийск</t>
  </si>
  <si>
    <t>Постановление администрации муниципального образования город Новороссийск от 07.06.2019 №2555 "Об утверждении Порядка применения инициативного бюджетирования в муниципальном образовании город Новороссийск";
Постановление администрации муниципального образования город Новороссийск от 04.02.2020 №560 "Об утверждении муниципальной программы "Развитие транспортной системы муниципального образования город Новороссийск на 2020 - 2024 годы";
Постановление администрации муниципального образования город Новороссийск от 30.12. 2016 №11003 "Об утверждении муниципальной программы муниципального образования город Новороссийск "Комплексное развитие городского хозяйства на территории муниципального образования город Новороссийск" на 2017 - 2019 годы";
Постановление администрации муниципального образования город Новороссийск от 31.10.2017 №8475 "Об утверждении муниципальной программы "Формирование современной городской среды на территории муниципального образования город Новороссийск в 2018 - 2022 годах"
Постановление администрации муниципального образования город Новороссийск от 29.10.2019 №5330 "Об утверждении муниципальной программы "Развитие отрасли "Культура" в городе Новороссийске на 2020 - 2022 годы и об утрате силы некоторых постановлений администрации муниципального образования город Новороссийск";
Постановление администрации муниципального образования город Новороссийск от 07.09.2018 №3560 "Об утверждении муниципальной программы "Развитие образования в городе Новороссийске на 2019 - 2021 годы" администрации муниципального образования город Новороссийск";
Постановление администрации муниципального образования город Новороссийск от 26.09.2017 №7624 "Об утверждении муниципальной программы "Молодежь Новороссийска на 2018 - 2020 годы" и об утрате силы постановления администрации муниципального образования город Новороссийск от 30 декабря 2020 года № 6645";
Постановление администрации муниципального образования город Новороссийск от 25.12.2020 №6500 "Об утверждении муниципальной программы "Социальная поддержка отдельных категорий населения муниципального образования город Новороссийск на 2021 - 2023 годы" и об утрате силы постановления администрации муниципального образования город Новороссийск от 30.12.2020 №6678"
Постановление администрации муниципального образования город Новороссийск от 20.01.2020 №222 "Об утверждении программы "Поддержка малого и среднего предпринимательства и индивидуальной предпринимательской инициативы в муниципальном образовании город Новороссийск на 2020 - 2024 годы" 
Постановление администрации муниципального образования город Новороссийск от 08.082019 №3713 "Об утверждении муниципальной программы "Развитие физической культуры и спорта в муниципальном образовании город Новороссийск на 2020 - 2022 годы"</t>
  </si>
  <si>
    <t>"От идей к решению"</t>
  </si>
  <si>
    <t>Постановление администрации муниципального образования город Новороссийск от 07.06.2019 №2555 "Об утверждении Порядка применения инициативного бюджетирования в муниципальном образовании город Новороссийск"</t>
  </si>
  <si>
    <t>https://admnvrsk.ru/dokumenty/dokumenty-administratsii/normativnye-pravovye-akty/postanovlenija/document-20190620114643-159789/?sphrase_id=10454</t>
  </si>
  <si>
    <t>Администрация муниципального образования город Новороссийск</t>
  </si>
  <si>
    <t>Управление по физической культуре и спорту
Отдел по делам молодежи
Управление образования
Управление культуры
Управление городского хозяйства
Отдел по взаимодействию с малым и средним бизнесом
МКУ "Территориальное управление по взаимодействию админитсрации города с населением"
Управление транспорта и дорожного хозяйства</t>
  </si>
  <si>
    <t>количество благополучателей проектов ИБ / общее количество граждан, проживающих в МО в 2020 году * 100%.</t>
  </si>
  <si>
    <t>https://krsdstat.gks.ru/storage/mediabank/credntgod%202019.htm</t>
  </si>
  <si>
    <t>Лист регистрации участников собрания</t>
  </si>
  <si>
    <t>Протокол отбора</t>
  </si>
  <si>
    <t>https://admnvrsk.ru/initsiativnoe-byudzhetirovanie/</t>
  </si>
  <si>
    <t>https://instagram.com/ibudgetirovanie?igshid=1puzl69j43v8u</t>
  </si>
  <si>
    <t>https://www.instagram.com/p/CN2yCYcJ_Ut/?igshid=5qhbdd9an6d8
https://www.instagram.com/tv/CNZlt9vKHHx/?igshid=f0vt3hr37s6u
https://www.instagram.com/tv/CKO7HytKmKL/?igshid=lu8jtbu6d0qs</t>
  </si>
  <si>
    <t>http://nvrsk.ifinmon.ru/index.php?option=com_dropfiles&amp;task=frontfile.download&amp;&amp;id=188&amp;catid=74&amp;preview=1
http://nvrsk.ifinmon.ru/index.php?option=com_dropfiles&amp;task=frontfile.download&amp;&amp;id=266&amp;catid=74&amp;preview=1</t>
  </si>
  <si>
    <t>Обучающий семинар</t>
  </si>
  <si>
    <t>Кавказское сельское поселение Кавказского района</t>
  </si>
  <si>
    <t>Строительство распределительного газопровода низкого давления по ул. им. А.С. Пушкина в ст. Кавказской (решение Совета Кавказского сельского поселения Кавказского района от 14.02.2020 года №3 "О передаче Кавказскому сельскому поселению Кавказского района права граждан на недостроенный объект газификации"); строительство распределительного газопровода низкого давления по пер. Пугачева от ул. Р. Люксембург до ул. Дзержинского в ст. Кавказской (решение Совета Кавказского сельского поселения Кавказского района от 30.01.2020 года №3 "О передаче Кавказскому сельскому поселению Кавказского района проектной документации")</t>
  </si>
  <si>
    <t xml:space="preserve">https://www.adm-kavkaz.ru/munitsipalnye-pravovye-akty/munitsipalnye-programmy/aktualnye-redaktsii/5624-postanovlenie-ot-20-02-2021-goda-52-o-vnesenii-izmenenij-v-postanovlenie-administratsii-kavkazskogo-selskogo-poseleniya-kavkazskogo-rajona-ot-13-noyabrya-2014-goda-482-ob-utverzhdenii-munitsipalnoj-programmy-razvitie-toplivno-energeticheskogo-kompleksa
https://adm-kavkaz.ru/sobranie-deputatov/reshenie-sobranij/resh-2020/4788-reshenie-2-ot-14-02-2020-goda-o-peredache-kavkazskomu-selskomu-poseleniyu-kavkazskogo-rajona-proektnoj-dokumentatsii-ob-ekta-gazifikatsii
https://adm-kavkaz.ru/sobranie-deputatov/reshenie-sobranij/resh-2020/4755-reshenie-2-ot-30-01-2020-g-o-peredache-kavkazskomu-selskomu-poseleniyu-kavkazskogo-rajona-proektnoj-dokumentatsii-ob-ekta-gazifikatsii
</t>
  </si>
  <si>
    <t>администрация Кавказского сельского поселения Кавказского района</t>
  </si>
  <si>
    <t>Иные (оплата услуг за изготовление технического паспорта, технического плана на распределительный газопровод низкого давления по ул. им. А.С. Пушкина в ст. Кавказской)</t>
  </si>
  <si>
    <t>Количество благополучателей  определено согласно протоколу общего собрания граждан поддержавших  проектную идею имеющая приоритетное значение   для жителей станицы</t>
  </si>
  <si>
    <t>https://krsdstat.gks.ru</t>
  </si>
  <si>
    <t>протокол общего собрания граждан</t>
  </si>
  <si>
    <t>Незаймановское сельское поселение Тимашевского района</t>
  </si>
  <si>
    <t>Ремонт уличного освещения Незаймановского сельского поселения Тимашевского района х.Стринский</t>
  </si>
  <si>
    <t>Решение Совета  Незаймановского сельского поселения Тимашевского района от 25.11.2020 №38 "Об утверждении Положения о порядке реализации инициативных проектов в  Незаймановском сельском поселении Тимашевского района"</t>
  </si>
  <si>
    <t xml:space="preserve">http://adm-nezaymanovskaya.ru/index.php/o-nezajmanovskoj/novosti/1863-reshenie-soveta-nezajmanovskogo-selskogo-poseleniya-timashevskogo-rajona-38-ot-25-11-2020-goda-ob-utverzhdeniya-polozheniya-o-poryadke-realizatsii-initsiativnykh-proektov-v-nezajmanovskom-selskom-poselenii-timashevskogo-rajona </t>
  </si>
  <si>
    <t>Администрация Незаймановского сельского поселения Тимашевского района</t>
  </si>
  <si>
    <t>местный бюджет</t>
  </si>
  <si>
    <t>подворовой обход</t>
  </si>
  <si>
    <t>согласно подворовому обходу от 01.07.2020</t>
  </si>
  <si>
    <t xml:space="preserve">протокол заседания комиссии по проведению конкурсного отбора инициативных проектов в Незаймановоском сельском поселении Тимашевского района </t>
  </si>
  <si>
    <t xml:space="preserve">http://adm-nezaymanovskaya.ru/index.php/o-nezajmanovskoj/novosti/1846-initsiativnye-proekty </t>
  </si>
  <si>
    <t>информационные листовки, размещенные на общественных территориях на информационных стендах:  Дом культуры, ФАП, магазины, остановки. Размещение информации на официальном сайте администрации Незаймановского сельского поселения, в местной газете, в  группах WhatsApp, Telegram обеспечило самый большой охват населения (826 человек)</t>
  </si>
  <si>
    <t>листовки с содержанием необходимых мероприятий для реалиции проектов местных инициатив</t>
  </si>
  <si>
    <t>Вебинар ФЭС по местному и общественному самоуправлению и местным сообществам при Общенациональной ассоциации территориального общественного самоуправления</t>
  </si>
  <si>
    <t xml:space="preserve">Ейское городское поселение Ейского района </t>
  </si>
  <si>
    <t>Инициативное бюджетирование в Ейском городском поселении Ейского района</t>
  </si>
  <si>
    <t>Постановление администрации Ейского городского поселения Ейского района от 19.05.2020 № 342 "Об утверждении Порядка применения инициативного 
бюджетирования в Ейском городском
 поселении Ейского района"</t>
  </si>
  <si>
    <t>http://adm-yeisk.ru/docs?date%5Bmin%5D%5Bmonth%5D=&amp;date%5Bmin%5D%5Bday%5D=&amp;date%5Bmin%5D%5Byear%5D=&amp;date%5Bmax%5D%5Bmonth%5D=&amp;date%5Bmax%5D%5Bday%5D=&amp;date%5Bmax%5D%5Byear%5D=&amp;field_number_value=&amp;title=342&amp;shs_term_node_tid_depth=All&amp;shs_term_node_tid_depth_1=All</t>
  </si>
  <si>
    <t>Управление жилищно-коммунально хозяйства администрации Ейского городского поселения Ейского района</t>
  </si>
  <si>
    <t>Администрация Ейского городского поселения Ейского района</t>
  </si>
  <si>
    <t>Бюджетные ассигнования на исполнение бюджетной сметы казенного учреждения</t>
  </si>
  <si>
    <t>Муниципальное казенное учреждение Ейского городского поселения Ейского района "Центр городского хозяйства"</t>
  </si>
  <si>
    <t>ориентировочное количество жителей данного района, пользующиеся данной автомобильной дорогой</t>
  </si>
  <si>
    <t>https://rosstat.gov.ru/</t>
  </si>
  <si>
    <t>сбор предожений секретарем комиссии в соотвествии с порядком поведения инициативного бюджетирования</t>
  </si>
  <si>
    <t>протокол собрания инициативной группы от 23.05.2020г</t>
  </si>
  <si>
    <t>Протокол конкурсного отбора проектов местных инициатив</t>
  </si>
  <si>
    <t>город Шадринск</t>
  </si>
  <si>
    <t>Пятьдесят на пятьдесят (50/50)</t>
  </si>
  <si>
    <t>1 января 2018 года</t>
  </si>
  <si>
    <t>решение Шадринской городской Думы от 18.06.2015 №745 «Об утверждении Положения «О порядке привлечения и расходования безвозмездных поступлений от физических и юридических лиц, в том числе добровольных пожертвований в бюджет города Шадринска»</t>
  </si>
  <si>
    <t>https://www.shadrinsk-city.ru/?p=59348</t>
  </si>
  <si>
    <t>Комитет по строительству и архитектуре, комитет городского хозяйства, комитет по физической культуре, отдел образования, отдел культуры Администрации города Шадринска</t>
  </si>
  <si>
    <t>исполнители работ, оказания услуг</t>
  </si>
  <si>
    <t>https://sverdl.gks.ru/folder/25983</t>
  </si>
  <si>
    <t>совещания с руководителями учреждений, сход граждан</t>
  </si>
  <si>
    <t>Муниципальное образование городской округ Джанкой Республики Крым</t>
  </si>
  <si>
    <t>Благоустройство памятных мест приуроченных ко Дню Победы в Великой Отечественной Войне</t>
  </si>
  <si>
    <t>Период проведения конкурсного отбора: 06.12.2019 г. - 01.02.2020 г.</t>
  </si>
  <si>
    <t>Завершение проекта: 29.06.2020 г.</t>
  </si>
  <si>
    <t>1. Постановление администрации города Джанкоя от 13 февраля 2020 года № 87 "О внесении изменений в постановление администрации города Джанкоя от 02 декабря 2019 года №611 «О проведении конкурсного отбора проектов инициативного бюджетирования в муниципальном образовании городской округ Джанкой Республики Крым по направлению «Благоустройство памятных мест приуроченных ко Дню Победы в Великой Отечественной Войне».
2. Постановление администрации города Джанкоя от 02 декабря 2019 года № 611 "О проведении конкурсного отбора проектов инициативного бюджетирования в муниципальном образовании городской округ Джанкой Республики Крым по направлению «Благоустройство памятных мест приуроченных ко Дню Победы в Великой Отечественной Войне»
3. Постановление администрации города Джанкоя от 25 марта 2019 года № 142 "Об инициативном бюджетировании в муниципальном образовании городской округ Джанкой Республики Крым"</t>
  </si>
  <si>
    <t>1. https://dzhankoy.rk.gov.ru/document/show/2020_02_13_16_18_postanovlenie_administratsii_goroda_dzhankoia_ot_13_fevralia_2020_goda_87_o_vnesenii_izmenenii_v_postanovlenie_administratsii_goroda_ 
2.https://dzhankoy.rk.gov.ru/document/show/2019_12_03_16_05_postanovlenie_administratsii_goroda_dzhankoia_ot_02_dekabria_2019_goda_611_o_provedenii_konkursnogo_otbora_proektov_initsiativnogo_bi
3. https://dzhankoy.rk.gov.ru/document/show/2019_03_26_09_14_postanovlenie_administratsii_goroda_dzhankoia_ot_25_marta_2019_goda_142_ob_initsiativnom_biudzhetirovanii_v_munitsipalnom_obrazovanii</t>
  </si>
  <si>
    <t>Финансовое управление администрации города Джанкоя Республики Крым</t>
  </si>
  <si>
    <t xml:space="preserve">
Управление по вопросам жилищно-коммунального и жилищного хозяйства, благоустройства, экологии, транспорта, капитального строительства администрации города Джанкоя Республики Крым</t>
  </si>
  <si>
    <t>Иные</t>
  </si>
  <si>
    <t>Индивидуальный предприниматель - Кушнаренко Марина Анатольевна</t>
  </si>
  <si>
    <t>Неоплачиваемый вклад включает использование строительных материалов, оборудования,  механизмов, архитектурных форм, инструмента, уборку мусора, осуществление работ (услуг)  обственными силами (трудовыми ресурсами) по благоустройству, оказание прочих услуг и иное  участие.</t>
  </si>
  <si>
    <t>не учитывался</t>
  </si>
  <si>
    <t>https://crimea.gks.ru/folder/27537</t>
  </si>
  <si>
    <t>Протокол общего собрания трудового коллектива МУП "Вариант" (сбор подписей)</t>
  </si>
  <si>
    <t>Протокол № 2 общего собрания трудового коллектива МУП "Вариант"</t>
  </si>
  <si>
    <t>https://dzhankoy.rk.gov.ru/uploads/txteditor/dzhankoy/attachments//d4/1d/8c/d98f00b204e9800998ecf8427e/phpqeL7To_prot.pdf</t>
  </si>
  <si>
    <t>https://dzhankoy.rk.gov.ru/uploads/txteditor/dzhankoy/attachments//d4/1d/8c/d98f00b204e9800998ecf8427e/phptqy4If_2.pdf</t>
  </si>
  <si>
    <t>https://dzhankoy.rk.gov.ru/article/show/2019_12_03_16_22_vnimaniiu_zhitelei_goroda</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</si>
  <si>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города</t>
  </si>
  <si>
    <t>https://dzhankoy.rk.gov.ru/uploads/txteditor/dzhankoy/attachments//d4/1d/8c/d98f00b204e9800998ecf8427e/php6WgYuY_1.pdf  https://dzhankoy.rk.gov.ru/uploads/txteditor/dzhankoy/attachments//d4/1d/8c/d98f00b204e9800998ecf8427e/phphKdn4B_2.pdf</t>
  </si>
  <si>
    <t>Молодое поколение планирует бюджет</t>
  </si>
  <si>
    <t>Проведение конкурсного отбора: 01.09.2019 г. - 01.02.2020 г.</t>
  </si>
  <si>
    <t>1. Постановление администрации города Джанкоя от 16.08.2019 года № 392 "О реализации инициативного бюджетирования в муниципальном образовании городской округ Джанкой Республики Крым в рамках проекта «Молодое поколение планирует бюджет»".
2. Постановление администрации города Джанкоя от 25 марта 2019 года № 142 "Об инициативном бюджетировании в муниципальном образовании городской округ Джанкой Республики Крым
3. Решение Джанкойского городского совета от 27.11.2020 № 189 «Об инициативном бюджетировании в муниципальном образовании городской округ Джанкой Республики Крым»</t>
  </si>
  <si>
    <t>1. https://dzhankoy.rk.gov.ru/document/show/2019_08_20_10_10_postanovlenie_administratsii_goroda_dzhankoia_ot_16_08_2019_goda_392_o_realizatsii_initsiativnogo_biudzhetirovaniia_v_munitsipalnom_o
2. https://dzhankoy.rk.gov.ru/document/show/2019_03_26_09_14_postanovlenie_administratsii_goroda_dzhankoia_ot_25_marta_2019_goda_142_ob_initsiativnom_biudzhetirovanii_v_munitsipalnom_obrazovanii
3. https://dzhankoy.rk.gov.ru/uploads/txteditor/dzhankoy/attachments//d4/1d/8c/d98f00b204e9800998ecf8427e/phpgZYxU7_189.pdf</t>
  </si>
  <si>
    <t xml:space="preserve">Отдел образования администрации города Джанкоя Республики Крым
</t>
  </si>
  <si>
    <t>субсидии на иные цели</t>
  </si>
  <si>
    <t>МОУ города Джанкоя</t>
  </si>
  <si>
    <t xml:space="preserve">1.https://dzhankoy.rk.gov.ru/uploads/txteditor/dzhankoy/attachments//d4/1d/8c/d98f00b204e9800998ecf8427e/phpvL4LE7_2.pdf
2. https://dzhankoy.rk.gov.ru/uploads/txteditor/dzhankoy/attachments//d4/1d/8c/d98f00b204e9800998ecf8427e/phpaSyH1c_img116.pdf 
3. https://dzhankoy.rk.gov.ru/uploads/txteditor/dzhankoy/attachments//d4/1d/8c/d98f00b204e9800998ecf8427e/phpYDbVCg_2.pdf 
4. https://dzhankoy.rk.gov.ru/ru/structure/2100 
5. https://dzhankoy.rk.gov.ru/ru/structure/2019_11_26_15_44_mou_goroda_dzhankoia_respubliki_krym_sredniaia_shkola_5 
6. https://dzhankoy.rk.gov.ru/ru/structure/2086
7. https://dzhankoy.rk.gov.ru/ru/structure/2019_11_12_10_31_mou_sredneia_shkola_detskii_sad_7_im_m_oktiabrskoi_g_dzhankoia 
8. https://dzhankoy.rk.gov.ru/ru/structure/2019_11_12_10_30_mou_goroda_dzhankoia_respubliki_krym_sredniaia_shkola_8
</t>
  </si>
  <si>
    <t>https://dzhankoy.rk.gov.ru/uploads/txteditor/dzhankoy/attachments//d4/1d/8c/d98f00b204e9800998ecf8427e/phpkuqS1f_1.pdf</t>
  </si>
  <si>
    <t>https://dzhankoy.rk.gov.ru/article/show/2019_09_24_15_37_v_administratsii_goroda_dzhankoia_sostoialas_vstrecha_uchastnikov_proekta_molodoe_pokolenie_planiruet_biudzhet</t>
  </si>
  <si>
    <t>Распространение информационных материалов о Проекте через официальный сайт в информационно-телекоммуникационной сети Интернет; на информационных стендах в учебных учреждениях; в газете "Свободная территория" (выпуск от 12.09.2019 года №37(241).</t>
  </si>
  <si>
    <t>https://dzhankoy.rk.gov.ru/uploads/txteditor/dzhankoy/attachments//d4/1d/8c/d98f00b204e9800998ecf8427e/phpCvoBDQ_2.pdf</t>
  </si>
  <si>
    <t>городской округ город Первомайск</t>
  </si>
  <si>
    <t>Поддержка проектов местных инициатив на территории городского округа город Первомайск Нижегородской области</t>
  </si>
  <si>
    <t>Постановление администрации городского округа город Первомайск Нижегородской области от 23.04.2019 №616 "О поддержке проектов местных инициатив на территории городского округа город Первомайск Нижегородской области"</t>
  </si>
  <si>
    <t>http://www.1maysk.ru/index.php?option=com_content&amp;view=article&amp;id=8621%3A2019---&amp;catid=266%3A8889&amp;Itemid=31</t>
  </si>
  <si>
    <t>Администрация городского округа город Первомайск Нижегородской области</t>
  </si>
  <si>
    <t>Бюджетные ассигнования на реализацию проектов по поддержке местных инициатив</t>
  </si>
  <si>
    <t>Администрация городского округа город Первомайск Нижегородской области (заключает муниципальные контракты на реализацию инициативных проектов)</t>
  </si>
  <si>
    <t>Статистическая информация о численности населения</t>
  </si>
  <si>
    <t>https://nizhstat.gks.ru/ofstatistics</t>
  </si>
  <si>
    <t>Протокол собрания жителей от 04.04.2020</t>
  </si>
  <si>
    <t>50 человек</t>
  </si>
  <si>
    <t>Протокол заседания конкурсной комисии по рассмотрению проектов местных инициатив  от 12.05.2020 №1 http://exchange.1maysk.ru/doc/3.2.1/%D0%9F%D1%80%D0%BE%D1%82%D0%BE%D0%BA%D0%BE%D0%BB%20%D0%B7%D0%B0%D1%81%D0%B5%D0%B4%D0%B0%D0%BD%D0%B8%D1%8F%20%D0%BA%D0%BE%D0%BC%D0%B8%D1%81%D1%81%D0%B8%D0%B812052020.zip</t>
  </si>
  <si>
    <t>7 человек</t>
  </si>
  <si>
    <t>http://www.1maysk.ru/index.php?option=com_content&amp;view=article&amp;id=9668:2019-05-17-11-17-37&amp;catid=256:2017-10-17-07-22-16&amp;Itemid=100087</t>
  </si>
  <si>
    <t>Информационное сообщение в интернет ресурсе (сообщество "Районный Вестник"), ниформационные плакаты на рекламных щитах и в местах массового посещения населением</t>
  </si>
  <si>
    <t>Вебинары (семинары), два раза в год, сотрудники учреждений и организаций городского округа город Первомайск Нижегородской области</t>
  </si>
  <si>
    <t>Боровичский муниципальный район</t>
  </si>
  <si>
    <t>Проект школьного муниципального бюджетирования "Твой школьный бюджет"</t>
  </si>
  <si>
    <t>"Твой Школьный бюджет"</t>
  </si>
  <si>
    <t>Постановление Администрации Боровичского муниципального района от 19.05.2020 № 1236 "О муниципальном проекте "Твой школьный бюджет"     Приказ комитета образования Администрации Боровичского муниципального района от 01.10.2019 № 123  "Об утверждении положения  о проекте "Твой школьный бюджет"</t>
  </si>
  <si>
    <t>комитет образования Администрации Боровичского муниципального района</t>
  </si>
  <si>
    <t>Иной межбюджетный трансферт (средства областного бюджета)                                               Субсидия из муниципального бюджета</t>
  </si>
  <si>
    <t>муниципальные общеобразовательные организации</t>
  </si>
  <si>
    <t>круг лиц, из числа благополучателей обучающиеся и их родители, педагогический коллектив, в сельском поселении жители поселений</t>
  </si>
  <si>
    <t>классные часы в школах района в 8,9,10 классах</t>
  </si>
  <si>
    <t>протокол заседания комиссии</t>
  </si>
  <si>
    <t>очная защита проекта, протокол заседания комиссии</t>
  </si>
  <si>
    <t>ТВ, социальные сети, сайт Администрации Боровичского муниципального района, сайт комитета  образования Администрации Боровичского муниципального района, СМИ</t>
  </si>
  <si>
    <t>Августовское педагогическое совещание с пед.работниками и руководителями учреждений, уроки финансовой грамотности в школах района</t>
  </si>
  <si>
    <t xml:space="preserve">2235 директора, завучи, пед.работники </t>
  </si>
  <si>
    <t>Любытинский район</t>
  </si>
  <si>
    <t>Твой школьный бюджет</t>
  </si>
  <si>
    <t>2020 год</t>
  </si>
  <si>
    <t>Распоряжение администрации муниципального  района№ 594 рг «О  реализации кластерного проекта «Твой школьный бюджет» на территории  Любытинского  муниципального района»</t>
  </si>
  <si>
    <t>https://komobrlub.edusite.ru/p94aa1.html</t>
  </si>
  <si>
    <t>Комитет образования Администрации Любытинского муниципального района</t>
  </si>
  <si>
    <t>Общеобразовательные организации</t>
  </si>
  <si>
    <t>Учащиеся муниципального  автономного общеобразовательного  учреждения «Неболчская средняя  школа», муниципального  автономного общеобразовательного  учреждения «Зарубинская основная школа», муниципального  автономного общеобразовательного  учреждения  «Любытинская средняя школа»</t>
  </si>
  <si>
    <t>Мошенский муниципальный район</t>
  </si>
  <si>
    <t>О реализации  муниципального проекта " Наш школьный бюджет"</t>
  </si>
  <si>
    <t xml:space="preserve"> " Наш школьный бюджет"</t>
  </si>
  <si>
    <t>Приказ комитета образования и культуры Администрации Мошенского муниципального района</t>
  </si>
  <si>
    <t>https://5310skom.edusite.ru/DswMedia/prikazot05022020-32.pdf</t>
  </si>
  <si>
    <t>комитет образования и культуры Администрации Мошенского муниципального района</t>
  </si>
  <si>
    <t>МАОУСШ с.Мошенское, МАОУ СШ д. Броди,МАОУ СШ д. Ореховно.</t>
  </si>
  <si>
    <t>Количество учащихся школ, где реализуется проект д.Ореховно, д. Броди, с. Мошенское</t>
  </si>
  <si>
    <t>https://5310skom.edusite.ru/DswMedia/prikaz28042020-84.pdf</t>
  </si>
  <si>
    <t>Окуловский муниципальный район</t>
  </si>
  <si>
    <t>муниципальный проект "Твой школьный бюджет"</t>
  </si>
  <si>
    <t>Приказ "Об утверждении положения о муниципальном проекте "Твой школьный бюджет""</t>
  </si>
  <si>
    <t>Администрация Окуловского муниципального района</t>
  </si>
  <si>
    <t>Комитет образования Администрации Окуловского муниципального района</t>
  </si>
  <si>
    <t xml:space="preserve">Муниципальное автономное общеобразовательное учреждение «Средняя школа № 1 
г. Окуловка»/ Муниципальное автономное общеобразовательное учреждение «Средняя школа п. Котово»
</t>
  </si>
  <si>
    <t>количество обучающихся МАОУ СШ №1 г.Окуловка и МАОУ СШ п.Котово</t>
  </si>
  <si>
    <t>http://komobr.okuladm.ru/news/363</t>
  </si>
  <si>
    <t>Пестовский муниципальный район</t>
  </si>
  <si>
    <t>Постановление Администрации Пестовского муниципального района «Об утверждении плана мероприятий («дорожной карты») по реализации кластерного проекта «Твой школьный бюджет» на территории Пестовского района» от 11.02.2020 г. №158</t>
  </si>
  <si>
    <t>https://pestovo-obrazovanie.edusite.ru/mconstr.html?page=/p117aa1.html</t>
  </si>
  <si>
    <t>Администрация Пестовского муниципального района</t>
  </si>
  <si>
    <t>Комитет образования Администрации Пестовского муниципального района</t>
  </si>
  <si>
    <t>Субсидия на иные цели</t>
  </si>
  <si>
    <t>МАОУ  "Средняя школа № 1 имени Н.И.Кузнецова" г. Пестово; МАОУ  "Средняя школа № 6 имени Васюковича С.В." г. Пестово; МБОУ  "Средняя школа д. Охона"</t>
  </si>
  <si>
    <t>количество обучающихся общеобразовательных организаций, участвовавших в проекте</t>
  </si>
  <si>
    <t xml:space="preserve">протокол заседания бюджетной комиссии по реализации проекта «Твой школьный бюджет» от 20.03.2020 №1  </t>
  </si>
  <si>
    <t>размещение на официальных сайтах комитета образования, общеобразовательных организаций, размещение информации в СМИ https://pestovo-obrazovanie.edusite.ru/mconstr.html?page=/p117aa1.html</t>
  </si>
  <si>
    <t>проведение классных часов</t>
  </si>
  <si>
    <t>Хвойнинский муниципальный район</t>
  </si>
  <si>
    <t>Муниципальный проект "Твой школьный бюджет"</t>
  </si>
  <si>
    <t>приказ комитета образования от 25.04.2021 №17 Об утверждении положения о проекте «Твой школьный бюджет», приказ комитета образования от 26.11.2019 № 198  Об утверждении положения о проекте «Школьная инициатива»</t>
  </si>
  <si>
    <t>ko5317@yandex.ru</t>
  </si>
  <si>
    <t>Комитет образования Администрации Хвойнинского муниципального района</t>
  </si>
  <si>
    <t>Муниципальное автономное общеобразовательное учреждение «Средняя школа с.Левоча»</t>
  </si>
  <si>
    <t>не учитывалась</t>
  </si>
  <si>
    <t>Количество учащихся школы МАУСШ с.Левоча</t>
  </si>
  <si>
    <t>Бюджетная комиссия проводит отбор проектов для подготовки рекомендаций о включении их в проект бюджета Хвойнинского муниципального района на 2020 год и о включении проектов, набравших наибольшее количество баллов, на общую сумму не более 200 000 рублей, в перечень мероприятий муниципальной программы «Развитие образования в Хвойнинском муниципальном районе на 2014-2022 годы»,  утвержденную Постановлением Администрации Хвойнинского муниципального района от 31.10.2013 № 693.</t>
  </si>
  <si>
    <t>http://komobrhv.ru/2019/12/04/твой-школьный-бюджет/</t>
  </si>
  <si>
    <t>http://komobrhv.ru/2020/10/29/итоги-кластерного-проекта-твой-школ/</t>
  </si>
  <si>
    <t>Администрация Полтавского городского поселения Полтавского муниципального района Омской области</t>
  </si>
  <si>
    <t>Установка детской игровой площадки по адресу р.п. Полтавка, ул. Садовая</t>
  </si>
  <si>
    <t>Муниципальная программа Полтавского городского поселения Полтавского муниципального района Омской области "Социально-экономическое развитие Полтавского городского поселения"</t>
  </si>
  <si>
    <t>http://poltav.poltav.omskportal.ru/omsu/poltav-3-52-248-1/poseleniya/poltavskoe-gorodskoe/programmy/Soc_ekonom</t>
  </si>
  <si>
    <t xml:space="preserve"> местный бюджет, иные межбюджетные трансферты из бюджета района бюджету поселения </t>
  </si>
  <si>
    <t xml:space="preserve">Описание прямых благополучателей :
На улицах Плодопитомническая, Кизюрина, Мичурина,Садовая проживает 252 жителя, в том числе детей от 0 до 16   46 человек. Жители нуждаются в обустроенной детской площадке. Таким образом прямыми благополучателями являются дети.
</t>
  </si>
  <si>
    <t>сходы граждан, по итогам которых составлены протоколы</t>
  </si>
  <si>
    <t>Абдулинский городской округ</t>
  </si>
  <si>
    <t>Народный бюджет в муниципальном образовании Абдулинский городской округ Оренбургской области</t>
  </si>
  <si>
    <t>Постановление Администрации МО Абдулинский городской округ Оренбургской области от 13.06.2017 № 808-п"Об утверждении положения о прокте "Народный бюджет" в муниципальном образовании Абдулинский городской округ Оренбургской области</t>
  </si>
  <si>
    <t>http://mo-ab-area.orb.ru/doc/view/4885</t>
  </si>
  <si>
    <t>Управление финансов и экономического развития</t>
  </si>
  <si>
    <t>Управление капитального строительства, рхитектуры и коммунального хозяйства</t>
  </si>
  <si>
    <t>доведение лимитов</t>
  </si>
  <si>
    <t>https://orenstat.gks.ru/storage/document/document_statistic_collection/2020-08/25/Mun_obr_01-2020.pdf</t>
  </si>
  <si>
    <t>Реестр подписей участников собрания</t>
  </si>
  <si>
    <t>Протокол собрани населения об участии в рамках проекта "Народный бюджет"</t>
  </si>
  <si>
    <t>Протокол собрания населения и реестр подписей</t>
  </si>
  <si>
    <t>http://mo-ab-area.orb.ru/structure/narbudget/</t>
  </si>
  <si>
    <t>город Бугуруслан</t>
  </si>
  <si>
    <t>проект "Народный бюджет" в муниципальном образовании "город Бугуруслан"</t>
  </si>
  <si>
    <t>Постановление администрации муниципального образования "город Бугуруслан" от 19.03.2020 № 159-п "Об утверждении Положения о проекте "Народный бюджет" в муниципальном образовании "город Бугуруслан"</t>
  </si>
  <si>
    <t>https://bugadmin.orb.ru/munitsipalitet/narodnyi-byudzhet/</t>
  </si>
  <si>
    <t>Финансовый отдел администрации муниципального образования "город Бугуруслан"</t>
  </si>
  <si>
    <t>Администрация муниципального образования "город Бугуруслан"</t>
  </si>
  <si>
    <t>Бюджетные ассигнования местного бюджета</t>
  </si>
  <si>
    <t>МКУ "Управление городского хозяйства"</t>
  </si>
  <si>
    <t>6,87%</t>
  </si>
  <si>
    <t>0,0001%</t>
  </si>
  <si>
    <t>3,31%</t>
  </si>
  <si>
    <t>0,15</t>
  </si>
  <si>
    <t>89,82%</t>
  </si>
  <si>
    <t>0,2</t>
  </si>
  <si>
    <t>0,016%</t>
  </si>
  <si>
    <t xml:space="preserve">Количество жителей из близлежащих домов, которые пользуются тротуаром </t>
  </si>
  <si>
    <t>2,04</t>
  </si>
  <si>
    <t>48,94</t>
  </si>
  <si>
    <t>голосование на сайте администрации</t>
  </si>
  <si>
    <t>Размещение информации на сайте администрации муниципального образования "город Бугуруслан", в социальной сети размещались результаты реализации проекта</t>
  </si>
  <si>
    <t>город Бузулук</t>
  </si>
  <si>
    <t>Постановление администрации города Бузулука от 18.04.2016 № 869-п «Об утверждении Положения о проекте «Народный бюджет» в городе Бузулуке» (ред. 20.08.2019 № 1253-п)</t>
  </si>
  <si>
    <t>http://www.xn--90amjd2bbb.xn--p1ai/content/2020-%D0%B3%D0%BE%D0%B4-22</t>
  </si>
  <si>
    <t>Финансовое управление администрации города Бузулука</t>
  </si>
  <si>
    <t>Управление жилищно-коммунального хозяйства и транспорта администрации города и  Управление градообразования и капитального строительства города Бузулука</t>
  </si>
  <si>
    <t>Иная форма (Прямое финансирование ГРБС)</t>
  </si>
  <si>
    <t>количество проживающих граждан в районе реализации проектов</t>
  </si>
  <si>
    <t>https://www.gks.ru/scripts/db_inet2/passport/pass.aspx?base=munst53&amp;r=53712000</t>
  </si>
  <si>
    <t>Проектный офис администрации города Бузулука</t>
  </si>
  <si>
    <t>интернет заявка</t>
  </si>
  <si>
    <t>http://xn--90amjd2bbb.xn--p1ai/%D0%BE%D0%BF%D1%80%D0%BE%D1%81/%D0%BA%D0%B0%D0%BA-%D0%B2%D1%8B-%D1%81%D1%87%D0%B8%D1%82%D0%B0%D0%B5%D1%82%D0%B5-%D0%B2-%D0%BA%D0%B0%D0%BA%D0%BE%D0%BC-%D0%B8%D0%B7-%D0%BF%D0%B5%D1%80%D0%B5%D1%87%D0%B8%D1%81%D0%BB%D0%B5%D0%BD%</t>
  </si>
  <si>
    <t>комиссия по проведению конкурсного отбора заявок на участие в проекте «Народный бюджет - 2021»</t>
  </si>
  <si>
    <t>Проведение интернет голосования отбора проектов, публикация информации на всех эапах реализации проекта на официальном сайте администрации города Бузулука</t>
  </si>
  <si>
    <t>http://xn--90amjd2bbb.xn--p1ai/content/%D0%BD%D0%B0%D1%80%D0%BE%D0%B4%D0%BD%D1%8B%D0%B9-%D0%B1%D1%8E%D0%B4%D0%B6%D0%B5%D1%82</t>
  </si>
  <si>
    <t xml:space="preserve">Публикации информации о проекте на официальном сайте администрации города, в газете, социальных сетях, при проведении уроков финансовой грамотности в учреждениях города. Специалистами Финансового управления администрации города Бузулука  ежегодно проводится большая работа по повышению финансовой грамотности населения в различных учреждениях города  на которых разъясняется механизм реализации и участия в данном проекте. </t>
  </si>
  <si>
    <t>Приложение в эл.виде</t>
  </si>
  <si>
    <t xml:space="preserve">поведение встреч, оказание методической и консультативной помощи  инициативным  группам  участникам проекта,  по мере необходимости но не реже 6 раз за период </t>
  </si>
  <si>
    <t>Гайский городской округ</t>
  </si>
  <si>
    <t>«Народный бюджет» в муниципальном образовании Гайский городской округ Оренбургской области"</t>
  </si>
  <si>
    <t>Начало: 17.07.2020</t>
  </si>
  <si>
    <t xml:space="preserve">Постановление города Гая от 1800-пА от 29.11.2016 "Об утверждении Положения о проекте «Народный бюджет»
в муниципальном образовании Гайский городской округ
Оренбургской области"
</t>
  </si>
  <si>
    <t>http://www.finuprgaj.ru/народный-бюджет/документы/attachment/постановление-2</t>
  </si>
  <si>
    <t>Администрация Гайского городского округа</t>
  </si>
  <si>
    <t>Комитет по физической культуре, спорту и туризму администрации Гайского городского округа</t>
  </si>
  <si>
    <t>310 (Увеличение стоимости основных средств)</t>
  </si>
  <si>
    <t>Благополучателями являются жители п. Калиновка- 708 человек, из них 185 детей  до 14 лет, а так же 92 человека- дети и внуки приезжающие на лето.</t>
  </si>
  <si>
    <t>http://www.gy.orb.ru/2/3/7</t>
  </si>
  <si>
    <t>Регистрационные литы</t>
  </si>
  <si>
    <t>https://www.finuprgaj.ru/открытый-бюджет/народный-бюджет-2/анкета-тест</t>
  </si>
  <si>
    <t>https://www.finuprgaj.ru/открытый-бюджет/народный-бюджет-2/документы</t>
  </si>
  <si>
    <t>http://www.gy.orb.ru/118?item=16425</t>
  </si>
  <si>
    <t>Информационный стенд в клубе досуга</t>
  </si>
  <si>
    <t>Сорочинский городской округ</t>
  </si>
  <si>
    <t>Проект "Народный бюджет"</t>
  </si>
  <si>
    <t>21 октября 2019 г.</t>
  </si>
  <si>
    <t>16 ноября 2020 г.</t>
  </si>
  <si>
    <t>Постановление администрации Сорочинского городского округа Оренбургской области от 18.04.2016 № 554-п "Об утверждении положения о проекте "Народный бюджет" в муниципальном образовании Сорочинский городской округ Оренбургской области" (с изм. от 27.10.2017 №1839-п, от 16.10.2018 № 1647-п, от 28.08.2020 № 2202-п)</t>
  </si>
  <si>
    <t>http://sorochinsk56.ru/index.php?id=1041</t>
  </si>
  <si>
    <t>Управление финансов администрации Сорочинского городского округа Оренбургской области</t>
  </si>
  <si>
    <t>Управление жилищно-коммунального хозяйства администрации Сорочинского городского округа Оренбургской области</t>
  </si>
  <si>
    <t>ООО "КсилРегион монтаж", ООО "КсилЮжУрал", МУП "Санитарная очистка"</t>
  </si>
  <si>
    <t>http://sorochinsk56.ru/assets/files/2020-Postanovlenia/soc_pasport.docx</t>
  </si>
  <si>
    <t>информационные встречи с жителями</t>
  </si>
  <si>
    <t>http://sorochinsk56.ru/index.php?id=2119</t>
  </si>
  <si>
    <t>протокол заседания конкурсной комиссии по реализации проекта "Народный бюджет"</t>
  </si>
  <si>
    <t>http://sorochinsk56.ru/index.php?id=2120</t>
  </si>
  <si>
    <t>общественное обсуждение</t>
  </si>
  <si>
    <t>http://sorochinsk56.ru/index.php?id=1039</t>
  </si>
  <si>
    <t>Акбулакский район</t>
  </si>
  <si>
    <t>Реализация проекта "Народный бюджет"</t>
  </si>
  <si>
    <t xml:space="preserve"> Реализация проекта "Народный бюджет"</t>
  </si>
  <si>
    <t>Постановление Администрации МО Акбулакский район № 1030-п от 28.09.2017 г.</t>
  </si>
  <si>
    <t>https://disk.yandex.ru/d/crDxV6A63NnntJ</t>
  </si>
  <si>
    <t>Администрация муниципального образования "Акбулакский район"</t>
  </si>
  <si>
    <t>Финансовый отдел администрации Акбулакского района</t>
  </si>
  <si>
    <t>Иные межбюджетные транcферты</t>
  </si>
  <si>
    <t>Администрация МО Заилечный сельсовет Администрация МО Новопавловский сельсовет Администрация МО Новоуспеновский сельсовет Администрация МО Сагарчинский сельсовет</t>
  </si>
  <si>
    <t>https://docs.google.com/forms/d/e/1FAIpQLSfyAHDkLXBtDdTZk1-JhqH54nQ68MznK3Ij-DEgWdlF1xGgUQ/viewanalytics</t>
  </si>
  <si>
    <t>3773 (2847 - засчитанных)</t>
  </si>
  <si>
    <t xml:space="preserve">http://finotdel-akbulak.ru/index.php?option=com_content&amp;view=article&amp;id=202&amp;Itemid=117 </t>
  </si>
  <si>
    <t>Собрания граждан</t>
  </si>
  <si>
    <t>Асекеевский район</t>
  </si>
  <si>
    <t xml:space="preserve"> Народный бюджет</t>
  </si>
  <si>
    <t>Постановление администрации Асекеевского района от 16.03.2016 года №104-п " Об утверждении положения о проекте «Народный бюджет»</t>
  </si>
  <si>
    <t xml:space="preserve">http://asfin56.ru/assets/files/documents/2021/1/postanovlenie.doc </t>
  </si>
  <si>
    <t>Администрация муниципального образования "Асекеевский район"</t>
  </si>
  <si>
    <t>Муниципальное образование Воздвиженский сельсовет Асекеевского района Оренбургской области, муниципальное образование Лекаревский сельсовет Асекеевского района Оренбургской области,муниципальное образование Старомукменевский сельсовет Асекеевского района Оренбургской области</t>
  </si>
  <si>
    <t>предоставление транспорта для перевозки материалов</t>
  </si>
  <si>
    <t xml:space="preserve">https://www.sites.google.com/site/ruregdatav1/naselenie/orenburgskoj-oblasti </t>
  </si>
  <si>
    <t>опрос и анкетирование</t>
  </si>
  <si>
    <t>наружная реклама</t>
  </si>
  <si>
    <t>собрание глав и специалистов сельских поселений</t>
  </si>
  <si>
    <t>Бузулукский район</t>
  </si>
  <si>
    <t xml:space="preserve">Постановление администрации Бузулукского района от  19.06.2017г №930-п «О реализации на территории муниципального образования Бузулукский район проекта «Народный бюджет»» (с изменениями от 30.03.2018г №384, от 17.02.2020г №104-п, от 22.06.2020г №539-п, от 29.10.2020г №1240). 
Приказ финансового отдела  от 19.06.2017г №22 «Об отдельных вопросах реализации проектов развития сельпоссоветов муниципального образования Бузулукский район, основанных на местных инициативах»
</t>
  </si>
  <si>
    <t xml:space="preserve">http://pp-bz.ru/search_lecal_acts?title=%D0%9E+%D1%80%D0%B5%D0%B0%D0%BB%D0%B8%D0%B7%D0%B0%D1%86%D0%B8%D0%B8+%D0%BD%D0%B0+%D1%82%D0%B5%D1%80%D1%80%D0%B8%D1%82%D0%BE%D1%80%D0%B8%D0%B8+%D0%BC%D1%83%D0%BD%D0%B8%D1%86%D0%B8%D0%BF%D0%B0%D0%BB%D1%8C%D0%BD%D0%BE%D0%B3%D0%BE+%D0%BE%D0%B1%D1%80%D0%B0%D0%B7%D0%BE%D0%B2%D0%B0%D0%BD%D0%B8%D1%8F+%D0%91%D1%83%D0%B7%D1%83%D0%BB%D1%83%D0%BA%D1%81%D0%BA%D0%B8%D0%B9+%D1%80%D0%B0%D0%B9%D0%BE%D0%BD+%D0%BF%D1%80%D0%BE%D0%B5%D0%BA%D1%82%D0%B0+%C2%AB%D0%9D%D0%B0%D1%80%D0%BE%D0%B4%D0%BD%D1%8B%D0%B9+%D0%B1%D1%8E%D0%B4%D0%B6%D0%B5%D1%82%C2%BB&amp;field_number_of_publication_value=930-%D0%BF&amp;field_type_document_tid=All&amp;field_adopted_authority_tid=All&amp;body_value=&amp;field_date_of_adoption_value%5Bmin%5D%5Bdate%5D=&amp;field_date_of_adoption_value%5Bmax%5D%5Bdate%5D=&amp;field_date_of_publication_value%5Bmin%5D%5Bdate%5D=&amp;field_date_of_publication_value%5Bmax%5D%5Bdate%5D= </t>
  </si>
  <si>
    <t>Финансовый отдел администрации Бузулукского района</t>
  </si>
  <si>
    <t>Иные дотации</t>
  </si>
  <si>
    <t>Бюджеты сельских поселений</t>
  </si>
  <si>
    <t>трудовое участие заинтересованных лиц</t>
  </si>
  <si>
    <t>Количество благополучателей рассчитывается в зависимости от реализуемого проекта, учитываются данные статистики и похозяйственной книги</t>
  </si>
  <si>
    <t>https://rosstat.gov.ru/compendium/document/13282?print=1</t>
  </si>
  <si>
    <t>анкетирование и опрос населения</t>
  </si>
  <si>
    <t>протоколы собрания</t>
  </si>
  <si>
    <t>размещение на публичном интернет-ресурсе</t>
  </si>
  <si>
    <t>https://bz.orb.ru/officials/units/finansovyy-otdel/,  https://vk.com/buzulukskiyrayon?w=wall-26998456_18217,  https://docviewer.yandex.ru/view/1130000029034641/?*=A8wSUc0gEhwp5OHJ8ymQu9TYZZp7InVybCI6InlhLWRpc2stcHVibGljOi8vSGNwcVVGcGlleWJVcDVvN2Y4SzdLYld5Qzg0NFFWbnJSbi9UNW5Dd2xMdWlmUTJYbWxIenFnTE1tdVBhMjNHZ3EvSjZicG1SeU9Kb25UM1ZvWG5EYWc9PTov0JHRjtC00LbQtdGCINC00LvRjyDQs9GA0LDQttC00LDQvSDQuiDQvtGC0YfQtdGC0YMg0LfQsCAyMDIwINCz0L7QtC5wZGYiLCJ0aXRsZSI6ItCR0Y7QtNC20LXRgiDQtNC70Y8g0LPRgNCw0LbQtNCw0L0g0Log0L7RgtGH0LXRgtGDINC30LAgMjAyMCDQs9C%2B0LQucGRmIiwibm9pZnJhbWUiOmZhbHNlLCJ1aWQiOiIxMTMwMDAwMDI5MDM0NjQxIiwidHMiOjE2MTk0Mjg1NTYxNjksInl1IjoiMTQwOTM2NDE1MTU5MDM4NDI4NyJ9</t>
  </si>
  <si>
    <t xml:space="preserve">нформация (видео и фото) о проекте регулярно публикуется на сайте администрации Бузулукского района, в газете "Российская Провинция", в социальных сетях вконтакте и одноклассники. Видео публикуется на Ютуб канале. </t>
  </si>
  <si>
    <t>Финансовым отделом разработаны буклеты, для размещения на информационных досках в каждом сельском совете, приложено.</t>
  </si>
  <si>
    <t>Начиная с 2017 года, один раз в квартал проводятся совещания с главами сельских советов, на которых освещается вопрос по народному бюджету. На данном мероприятии проводим обучение глав и специалистов о правилах подготовки заявок, представляемых на рассмотрение конкурсных комиссий; о проведении собраний граждан, на которых обсуждаются предполагаемые проекты народного бюджета; о формировании инициативной группы. На данных совещаниях присутствуют главы и специалисты  сельских советов.</t>
  </si>
  <si>
    <t>более 30 человек</t>
  </si>
  <si>
    <t>Грачевский район</t>
  </si>
  <si>
    <t>постановление администрации муниципального образования Грачевский район "О реализации проекта "Народный бюджет" от 11.09.2018 № 472п</t>
  </si>
  <si>
    <t>http://грачевский-район.рф/bitrix/redirect.php?event1=file&amp;event2=download&amp;event3=472%20п.doc&amp;goto=/upload/iblock/4d3/472%20п.doc</t>
  </si>
  <si>
    <t>муниципальное образование Грачевский район</t>
  </si>
  <si>
    <t>финансовый отдел администрации Грачевского района</t>
  </si>
  <si>
    <t>сельские поселения</t>
  </si>
  <si>
    <t>бесплатная установка детской площадки</t>
  </si>
  <si>
    <t>http://gks.ru/dbscripts/munst/munst53/DBInet.cgi</t>
  </si>
  <si>
    <t>обсуждения граждан</t>
  </si>
  <si>
    <t>http://грачевский-район.рф/about/byudzhet/narodnyy-byudzhet1</t>
  </si>
  <si>
    <t>http://грачевский-район.рф/about/byudzhet/initsiativnoe-byudzhetirovanie/initsiativnoe-byudzhetirovanie</t>
  </si>
  <si>
    <t>Рекламная кампания ИБ осуществлялась в очном формате на собраниях и сходах граждан, рассказывали о реализованных проектах, показ слайдов</t>
  </si>
  <si>
    <t>http://грачевский-район.рф/about/operativnoe-preduprezhdenie-mchs/Презентация%20проекта%20Народный%20бюджет%20с%20грачем.ppt</t>
  </si>
  <si>
    <t>семинары, совещания с главами сельских поселений</t>
  </si>
  <si>
    <t>Красногвардейский район</t>
  </si>
  <si>
    <t>постановлением администрации района от 14 сентября 2016 года № 581-п «Об утверждении Положения о проекте «Народный бюджет» в муниципальном образовании Красногвардейский район Оренбургской области»</t>
  </si>
  <si>
    <t>http://krasnogvardfo.ru/assets/files/113-npa.rar</t>
  </si>
  <si>
    <t>Финансовый отдел администрации Красногвардейского района</t>
  </si>
  <si>
    <t>Администрация Залесовского сельсовета, администрация Плешановского сельсовета</t>
  </si>
  <si>
    <t>http://krasnogvardfo.ru/narodnyij-byudzhet</t>
  </si>
  <si>
    <t>Курманаевский район</t>
  </si>
  <si>
    <t>2017 год</t>
  </si>
  <si>
    <t>9 января 2020</t>
  </si>
  <si>
    <t>постановление Администрации Курманаевского района от 06.12.2016 № 902-п "Об утверждении Положения о порядке проведения конкурса на предоставление грантов в форме дотации на реализацию проекта "Народный бюджет" на территории мо Курманаевский район", распоряжение Администрации Курманаевского района от 11.05.2017 №162-р "О создании конкурсной комиссии по рассмотрению и оценке проектов, представленных на конкурс по предоставлению грантов в форме дотации на реализацию проекта "Народный бюджет" на территории МО Курманаевский район", постановление Администрации Курманаевского района от 08.05.2018 № 248-п "О внесении изменений в постановление от 06.12.2016 № 902-п ",постановление Администрации Курманаевского района от 27.06.2018 № 363-п "Об определении размера общего фонда грантов на реализацию проекта "народный бюджет" на территории МО Курманаевский район в 2018 году", постановление Администрации Курманаевского района от 28.06.2019 № 371-п "Об определении размера общего фонда грантов на реализацию проекта "Народный бюджет на территории МО Курманаевский район в 2019 году", постановление Администрации Курманаевского района от 23.07.2019 № 425 " О направлении дотации в бюджет МО Кутушинский сельский совет-победителя конкурса на проведение грантов в форме дотации на реализацию проекта "Народный бюджет на территории МО Курманаевский район", постановление Администрации Курманаевского района от 24.03.2020 № 165-п "О реализации проекта "Народный бюджет на территории МО Курманевский район",постановление Администрации Курманаевского района от 12.08.2020 № 474-п "О направлении гранта в форме дотации в бюджеты МО Кутушинский, РОмашкинский сельсоветы-победителей конкурса на представление грантов в форме дотации на реализацию проекта "Народный бюджет" на территории МО Курманаевский район"..</t>
  </si>
  <si>
    <t>Финансовый  отдел Администрации Курманаевского района</t>
  </si>
  <si>
    <t>Финансовый отдел Администрации Курманаевского района</t>
  </si>
  <si>
    <t>Гранд в фрме дотации</t>
  </si>
  <si>
    <t>Муниципальные образования сельские поселения района</t>
  </si>
  <si>
    <t>росстат</t>
  </si>
  <si>
    <t>протокол № 2 от 17.03.20, протокол  б/н от 23.03.2020</t>
  </si>
  <si>
    <t>Совещания с главами сельских поселений района по вопросу реализации "Народного бюджета" на территории района</t>
  </si>
  <si>
    <t>Новоорский район</t>
  </si>
  <si>
    <t>13 марта 2020 года</t>
  </si>
  <si>
    <t xml:space="preserve">Постановление администрации муниципального образования Новоорский район Оренбургской области № 578-П от 10.06.2019 (с изм №1 от 27.02.2020 №196-П, №2 от 24.03.2020 №290-П, №3 от 22.07.2020 №724-П) </t>
  </si>
  <si>
    <t>http://finotdnovoorsk.ru/postanovlenie-o-narodnom-byudzhete#content</t>
  </si>
  <si>
    <t>Финансовый отдел администрации Новоорского района Оренбургской области</t>
  </si>
  <si>
    <t>муниципальные образования поселения Новоорского района</t>
  </si>
  <si>
    <t xml:space="preserve">г)вклад населения, организаций и других внебюджетных источников в реализацию проекта в не денежной форме (неоплачиваемый труд, материалы и другие формы):       в случае если население, организации и другие внебюджетные источники осуществляют вклад в реализацию проекта в не денежной форме, начисляется 100 баллов;
в случае если население, организации и другие внебюджетные источники не осуществляют вклад в реализацию проекта в не денежной форме, начисляется 0 баллов.
</t>
  </si>
  <si>
    <t xml:space="preserve">а) доля благополучателей в общей численности населения:
количество начисляемых баллов равно доле благополучателей в общей численности населения, процентов;
в случае если численность благополучателей превосходит численность населения, начисляется 100 баллов;
</t>
  </si>
  <si>
    <t>http://finotdnovoorsk.ru/protokolyi-komissii#content</t>
  </si>
  <si>
    <t>http://finotdnovoorsk.ru/kadrovoe-obespechenie#content</t>
  </si>
  <si>
    <t>https://ok.ru/group/55033267880141</t>
  </si>
  <si>
    <t>http://finotdnovoorsk.ru/#content</t>
  </si>
  <si>
    <t>Социальные сети, размещение объявлений в доступных местах, размещение материалов в Новоорской газете, сайт Финансового отдела, сайт Администрации Новоорского района</t>
  </si>
  <si>
    <t>При проведении в поселениях дня информации, совещание администрации района с главами поселений</t>
  </si>
  <si>
    <t>Оренбургский район</t>
  </si>
  <si>
    <t>"Народный бюджет" на территории муниципального образования Оренбургский район</t>
  </si>
  <si>
    <t xml:space="preserve">"Народный бюджет" </t>
  </si>
  <si>
    <t>2018-2019</t>
  </si>
  <si>
    <t>Постановление адиминистрации муниципального образования Оренбургский район Оренбургской области №1270-п от 07.05.2020</t>
  </si>
  <si>
    <t>http://fin-or.ru/ckfinder/userfiles/files/Постановнение%201270п.pdf</t>
  </si>
  <si>
    <t>Финансовое управление администрации муниципального образования Оренбургский район Оренбургской области</t>
  </si>
  <si>
    <t>Первомайский поссовет Оренбургского района</t>
  </si>
  <si>
    <t>http://первомайский-поссовет.рф/?page_id=7713</t>
  </si>
  <si>
    <t>выдвежение идей инициативной группой</t>
  </si>
  <si>
    <t>Возможна подача заявки на сайте Финансового управления (http://fin-or.ru/content/zapolnite-formu). Общественное обсуждение проводится в форме интернет-голосования, путем заполнения анкеты-теста.</t>
  </si>
  <si>
    <t>http://fin-or.ru/content/narodnyy-byudzhet</t>
  </si>
  <si>
    <t>http://fin-or.ru/ckfinder/userfiles/images/народный%20бюджет2.jpg</t>
  </si>
  <si>
    <t>Объявления в местах массового скопления людей, в т.ч торговые центы, почтовые отделения, отделения сбербанка. Объявления на официальных сайтах поселений, участноков проекта "Народный бюджет" (http://mo-stepan.ru/novosti/sobranie.html)</t>
  </si>
  <si>
    <t>Дистанционные совещания-семинары, проводимые с использованием видеоконфенцсвязи.</t>
  </si>
  <si>
    <t>Сакмарский район</t>
  </si>
  <si>
    <t xml:space="preserve">с 09.10.2019 г </t>
  </si>
  <si>
    <t>23.10.2019г</t>
  </si>
  <si>
    <t>Постановление №420-п от 25.08.2016г "Об утверждении Положения о проекте "Народный бюджет" в МО Сакмарский район</t>
  </si>
  <si>
    <t xml:space="preserve">сайт: сакмарскийрайон.рф </t>
  </si>
  <si>
    <t>Финансовый отдел Администрация Сакмарского района</t>
  </si>
  <si>
    <t>Администрация Сакмарского района</t>
  </si>
  <si>
    <t>МО Светлый сельсовет</t>
  </si>
  <si>
    <t>В учет взята численность многодетных семей, которым выделены участки под индивидуальное строительство</t>
  </si>
  <si>
    <t>Двнные оренстата (письмо Минфина Оренбургской области от 07.08.2020 г №17102-24/1493</t>
  </si>
  <si>
    <t xml:space="preserve">сакмарскийрайон.рф </t>
  </si>
  <si>
    <t>заявка</t>
  </si>
  <si>
    <t>Финансовым отделом администрации было размещено   на официальном сайте Сакмарского района объявление о реализации проекта "Народный бюджет" и  обращение  к гражданам о проведении  интернет -голосования,где были представлены  три заявки</t>
  </si>
  <si>
    <t>Совещание с главами сельских поселений, ГРБС, заседание  с общественным советом при финансовом отделе.</t>
  </si>
  <si>
    <t>Тоцкий район</t>
  </si>
  <si>
    <t>Постановление администрации Тоцкого района Оренбургской области от 20.03.2017 г. № 237-П "Об утверждении положения о проекте "Народный бюджет" в Тоцком районе Оренбургской области"</t>
  </si>
  <si>
    <t>http://fintotsk.ru/file/download/224</t>
  </si>
  <si>
    <t>Финансовый отдел администрации Тоцкого района Оренбургской области</t>
  </si>
  <si>
    <t>Администрация муниципального образования Злобинский сельсовет Тоцкого района, Администрация муниципального образования Медведский сельсовет Тоцкого района, Администрация муниципального образования Суворовский сельсовет Тоцкого района, Администрация муниципального образования Кирсановский сельсовет Тоцкого района, Администрация муниципального образования Пристанционный сельсовет Тоцкого района</t>
  </si>
  <si>
    <t>выполнение работ на безвозмездной основе, предоставление техники, оборудования и инструментов</t>
  </si>
  <si>
    <t>1. Детские площадки: дети до 14 лет и их близкие родственники, посещающие площадки с детьми.
2. Спортивные площадки: население, проживающее в непосредственной близости от площадки возрастом от 3 до 60 лет
3. Места захоронений и памятники: все население села.</t>
  </si>
  <si>
    <t>Сведения о количестве жителей предоставлены администрациями сельских поселений</t>
  </si>
  <si>
    <t>База данных Росстата.</t>
  </si>
  <si>
    <t>списки присутствующих к протоколам собрания</t>
  </si>
  <si>
    <t>https://vk.com/fintotsk?w=poll-163040897_365024420</t>
  </si>
  <si>
    <t>Организовано голосование по отбору проектов на странице финансового отдела администрации Тоцкого района Оренбургской области. https://vk.com/fintotsk?w=poll-163040897_365024420</t>
  </si>
  <si>
    <t>http://fintotsk.ru/hearing/11</t>
  </si>
  <si>
    <t>https://vk.com/fintotsk
https://twitter.com/fintotsk</t>
  </si>
  <si>
    <t>Раздача листовок и расклейка на информационных щитах объявлений, объявления в соцсетях на уровне заинтересованных населенных пунктов</t>
  </si>
  <si>
    <t>Объявления, листовки</t>
  </si>
  <si>
    <t>В 2020 году мероприятия проводились в формате аппаратных совещаний с главами администраций сельских поселений в количестве 2 общей продолжительностью 3 часа с количеством участников 36 человек.</t>
  </si>
  <si>
    <t>город Пенза</t>
  </si>
  <si>
    <t>Городской конкурс на право получения грантов в виде субсидий на реализацию социально значимых проектов, направленных на развитие территориального общественного самоуправления и инициатив жителей в городе Пензе</t>
  </si>
  <si>
    <t xml:space="preserve"> Конкурс социально значимых проектов</t>
  </si>
  <si>
    <t xml:space="preserve">Постановление администрации города Пензы от 03.10.2019 N 1915 "Об утверждении муниципальной программы "Развитие территориального общественного самоуправления в городе Пензе и поддержка местных инициатив на 2020 - 2026 годы";   Постановление администрации города Пензы от 10.06.2020 №774 "О проведении городского конкурса на право получения грантов в виде субсидий на реализацию социально значимых проектов, направленных на развитие территориального общественного самоуправления и инициатив жителей в городе Пензе в 2020 году";  Порядок предоставления грантов в виде субсидий на реализацию социально значимых проектов, направленных на развитие территориального общественного самоуправления в городе Пензе (утвержден постановлением администрации города Пензы от 12.05.2015 № 650.
</t>
  </si>
  <si>
    <t>https://penza-gorod.ru/line_of_activity/public_self_government/konkurs-sotsialno-znachimykh-proektov-napravlennykh-na-razvitie-territorialnogo-obshchestvennogo-sam/2020-god/</t>
  </si>
  <si>
    <t>Администрация города Пензы
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</si>
  <si>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Администрация Железнодорожного района города Пензы
Администрация Ленинского района города Пензы
Администрация Октябрьского района города Пензы
Администрация Первомайского района города Пензы</t>
  </si>
  <si>
    <t xml:space="preserve"> гранты в виде субсидий</t>
  </si>
  <si>
    <t xml:space="preserve">Подсчет производился в соответствии с количеством благополучателей, указанных в паспорте проекта </t>
  </si>
  <si>
    <t>https://pnz.gks.ru/demography</t>
  </si>
  <si>
    <t>Сбор заявок на Кокурс и регистрация в Журнале заявок</t>
  </si>
  <si>
    <t>web-форма</t>
  </si>
  <si>
    <t>Грант предоставляется по результатам конкурсного отбора и проведенного рейтингования заявок.  Рассмотрением конкурсных заявок занимается Комиссия, которая утверждена постановлением администрации города Пензы от 10.06.2020 № 774 "О проведении городского конкурса на право получения грантов в виде субсидий на реализацию социально значимых проектов, направленных на развитие территориального общественного самоуправления и иницитив жителей в городе Пензе в 2020 году".В состав Комиссии входят представители органов местного самоуправления (администрации города Пензы и Пензенской городской Думы);</t>
  </si>
  <si>
    <t>https://penza-gorod.ru/news/na_grantovuyu_podderzhku_initsiativ_zhiteley_v_2020_godu_napravleno_18_millionov_rubley/,                  https://penza-gorod.ru/news/v_penze_startoval_gorodskoy_kokurs_sotsialno_znachimykh_proektov/                                     https://penza-gorod.ru/news/granty_na_sotsialno_znachimye_proekty_uspeshno_realizuyutsya_podrobnee_https_www_penza_gorod_ru_news/?sphrase_id=13052248</t>
  </si>
  <si>
    <t xml:space="preserve"> Информирование на официальном сайте администрации города Пензы, репортажи на региональном ТВ, радио, в муниципальной газете "Пенза"</t>
  </si>
  <si>
    <t>Семинар-практикум, 1 раз в квартал, представители общественности районов города Пензы (председатели ТОС, уличных и домовых комитетов, старшие по дому и активные жители).</t>
  </si>
  <si>
    <t>Октябрьский район</t>
  </si>
  <si>
    <t>Социальные проекты инициатив местных сообществ</t>
  </si>
  <si>
    <t>Распоряжение № 214 от 13.04.2016 г.</t>
  </si>
  <si>
    <t>Администрация Октябрьского района</t>
  </si>
  <si>
    <t>Количество жителей населенных пунктов, где были реализованы проекты.</t>
  </si>
  <si>
    <t>Заявки</t>
  </si>
  <si>
    <t>Экспертный совет грантового конкурса социальных проектов инициатив местных сообществ</t>
  </si>
  <si>
    <t>Городской округ Сызрань</t>
  </si>
  <si>
    <t>Конкурс социальных инициатив по месту жительства</t>
  </si>
  <si>
    <t>30 июня 2020 г.</t>
  </si>
  <si>
    <t xml:space="preserve">Постановление Администрации городского округа Сызрань Самарской области от 02.11.18 № 3193 "О внесении изменений в ведомственную целевую программу городского округа Сызрань "Содействие развитию общественного самоуправления в городском округе Сызрань Самарской области на 2016 - 2021 годы";                                                                             
 Постановление Администрации городского округа Сызрань Самарской области от 18.10.18 № 3005 "Об утверждении порядка определения объема и предоставления в 2018-2020 году субсидий из бюджета городского округа Сызрань некоммерческим организациям, не являющимся государственными(муниципальными) учреждениями, на организацию и проведение конкурса социальных инициатив по месту жительства".                                                                                                                                                                            Постановление Администрации городского округа Сызрань Самарской области от 13.06.2019 № 1503 "О внесении изменений в Порядок определения объема и предоставления субсидий из бюджета городского округа Сызрань некоммерческим организациям, не являющимся государственными (муниципальными) учреждениями, на организацию и проведение конкурса социальных инициатив по месту жительства", утвержденный Постановлением Администрации городского округа Сызрань от 18.10.2018г. № 3005. 
Постановление Администрации городского округа Сызрань Самарской области от 11.06.2020 № 1312 "О внесении изменений в Порядок определения объема и предоставления субсидий из бюджета городского округа Сызрань некоммерческим организациям, не являющимся государственными (муниципальными) учреждениями, на организацию и проведение конкурса социальных инициатив по месту жительства", утвержденный Постановлением Администрации городского округа Сызрань от 18.10.2018г. № 3005. </t>
  </si>
  <si>
    <t>http://adm.syzran.ru/index.php?id=43&amp;tx_documents_fe%5Bdocument%5D=3086&amp;tx_documents_fe%5Baction%5D=show&amp;tx_documents_fe%5Bcontroller%5D=Document&amp;cHash=c5bb408fc2dbc6c4c21bc396e7836212
http://adm.syzran.ru/index.php?id=43&amp;tx_documents_fe%5Bdocument%5D=2314&amp;tx_documents_fe%5Baction%5D=show&amp;tx_documents_fe%5Bcontroller%5D=Document&amp;cHash=0f2a502045287eb96b2530d5c5cee329
http://adm.syzran.ru/index.php?id=43&amp;tx_documents_fe%5Bdocument%5D=4389&amp;tx_documents_fe%5Baction%5D=show&amp;tx_documents_fe%5Bcontroller%5D=Document&amp;cHash=e175a11f23a8bdd17a8b27d8fe26d9e2
http://adm.syzran.ru/index.php?id=43&amp;tx_documents_fe%5Bdocument%5D=2209&amp;tx_documents_fe%5Baction%5D=show&amp;tx_documents_fe%5Bcontroller%5D=Document&amp;cHash=b901ea3015fb6d20e85c68636ef3cdc8</t>
  </si>
  <si>
    <t>Администрация городского округа Сызрань</t>
  </si>
  <si>
    <t>Некоммерческая организация "Фонд развития муниципального образования г. Сызрань"</t>
  </si>
  <si>
    <t>Трудовое участие граждан, предоставление растений и расходных материалов, хозяйственного инвентаря из личного хозяйственного пользования для целей реализации проектов, использование личной офисной техники, ресурсная помощь партнеров проекта (транспорт, канцтовары, материалы для творчества и т.д.)</t>
  </si>
  <si>
    <t>Подсчет количества благополучателей проектов ИБ проводилось методом сложения данных из отчетов по реализации проектов</t>
  </si>
  <si>
    <t>По данным сайта Города России, ссылка -  http://xn----7sbiew6aadnema7p.xn--p1ai/sity_id.php?id=107</t>
  </si>
  <si>
    <t>Муниципальное казенное учреждение городского округа Сызрань "Ресурсный центр поддержки развития местного самоуправления"</t>
  </si>
  <si>
    <t>Бюджет городского округа Сызрань</t>
  </si>
  <si>
    <t>Отчёт об исполнении ведомственной целевой программы "Содействие развитию общественного самоуправления городского округа Сызрань Самарской области на 2016 – 2024 годы" в 2020 году, журнал приема проектных заявок на участие в Конкурсе социальных инициатив.</t>
  </si>
  <si>
    <t>Протокол заседания конкурсной комиссии, экспертиза проектных заявок</t>
  </si>
  <si>
    <t>Размещалась информация о начале приема заявок на Конкурс социальных инициатив по месту жительства, были подведены итоги Конкурса социальных инициатив по месту жительства. Публиковалась информация о реализации проектов-победителей.</t>
  </si>
  <si>
    <t>https://vk.com/rescentrsyz</t>
  </si>
  <si>
    <t xml:space="preserve">http://adm.syzran.ru/  https://vk.com/szradm  http://rcszr.ru/ https://ok.ru/rescentr </t>
  </si>
  <si>
    <t>https://yadi.sk/i/S3VNNsdL57pYeg</t>
  </si>
  <si>
    <t>Информационная кампания проводилась через все возможные источники информации: социальные сети, СМИ, городские новостные порталы и ресурсы. Наибольший эффект по распространению информации получен в социальных сетях - количество просмотров публикаций по тематике конкурса достигает более 20 тысяч. Примеры публикаций: https://vk.com/rescentrsyz?w=wall-124511519_4458 https://vk.com/rescentrsyz?w=wall-124511519_4498 https://vk.com/rescentrsyz?w=wall-124511519_4518 https://vk.com/rescentrsyz?w=wall-124511519_4537 https://vk.com/rescentrsyz?w=wall-124511519_4554 https://vk.com/rescentrsyz?w=wall-67889960_28703 https://vk.com/rescentrsyz?w=wall-124511519_4594 https://vk.com/rescentrsyz?w=wall-124511519_4602 http://adm.syzran.ru/index.php?id=229&amp;tx_news_pi1%5Bnews%5D=4573&amp;cHash=6e7cb050aae175fbd9f2c1119e4b1967 https://www.syzran-small.ru/news-51653</t>
  </si>
  <si>
    <t>Положение конкурса социальных инициатив по месту жительства</t>
  </si>
  <si>
    <t>Для гражданских активистов, членов общественных организаций и ТОС проводились семинары по социальному проектированию, групповые онлайн-консультации, семинары по подготовке отчета социального проекта</t>
  </si>
  <si>
    <t>Городской округ Отрадный</t>
  </si>
  <si>
    <t>Городской конкурс проектов и идей "Отрадный - территория развития"</t>
  </si>
  <si>
    <t>30.06.2021 г.</t>
  </si>
  <si>
    <t xml:space="preserve">Постановление Администрации городского округа Отрадный Самарской области от 04.03.2020 № 221 "О проведении городского конкурса социальных проектов и идей «Отрадный – территория развития» в 2020 год"
</t>
  </si>
  <si>
    <t>http://otradny.org/upload/iblock/a65/a65003e08d78ef25706aa67824674cb4.rar</t>
  </si>
  <si>
    <t>Конкурс организует муниципальное казенное учреждение "Дом общественных организаций" городского округа Отрадный</t>
  </si>
  <si>
    <t xml:space="preserve">Муниципальное казенное учреждение "Дом общественных организаций" городского округа Отрадный  </t>
  </si>
  <si>
    <t>гранты в форме субсидии на реализацию социальных проектов</t>
  </si>
  <si>
    <t xml:space="preserve">социально ориентированные некоммерческие организации, физические лица, государственные и муниципальные учреждения </t>
  </si>
  <si>
    <t>На основании количественных показателей, указанных в проектных заявках и отчетной документации</t>
  </si>
  <si>
    <t>https://rosstat.gov.ru/storage/mediabank/CcG8qBhP/mun_obr2020.rar</t>
  </si>
  <si>
    <t xml:space="preserve">Городской бюджет (Муниципальная программа городского округа Отрадный «Поддержка социально ориентированных некоммерческих организаций и объединений, благотворительной деятельности, добровольчества в городском округе Отрадный Самарской области на 2019-2021 годы»)
</t>
  </si>
  <si>
    <t>Обсуждение идей происходит микрорайонах и некоммерческих организациях перед подготовкой и подачей готовых проектных заявок (официально не фиксируется). На защите проектов информация о проведении обсуждения сообщается экспертной комиссии в устной форме.</t>
  </si>
  <si>
    <t xml:space="preserve">  </t>
  </si>
  <si>
    <t>Проведение экспертной комиссии, включающей в себя представителей власти</t>
  </si>
  <si>
    <t>Проведение экспертной комиссии, включающей в себя приглашенных экспертов</t>
  </si>
  <si>
    <t xml:space="preserve">https://vk.com/nkootr?w=wall-170038948_403
https://www.facebook.com/groups/1898688277093956/permalink/2255835364712577
https://twitter.com/nkootr2012/status/1237640784448499712
https://ok.ru/group/57507347759341/topic/151376507957485
</t>
  </si>
  <si>
    <t xml:space="preserve">В городском округе Отрадный информационные материалы о конкурсе размещались в газете "Рабочая трибуна", на телеканале "Продвижение -Отрадный" (ТРК "Отрадный"). Социальных сетях и сайте органов местного самоуправления и МКУ "Дом общественных организаций". Ссылки: 
http://otradny.org/sitenews/v-otradnom-obyavlen-konkurs-soczialnyix-proektov-i-idej-otradnyij-territoriya-razvitiya.html
https://vk.com/nkootr?w=wall-170038948_403
https://www.facebook.com/groups/1898688277093956/permalink/2255835364712577
https://twitter.com/nkootr2012/status/1237640784448499712
https://ok.ru/group/57507347759341/topic/151376507957485
</t>
  </si>
  <si>
    <t>Индивидуальные консультации</t>
  </si>
  <si>
    <t>Железнодорожный внутригородскорй район г.о. Самары</t>
  </si>
  <si>
    <t>Конкурс по отбору общественных инициатив "ТВОЙ КОНСТРУКТОР ДВОРА"</t>
  </si>
  <si>
    <t>"ТВОЙ КОНСТРУКТОР ДВОРА"</t>
  </si>
  <si>
    <t>26 августа 2019 г.</t>
  </si>
  <si>
    <t xml:space="preserve">                                                            ПОСТАНОВЛЕНИЕАДМИНИСТРАЦИИ ЖЕЛЕЗНОДОРОЖНОГО ВНУТРИГОРОДСКОГО РАЙОНА ГОРОДСКОГО ОКРУГА САМАРА
от 26 августа 2019 г. N 157 "ОБ УТВЕРЖДЕНИИ ПОЛОЖЕНИЯ О ПОРЯДКЕ ПРОВЕДЕНИЯ КОНКУРСА ПО ОТБОРУ ОБЩЕСТВЕННЫХ ИНИЦИАТИВ "ТВОЙ КОНСТРУКТОР ДВОРА" ПО СОЗДАНИЮ КОМФОРТНЫХ УСЛОВИЙ ДЛЯ ПРОЖИВАНИЯ ГРАЖДАН НА ТЕРРИТОРИИ ЖЕЛЕЗНОДОРОЖНОГО ВНУТРИГОРОДСКОГО РАЙОНА ГОРОДСКОГО ОКРУГА САМАРА НА 2019 - 2020 ГОДЫ"</t>
  </si>
  <si>
    <t xml:space="preserve">http://zdsamara.ru/regulatory/munitsipalnye-pravovye-akty/2430/ 
</t>
  </si>
  <si>
    <t>Администрация Железнодорожного внутригородского района городского округа Самара</t>
  </si>
  <si>
    <t>Железнодорожный внутригородской район городского округа Самара</t>
  </si>
  <si>
    <t>лимиты бюджетных обязательств</t>
  </si>
  <si>
    <t>общественное голосование</t>
  </si>
  <si>
    <t>http://www.zdsamara.ru/about/info/messages/1662/</t>
  </si>
  <si>
    <t xml:space="preserve">да     </t>
  </si>
  <si>
    <t>протокол собрания жителей (прилагается к заявке)</t>
  </si>
  <si>
    <t>Предоставление заявок в отдел по работе с общественными объединениями Администрации района</t>
  </si>
  <si>
    <t>http://www.zdsamara.ru/regulatory/munitsipalnye-pravovye-akty/2525/</t>
  </si>
  <si>
    <t>бюллетень</t>
  </si>
  <si>
    <t>трудовое, финансовое участие</t>
  </si>
  <si>
    <t xml:space="preserve">http://www.zdsamara.ru/dlya-naseleniya/tvoy-konstruktor-dvora/ </t>
  </si>
  <si>
    <t xml:space="preserve">https://ok.ru/video/800948621800
https://vk.com/video-65854460_456242693
http://zdsamara.ru/about/info/news/1621/?sphrase_id=3387 </t>
  </si>
  <si>
    <t>социальные сети; объявления на подъездах</t>
  </si>
  <si>
    <t>не имелось</t>
  </si>
  <si>
    <t xml:space="preserve">семинары-встречи, собрания представителей администрации и жителей района.  Периодичность: ежедневно по графику встреч с 12.09.2019 г. по 12.10.2019 г. </t>
  </si>
  <si>
    <t>Кировский внутригородской район г.о.Самара</t>
  </si>
  <si>
    <t xml:space="preserve">Конкурс общественных инициатив «Твой конструктор двора» </t>
  </si>
  <si>
    <t xml:space="preserve">Проект «Твой конструктор двора» </t>
  </si>
  <si>
    <t>Постановление от 17.06.2019 № 44 "Об утверждении Положения о порядке проведения конкурса по отбору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 на 2019-2020 годы"; Постановление от 02.09.2019 № 70 "О проведении общественного голосования в целях определения победителей конкурса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 Постановление от 19.09.2019 № 75 "Об утверждении перечня победителей конкурса общественных инициатив «Твой конструктор двора» по созданию комфортных условий для проживания граждан на территории Кировского внутригородского района городского округа Самара"</t>
  </si>
  <si>
    <t>Администрация Кировского внутригородского района городского округа Самара</t>
  </si>
  <si>
    <t>Ленинский район</t>
  </si>
  <si>
    <t>"Твой конструктор двора"</t>
  </si>
  <si>
    <t>2020г.</t>
  </si>
  <si>
    <t>Постановление Администрации Ленинского внутригородского района г.о. Самара "О внесении изменений в Постановление Администрации Ленинского внутригородского района городского округа Самара от 11.06.2019 года №42 "Об утверждении Положения о порядке проведения конкурса общественных инициатив «Твой конструктор двора» на получение муниципальных субсидий на возмещение затрат по созданию комфортных условий для проживания граждан на территории Ленинского внутригородского района городского округа Самара на 2019-2020 годы" от 14.04.2020г. №22</t>
  </si>
  <si>
    <t>https://www.samadm.ru/docs/official-publication/24714/</t>
  </si>
  <si>
    <t>Администрация Ленинского внутригородского района городског округа Самара</t>
  </si>
  <si>
    <t>Юридические лица, некоммерческие организации и физические лица</t>
  </si>
  <si>
    <t>подписанны листы регистрации</t>
  </si>
  <si>
    <t>https://www.samadm.ru/authority/leninsky_district/tkd-len/</t>
  </si>
  <si>
    <t>https://twitter.com/Leninski_golos</t>
  </si>
  <si>
    <t>https://yandex.ru/images/search?text=%D1%82%D0%B2%D0%BE%D0%B9%20%D0%BA%D0%BE%D0%BD%D1%81%D1%82%D1%80%D1%83%D0%BA%D1%82%D0%BE%D1%80%20%D0%B4%D0%B2%D0%BE%D1%80%D0%B0%20%D1%81%D0%B0%D0%BC%D0%B0%D1%80%D0%B0&amp;stype=image&amp;lr=51&amp;source=wiz&amp;pos=35&amp;img_url=https%3A%2F%2Fsun9-61.userapi.com%2Fc849332%2Fv849332482%2F3286a%2F32QWGHOmuYc.jpg&amp;rpt=simage</t>
  </si>
  <si>
    <t>В социальной сети Твитер аккаунт Твой_Конструктор_Двора_Ленинский_район на  данный момент  охвачен 117 читателями. В этом аккаунте мы выкладываем информацию о ходе реализации практики,  а так же на этой платформе у нас проходит онлайн голосование с выявлением победителя. Группа Администрации Ленинского района в социальной сети ВКонтакте на данный момент охвачена 1419 пользователями. В ней размещаются раздаточные материалы по практике, а так же информация о ходе риализации практики.</t>
  </si>
  <si>
    <t>https://yandex.ru/images/search?pos=5&amp;img_url=https%3A%2F%2Fpbs.twimg.com%2Fmedia%2FDjmk5u-X4AEleY4.jpg%3Alarge&amp;text=%D0%B1%D1%80%D0%BE%D1%88%D1%8E%D1%80%D0%B0%20%D1%82%D0%B2%D0%BE%D0%B9%20%D0%BA%D0%BE%D0%BD%D1%81%D1%82%D1%80%D1%83%D0%BA%D1%82%D0%BE%D1%80%20%D0%B4%D0%B2%D0%BE%D1%80%D0%B0%20%D0%BB%D0%B5%D0%BD%D0%B8%D0%BD%D1%81%D0%BA%D0%B8%D0%B9%20%D1%80%D0%B0%D0%B9%D0%BE%D0%BD%20%D1%81%D0%B0%D0%BC%D0%B0%D1%80%D0%B0&amp;lr=51&amp;rpt=simage&amp;source=wiz</t>
  </si>
  <si>
    <t>Октябрьский внутригородской район городского округа Самара</t>
  </si>
  <si>
    <t>Твой конструктор двора</t>
  </si>
  <si>
    <t xml:space="preserve">1) Постановление Администрации Октябрьского внутригородского района городского округа Самара от 02.04.2019 №105 "Об утверждении Положения о проведении конкурса по отбору общественных инициатив "Твой конструктор двора" в 2019 году на получение субсидий по возмещению затрат на создание комфортных условий для проживания граждан на территории Октябрьского внутригородского района городского округа Самара за счет средств бюджета Октябрьского внутригородского района городского округа Самара";
2) Постановление Администрации Октябрьского внутригородского района городского округа Самара от 11.10.2019 №308 "Об утверждении победителей конкурса по отбору общественных инициатив "Твой конструктор двора" в 2019 году на получение субсидий по возмещению затрат на создание комфортных условий для проживания граждан на территории Октябрьского внутригородского района городского округа Самара за счет средств бюджета Октябрьского внутригородского района городского округа Самара";
3) Постановление Администрации Октябрьского внутригородского района городского округа Самара от 14.01.2019 №03 "Об утверждении Порядка определения объема и предоставления субсидий из бюджета Октябрьского внутригородского района городского округа Самара юридическим лицам (за исключением субсидий государственным (муниципальным) учреждениям), индивидуальным предпринимателям, а также физическим лицам - производителям товаров, работ, услуг, в целях возмещения затрат, связанных с выполнением работ на создание комфортных условий для проживания граждан на территории Октябрьского внутригородского района городского округа Самара по реализации проекта "Твой конструктор двора" </t>
  </si>
  <si>
    <t>4) Постановление Администрации Октябрьского внутригородского района городского округа Самара от 21.05.2020 №116 "Об утверждении Положения о проведении конкурса по отбоу общественных инициатив "Твой конструктор двора" в 2020 году на получение субсидий на возмещение затрат на создание комфортных условий для проживания граждан на территории Октябрьского внутригородского района городского округа Самара за счет средств бюджета Октябрьского внутригородского района городского округа Самара";
5) Постановление Администрации Октябрьского внутригородского района городского округа Самара от 17.08.2020 №206 "Об утверждении победителей конкурса по отбору общественных инициатив "Твой конструктор двора" в 2020 году на получение субсидий по возмещению затрат на создание комфортных условий для проживания граждан на территории Октябрьского внутригородского района городского округа Самара за счет средств бюджета Октябрьского внутригородского района городского округа Самара".</t>
  </si>
  <si>
    <t>Администрация Октябрьского внутригородского района городского округа Самара</t>
  </si>
  <si>
    <t>Субсидии из бюджета Октябрьского внутригородского района городского округа Самара, в целях возмещения затрат, связанных с выполнением работ на создание комфортных условий для проживания граждан на территории Октябрьского внутригородского района городского округа Самара по реализации проекта "Твой конструктор двора"</t>
  </si>
  <si>
    <t>Юридические лица (за исключением государственные (муниципальные) учреждения), индивидуальные предприниматели, а также физические лица - производители товаров, работ, услуг</t>
  </si>
  <si>
    <t>Количество жителей домов, в которых по результатам конкурса будут реализованы проекты благоустройства</t>
  </si>
  <si>
    <t>76 протоколов общего собрания жителей многоквартирного дома/уличного пространства</t>
  </si>
  <si>
    <t>https://samadm.ru/authority/octobyarsky_district/your-builder-yard-october/</t>
  </si>
  <si>
    <t>Было проведено 4 обучающих встречи с управляющими микрорайонами в формате совещания в здании Администрации Октябрьского внутригородского района городского округа Самара. На каждом мероприятии присутствовало 25 управляющих микрорайонами</t>
  </si>
  <si>
    <t>Самарский внутригородской район городского округа Самара</t>
  </si>
  <si>
    <t>Конкурс по отбору общественных инициатив "Твой конструктор двора"на создание комфортных условий для проживания граждан на территории Самарского внутригородского района городского округа Самара</t>
  </si>
  <si>
    <t>09 ноября 2020 г.</t>
  </si>
  <si>
    <t>1.Постановление Администрации Самарского внутригородского района городского округа Самара № 26 от 27.03.2019 "Об утверждении Положения о проведении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Самарского внутригородского района городского округа Самара за счет средств бюджета Самарского внутригородского района городского округа Самара"
2.Постановление Администрации Самарского внутригородского района городского округа Самара № 39 от 20.05.2019 "Об утверждении состава конкурсной комиссии по отбору претендентов на допущение  общественных инициатив к общественному голосованию  и определению победителей конкурсного отбора по результатам общественного голосования"
3.Постановление Администрации Самарского внутригородского района городского округа Самара № 73 от 30.08.2019 "О внесении изменений в постановление Администрации Самарского внутригородского района городского округа Самара от 27.03.2019 № 26 "Об утверждении Положения о проведении конкурса по отбору общественных инициатив «Твой конструктор двора» на получение субсидий по возмещению затрат на создание комфортных условий для проживания граждан на территории Самарского внутригородского района городского округа Самара"
4.Постановление Администрации Самарского внутригородского района городского округа Самара № 77 от 05.09.2019 "О проведении общественного голосования по выбору общественных инициатив на создание комфортных условий для проживания граждан на территории Самарского внутригородского района городского округа Самара в рамках конкурса "Твой конструктор двора»
5.Постановление Администрации Самарского внутригородского района городского округа Самара № 85 от 23.09.2019 "Об утверждении победителей конкурса общественных инициатив "Твой конструктор двора"</t>
  </si>
  <si>
    <t>https://samadm.ru/authority/samarsky_district/docs/list/</t>
  </si>
  <si>
    <t xml:space="preserve"> Администрация Самарского внутригородского района городского округа Самара</t>
  </si>
  <si>
    <t>Администрация Самарского внутригородского района городского округа Самара</t>
  </si>
  <si>
    <t>Субсидии на возмещение затрат</t>
  </si>
  <si>
    <t>Общество с ограниченной ответсвенностью "РОНА-С"</t>
  </si>
  <si>
    <t>Количество населения, проживающего на территории благоустроенного пространства</t>
  </si>
  <si>
    <t xml:space="preserve">https://samarastat.gks.ru/population </t>
  </si>
  <si>
    <t>Протокол общего собрания жителей МКД</t>
  </si>
  <si>
    <t>https://samadm.ru/authority/samarsky_district/your-designer-courtyard-s-r/</t>
  </si>
  <si>
    <t>https://twitter.com/AdmSamRna/status/1372144550836379663; https://samadm.ru/media/news/30250/</t>
  </si>
  <si>
    <t>Разъяснительные встречи с членами общественных советов микрорайонов, органами территориального общественного самоуправления, собственниками жилых помещений</t>
  </si>
  <si>
    <t>муниципальное образование Алапаевское</t>
  </si>
  <si>
    <t>Проекты инициативного бюджетирования в муниципальном образовании Алапаевское</t>
  </si>
  <si>
    <t>29 апреля 2020</t>
  </si>
  <si>
    <t>постановления Администрации МО Алапаевское: от 22.05.2018 г.№389 "Об утверждении Порядка проведения конкурсного отбора проектов инициативного бюджетирования в муниципальном образовании Алапаевское" (с изменениями),  от 26.02.2019 года № 123 "Об утверждении типового положения о Порядке проведения конкурсного отбора проектов инициативного бюджетирования в сельских (поселковой) администрациях Администрации муниципального образования Алапаевское"</t>
  </si>
  <si>
    <t>http://alapaevskoe.ru/article/show/id/10222</t>
  </si>
  <si>
    <t>Администрация муниципального образования Алапаевское</t>
  </si>
  <si>
    <t xml:space="preserve">Управление образования Администрации МО Алапаевское, МКУ «Управление физической культуры и спорта  муниципального образования Алапаевское», «Управление культуры муниципального образования Алапаевское», Администрация МО Алапаевское </t>
  </si>
  <si>
    <t>учреждение, сельская/поселковая администрация</t>
  </si>
  <si>
    <t>https://www.gks.ru/scripts/db_inet2/passport/table.aspx?opt=657710002020</t>
  </si>
  <si>
    <t>очные встречи и обсуждения</t>
  </si>
  <si>
    <t>интернет-голосование на страницах социальных сетей</t>
  </si>
  <si>
    <t>Комиссия по отбору проектов инициативного бюджетирования в муниципальном образовании Алапаевское</t>
  </si>
  <si>
    <t>11 (среднее число участвовавших в заседаниях)</t>
  </si>
  <si>
    <t>http://alapaevskoe.ru/article/show/id/10121</t>
  </si>
  <si>
    <t>рассылка объявлений на электронные почты глав территориальных органов Администрации МО Алапаевское, размещение информации об объявлении конкурсов, итогов реализации проектов, нормативно-правовой базы на  официальном сайте МО Алапаевское</t>
  </si>
  <si>
    <t>Артемовский городской округ</t>
  </si>
  <si>
    <t>Формирование современной городской среды в Артемовском городском округе</t>
  </si>
  <si>
    <t>постановление Администрации Артемовского городского округа от 29.09.2017 № 1068-ПА "Об утверждении муниципальной программы "Формирование современной городской среды в Артемовском городском округе до 2024 года"
 "Об утверждении муниципальной программы "Формирование современной городской среды в Артемовском городском округе до 2024 года" (с изменениями); постановление Администрации Артемовского городского округа от 06.10.2017 № 1085-ПА "Об утверждении Порядка предоставления из бюджета Артемовского городского округа субсидий юридическим лицам, осуществляющим управление многоквартирными домами, расположенными в границах Артемовского городского округа, на возмещение затрат, связанных с выполнением работ по благоустройству дворовых территорий в рамках реализации подпрограммы 20 "Формирование современной городской среды" муниципальной программы "Развитие Артемовского городского округа на период до 2020 года" (с изменениями)</t>
  </si>
  <si>
    <t>http://artemovsky66.ru/economy/munitsipalnyie-programmyi/
http://artemovsky66.ru/inova_block_documentset/5012/card/?sort=created&amp;page=3</t>
  </si>
  <si>
    <t>Управление по городскому хозяйству и жилью Администрации Артемовского городского округа</t>
  </si>
  <si>
    <t xml:space="preserve">субсидия на возмещение затрат, связанных с выполнением работ по благоустройству дворовых территорий </t>
  </si>
  <si>
    <t>юридические лица, осуществляющие управление многоквартирными домами</t>
  </si>
  <si>
    <t>количество проживающи в МКД</t>
  </si>
  <si>
    <t>https://sverdl.gks.ru/folder/34029</t>
  </si>
  <si>
    <t>листы голосования, протокол собрания жителей</t>
  </si>
  <si>
    <t>городской округ Первоуральск</t>
  </si>
  <si>
    <t xml:space="preserve">2016 -  ремонт лестничных спусков, 
2020 - ремонт внутриквартальных проездов </t>
  </si>
  <si>
    <t>Постановление Администрации городского округа Первоуральск от 03.08.2018 N 1348
(ред. от 07.04.2020) "Об утверждении Порядка проведения конкурсного отбора в городском округе Первоуральск проектов инициативного бюджетирования и состава конкурсной комиссии"</t>
  </si>
  <si>
    <t>https://prvadm.ru/normativno-pravovye-akty/postanovlenija-administracii/postanovlenija-administracii-2018-god/1348-ot-03-08-2018/, https://prvadm.ru/normativno-pravovye-akty/postanovlenija-administracii/2020-god/652-ot-07-04-2020/</t>
  </si>
  <si>
    <t xml:space="preserve">Администрация городского округа Первоуральск </t>
  </si>
  <si>
    <t>Управление жилищно-коммнального хозяйства</t>
  </si>
  <si>
    <t>бюджетные ассигнования</t>
  </si>
  <si>
    <t>Исполнитель в соответствии с муниципальным контрактом</t>
  </si>
  <si>
    <t>https://sverdl.gks.ru/storage/mediabank/Числ.МО_2020.xls</t>
  </si>
  <si>
    <t xml:space="preserve">да, опросы </t>
  </si>
  <si>
    <t>https://prvadm.ru/novosti/zhkh/startoval-vtoroj-etap-golosovaniya-za-territoriju-kotoruju-blagoustroyat-v-2022-godu/</t>
  </si>
  <si>
    <t>да, уличные комитеты</t>
  </si>
  <si>
    <t>да, обращения граждан через интернет</t>
  </si>
  <si>
    <t>http://prvugkh.ru/obrascheniya-grazhdan, https://prvadm.ru/struktura-administracii/kontrolno-organizacionnyj-otdel/jelektronnaja-priemnaja/</t>
  </si>
  <si>
    <t>да, конкурсный отбор через элетронный аукцион на zakupki.gov</t>
  </si>
  <si>
    <t>zakupki.gov</t>
  </si>
  <si>
    <t>https://prvadm.ru/novosti/administraciya-obyavlyaet-konkurs-otbora-proektov-iniciativnogo-bjudzhetirovaniya/ - 2021 год,                                                                https://prvadm.ru/novosti/administraciya-obyavlyaet-konkurs-otbora-proektov-po-blagoustrojstvu-i/ - 2020 год</t>
  </si>
  <si>
    <t>городской округ Верхняя Пышма</t>
  </si>
  <si>
    <t>Грантовая поддержка местных инициатив граждан, проживающих в сельской местности</t>
  </si>
  <si>
    <t>20 апреля 2020 года</t>
  </si>
  <si>
    <t>5 сентября 2020 года</t>
  </si>
  <si>
    <t>Положение о порядке предоставления субсидий на грантовую поддержку местных инициатив граждан, проживающих в сельской местности, утвержденное постановлением администрации городского округа Верхняя Пышма от 28.12.2019 № 1393</t>
  </si>
  <si>
    <t>http://movp.ru/site/section?id=1279</t>
  </si>
  <si>
    <t>Комитет экономики и муниципального заказа администрации городского округа Верхняя Пышма</t>
  </si>
  <si>
    <t>Администрация городского округа Верхняя Пышма</t>
  </si>
  <si>
    <t>Субсидия в виде грантов</t>
  </si>
  <si>
    <t>Мостовская сельская администрация, МАУ"Спортивная школа имени Александра Козицына"</t>
  </si>
  <si>
    <t>Количество человек, которые получат пользу непосредственно и косвенно (например, в случае ремонта улицы непосредственную пользу получат жители этой и прилегающих улиц, а косвенную - все жители сельского населённого пункта), человек - 2575</t>
  </si>
  <si>
    <t>Расчетные данные</t>
  </si>
  <si>
    <t>https://www.gks.ru/scripts/db_inet2/passport/munr.aspx?base=munst65</t>
  </si>
  <si>
    <t>подписной лист</t>
  </si>
  <si>
    <t>Собрание инициативной группы.                                                                                                                                                                                                                                      Одним из главных результатов реализации Проекта стало вовлечение жителей поселка в развитие физической культуры и спорта, а также:
 - развитие и популяризация здорового образа жизни ;
 - создание дополнительной спортивной площадки;
 - возможность объединения родителей, детей занятий массовым спортом;
 - обеспечение доступности жителей к спортивным объектам;
 - возможность участия родителей в спортивной жизни детей и процессе воспитания здорового поколения</t>
  </si>
  <si>
    <t xml:space="preserve">
</t>
  </si>
  <si>
    <t xml:space="preserve">Постановление администрации городского  округа Верхняя Пышма от 27.03.2020 № 166 "О создании комиссии по отбору общественно значимых проектов, претендующих на получение грантовой поддержки местных инициатив граждан, проживающих в сельской местности. Протокол администрации городского округа Верхняя Пышма от 18.06.2020 № 1 </t>
  </si>
  <si>
    <t>Социальные сети,печатное издание газета "Красное знамя"</t>
  </si>
  <si>
    <t>Камышловский муниципальный район Свердловской области</t>
  </si>
  <si>
    <t>Районный конкурс молодёжных добровольческих социально-значимых проектов ИНИЦИАТИВА</t>
  </si>
  <si>
    <t>районный конкурс ИНИЦИАТИВА</t>
  </si>
  <si>
    <t>Распоряжение администрации МО Камышловский муниципальтный район</t>
  </si>
  <si>
    <t>Отдел культуры, молодежной политики и спорта администрации МО Камышловский муниципальный район</t>
  </si>
  <si>
    <t>МКОУ Скатинская СОШ, МКОУ Баранниковская СОШ, МКУ "Западный центр информационной, культурно-досуговой и спортивной деятельности", МКУ "Восточный центр информационной, культурно-досуговой и спортивной деятельности", МКОУ Аксарихинская СОШ, МКУ "Камышловский ФОК", ММКУК КМР "Методический кульутрно-информационный центр", гр. Черных Г.О.</t>
  </si>
  <si>
    <t>Организация и проведение мероприятий, выполнение работ по благоустройству объектов, сбор и обработка информации, оформление собранных данных для организации выставочных плакатов, альбомов и др.</t>
  </si>
  <si>
    <t>Учитываются количество участников проведенных мероприятий</t>
  </si>
  <si>
    <t>https://gks.ru/dbscripts/munst/munst65/DbInet.cgi</t>
  </si>
  <si>
    <t>регистрация заявок на участие в конкурсном отборе</t>
  </si>
  <si>
    <t>Ирбитское муниципальное образование</t>
  </si>
  <si>
    <t>Комплексное благоустройство территории по адресу: Свердловская обл., Ирбитский район, п. Зайково, ул. Коммунистическая "Парк Победы"</t>
  </si>
  <si>
    <t>2021 год</t>
  </si>
  <si>
    <t>администрация Ирбитского муниципального образования</t>
  </si>
  <si>
    <t>численность населения проживающего в п. Зайково</t>
  </si>
  <si>
    <t>муниципальное образование "город Екатеринбург"</t>
  </si>
  <si>
    <t>Инициативное бюджетирование на территории муниципального образования "город Екатеринбург"</t>
  </si>
  <si>
    <t>Екатеринбург, предлагай!</t>
  </si>
  <si>
    <t>22 января 2020 г.</t>
  </si>
  <si>
    <t>Постановление Администрации города Екатеринбурга от 21.09.2018 № 2345 "Об утверждении Положения о реализации проектов инициативного бюджетирования на территории муниципального образования "город Екатеринбург"</t>
  </si>
  <si>
    <t>https://екатеринбург.рф/официально/документы/постановления/п_2018/23803</t>
  </si>
  <si>
    <t>Департамент финансов Администрации города Екатеринбурга</t>
  </si>
  <si>
    <t>Департамент образования Администрации города Екатеринбурга, Управление культуры Администрации города Екатеринбурга, Управление по физической культуре и спорту Администрации города Екатеринбурга, Администрация Орджоникидзевского района города Екатеринбурга, Администрация Железнодорожного района города Екатеринбурга, Администрация Кировского района города Екатеринбурга, Администрация Ленинского района города Екатеринбурга, Администрация Верх-Исетского района города Екатеринбурга</t>
  </si>
  <si>
    <t>Субсидии на иные цели, смета казенного учреждения</t>
  </si>
  <si>
    <t>Муниципальное автономное учреждение культуры города Екатеринбурга Дом культуры "Совхозный", Муниципальное автономное общеобразовательное учреждение средняя общеобразовательная школа № 65 с углубленным изучением отдельных предметов, Муниципальное автономное учреждение культуры города Екатеринбурга "Культурно-досуговый центр "Дружба", Муниципальное автономное общеобразовательное учреждение Гимназия №210 "Корифей", Муниципальное автономное общеобразовательное учреждение — гимназия № 94, Муниципальное автономное учреждение Спортивно-оздоровительный комплекс "Калининец", Муниципальное бюджетное учреждение дополнительного образования "Центр детско-юношеский "Созвездие", МБДОУ детский сад общеразвивающего вида с приоритетным осуществлением деятельности по познавательно-речевому развитию воспитанников № 28 "Теремок", Муниципальное автономное учреждение культуры города Екатеринбурга "Центр культуры и искусств "Верх-Исетский", Муниципальное автономное образовательное учреждение средняя общеобразовательная школа с углубленным изучением отдельных предметов № 50, Муниципальное бюджетное учреждение культуры дополнительного образования "Екатеринбургская детская школа искусств № 8", Муниципальное автономное общеобразовательное учреждение средняя общеобразовательная школа № 4 с углубленным изучением отдельных предметов, Муниципальное бюджетное учреждение дополнительного образования Центр внешкольной работы "Социум", Муниципальное автономное общеобразовательное учреждение — Гимназия № 47, МБУ спортивная школа №8 "Локомотив", Муниципальное автономное общеобразовательное учреждение — средняя общеобразовательная школа № 137, Муниципальное бюджетное дошкольное образовательное учреждение - детский сад № 391, Муниципальное автономное общеобразовательное учреждение средняя общеобразовательная школа № 44, МБУК ДО "Екатеринбургская детская музыкальная школа № 9", Муниципальное автономное общеобразовательное учреждение лицей №110 им. Л.К. Гришиной, Муниципальное бюджетное дошкольное образовательное учреждение - детский сад № 9, Муниципальное бюджетное учреждение дополнительного образования "Детско-юношеский центр "Вариант",  Муниципальное бюджетное учреждение дополнительного образования «МБУ ДО ДЮЦ "Юность", Муниципальное бюджетное учреждение культуры дополнительного бразования "Екатеринбургская детская школа искусств №9", Муниципальное бюджетное учреждение спортивная школа "Виктория»"</t>
  </si>
  <si>
    <t>По опросам населения города Екатеринбурга</t>
  </si>
  <si>
    <t>https://sverdl.gks.ru/</t>
  </si>
  <si>
    <t>Муниципальный проектный комитет по проведению конкурсного отбора проектов инициативного бюджетирования, реализауемых на территории муниципального образования "город Екатеринбург"</t>
  </si>
  <si>
    <t>бюджет муниципального образования "город Екатеринбург"</t>
  </si>
  <si>
    <t>анкеты, опросные листы</t>
  </si>
  <si>
    <t>заявки на участие в конкурсном отборе</t>
  </si>
  <si>
    <t>http://инициатива.екатеринбург.рф/</t>
  </si>
  <si>
    <t>В сети интернет</t>
  </si>
  <si>
    <t>не проводилось</t>
  </si>
  <si>
    <t>Георгиевский городской округ</t>
  </si>
  <si>
    <t xml:space="preserve">Наказы избирателей депутатам Думы Георгиевского городского округа </t>
  </si>
  <si>
    <t>Решение Думы Георгиевского городского округа Ставропольского края от 26 декабря 2018 г. № 469-24 "Об утверждении Положения о наказах избирателей депутатам Думы Георгиевского городского округа Ставропольского края"
Решение Думы Георгиевского городского округа Ставропольского края от 26 июня 2019 г. № 540-31 "О сводном перечне наказов избирателей депутатам  Думы Георгиевского городского округа Ставропольского края на 2020 год"
Решение Думы Георгиевского городского округа Ставропольского края «О внесении изменения в Сводный перечень наказов избирателей депутатам Думы Георгиевского городского округа Ставропольского края на 2020 год, утвержденный решением Думы Георгиевского городского округа Ставропольского края от 26 июня 2019 г. № 540-31»</t>
  </si>
  <si>
    <t>http://www.georgievsk.ru/duma/reshen/469-24.doc
http://www.georgievsk.ru/duma/reshen/2019/540-31.doc
http://www.georgievsk.ru/duma/reshen/2019/628-42.doc</t>
  </si>
  <si>
    <t xml:space="preserve"> Администрация Георгиевского городского округа</t>
  </si>
  <si>
    <t>Управление жилищно-коммунального хозяйства администрации Георгиевского городского округа</t>
  </si>
  <si>
    <t>расчет доли</t>
  </si>
  <si>
    <t>https://stavstat.gks.ru/storage/mediabank/Численность%20населения%20на%2001.01.2020%20г.%20и%20в%20среднем%20за%202019%20год(1).rar</t>
  </si>
  <si>
    <t>обращения граждан</t>
  </si>
  <si>
    <t>подача заявок депутатам</t>
  </si>
  <si>
    <t>Протокол заседания Думы Георгиевского городского округа Ставропольского края</t>
  </si>
  <si>
    <t>Ипатовский городской округ Ставропольского края</t>
  </si>
  <si>
    <t>Муниципальная программа «Малое село Ипатовского городского округа Ставропольского края»</t>
  </si>
  <si>
    <t>Малое село</t>
  </si>
  <si>
    <t xml:space="preserve"> ноябрь 2019 г.</t>
  </si>
  <si>
    <t>сентябрь 2020г.</t>
  </si>
  <si>
    <t xml:space="preserve"> Постановление администрации Ипатовского городского округа Ставропольского края от 25 декабря 2018 г. № 1675 (с изменениями,внесёнными постан-ем администр.Ипатовского городского округаСК от 30.12.2019г №1993; постан-ем администр.Ипатовского городского округаСК от 30.12.2020г №1844; )"Об утверждении муниципальной программы "Малое село Ипатовского городского округа Ставропольского края" постановление администрации Ипатовского ГО СК  "Об утверждении Правил распределения средств бюджета Ипатовского городского округа Ставропольского края на реализцию проектов развития малых сел, поселков, аулов и хуторов Ипатовского городского округа Ставропольского края, основанных на местных инициативах" №636 от 11 апреля 2019 года</t>
  </si>
  <si>
    <t>http://ipatovo.org/page.php?id=18658</t>
  </si>
  <si>
    <t>Управление по работе с территориями администрации Ипатовского городского округа Ставропольского края</t>
  </si>
  <si>
    <t>Управление по работе с территориями администрации Ипатовского городского округа Ставропольского края, отдел культуры администрации Ипатовского городского округа Ставропольского края</t>
  </si>
  <si>
    <t xml:space="preserve">Средства местного бюджета </t>
  </si>
  <si>
    <t xml:space="preserve">трудовое участие населения в виде субботников: наведение чистоты и порядка на территории малых сёл- уборка мусора около дворов жителей населённых пунктов,на улицах и в парковых зонах, покупка и высадка деревьев и кустарников, побелка бордюров, деревьев, покраска лавочек и т.д  </t>
  </si>
  <si>
    <t>численность населения по населён. пунктам-участникам практики , всего: 964 чел. В т.ч. А. Верхний Барханчак-388 чел., с.Лесная Дача-408 чел., с.Новоандреевское-168 чел.(Показатели Северо-Кавказстата на 01.01.2020года)</t>
  </si>
  <si>
    <t>https://stavstat.gks.ru/contacts</t>
  </si>
  <si>
    <t xml:space="preserve">Анкеты распостраняются волонтерами, инициативными группами, заполняются жителями и доставляются в управление по работе с территориями, где обрабатываются и фиксируются  </t>
  </si>
  <si>
    <t>протоколы собраний, фотофиксация</t>
  </si>
  <si>
    <t>составлен протокол заседания</t>
  </si>
  <si>
    <t>В 2020 году онлайн обучение с представителями министерства финансов СК, участвовали председатели инициативных групп, специалисты территориальных отделов, финансового управления администрации  ИГО СК</t>
  </si>
  <si>
    <t>Петровский городской округ Ставропольского края</t>
  </si>
  <si>
    <t>Реализация уличных и квартальных инициатив</t>
  </si>
  <si>
    <t>Постановление администрации Петровского городского округа Ставропольского края 27 июня 2018 г. № 1035 «О конкурсной комиссии по проведению конкурсного отбора проектов по ремонту улично-дорожной сети, основанных на инициативах жителей Петровского городского округа Ставропольского края».</t>
  </si>
  <si>
    <t>http://petrgosk.ru/obshchestvo/koordinatsionnye-i-soveshchatelnye-organy/konkursnaya-komissiya-po-provedeniyu-konkursnogo-otbora-proektov-po-remontu-ulichno-dorozhnoy-seti-o/index.php</t>
  </si>
  <si>
    <t>Управление муниципального хозяйства Петровского городского округа Ставропольского края</t>
  </si>
  <si>
    <t>Средства бюджета Петровского городского округа Ставропольского края</t>
  </si>
  <si>
    <t>В соответствии с Правилами реализации проектов по ремонту улично-дорожной сети, основанных на инициативах жителей Петровского городского округа Ставропольского края</t>
  </si>
  <si>
    <t xml:space="preserve"> 0,66 (https://stavstat.gks.ru/folder/28386)</t>
  </si>
  <si>
    <t>https://stavstat.gks.ru/folder/28386</t>
  </si>
  <si>
    <t>протокол собрания жителей улицы, на которой предполагается реализация проекта, содержащий решение о согласии участия в конкурсном отборе и готовности принять участие в реализации проекта</t>
  </si>
  <si>
    <t>Принятая заявка на участие в конкурсном отборе в управлении муниципального хозяйства Петровского городского округа Ставропольского края</t>
  </si>
  <si>
    <t>город Тюмень</t>
  </si>
  <si>
    <t>Положение об инициативном бюджетировании в городе Тюмени (в 2020 году, признано утратившим силу), Порядок работы с инициативными проектами в городе Тюмени (в 2021 году)</t>
  </si>
  <si>
    <t>В 2020 году - постановление Администрации города Тюмени от 04.02.2020 № 13-пк "Об утверждении Положения об инициативном бюджетировании в городе Тюмени" (признанно утратившим силу).                   В 2021 году - решение Тюменской городской Думы от 24.12.2020 № 300 "Об утверждении Положения об инициативных проектах на территории города Тюмени", постановление Администрации города Тюмени от 19.04.2021 № 69-пк "Об утверждении Порядка работы с инициативными проектами в городе Тюмени", распоряжение Администрации города Тюмени от 19.03.2021 № 200 "О создании конкурсной комиссии по отбору инициативных проектов"</t>
  </si>
  <si>
    <t>http://www.tyumen-city.ru/ekonomika/finansi/iniciativnoe-budjetirovanie/normativno-pravovoe-regulirovanie/</t>
  </si>
  <si>
    <t>Департамент финансов и налоговой политики Администрации города Тюмени</t>
  </si>
  <si>
    <t>В 2020 году:
Департамент имущественных отношений Администрации города Тюмени, управа Ленинского административного округа Администрации города Тюмени, управа Центрального административного округа Администрации города Тюмени, управа Восточного административного округа Администрации города Тюмени, управа Калининского административного округа Администрации города Тюмени</t>
  </si>
  <si>
    <t>В 2020 году
Закупка товаров, работ, услуг для обеспечения муниципальных нужд</t>
  </si>
  <si>
    <t>В 2020 году
МКУ "Тюменское городское имущественное казначейство", МКУ "Служба заказчика по благоустройству Ленинского административного округа города Тюмени", МКУ "Служба заказчика по благоустройству Центрального административного округа города Тюмени", МКУ  "Служба заказчика по благоустройству Восточного административного округа города Тюмени", МКУ  "Служба заказчика по благоустройству Калининского административного округа города Тюмени"</t>
  </si>
  <si>
    <t>более 4</t>
  </si>
  <si>
    <t>Количество благополучателей указывалось инициаторами проектов в инициативных проектах</t>
  </si>
  <si>
    <t>более 0,5</t>
  </si>
  <si>
    <t>https://www.gks.ru/scripts/db_inet2/passport/pass.aspx?base=munst71&amp;r=71701000</t>
  </si>
  <si>
    <t>поступление проектов на ящик электронной почты tvoybudget@tyumen-city.ru</t>
  </si>
  <si>
    <t>присвоение проекту входящего номера</t>
  </si>
  <si>
    <t>Электронное голосование на официальном сайте Администрации города Тюмени в системе электронных опросов "Я решаю!" с использованием системы блокчейн (https://dom.tyumen-city.ru/ir)</t>
  </si>
  <si>
    <t>http://www.tyumen-city.ru/ekonomika/finansi/iniciativnoe-budjetirovanie/
https://vk.com/tmnourhome
https://instagram.com/portaltyumendom</t>
  </si>
  <si>
    <t>http://www.tyumen-city.ru/ekonomika/finansi/iniciativnoe-budjetirovanie/</t>
  </si>
  <si>
    <t>Информирование населения посредствам социальных сетей ВКонтакте, Instagram</t>
  </si>
  <si>
    <t>Очные встречи (семинары) с жителями города Тюмени, органами ТОС города Тюмени</t>
  </si>
  <si>
    <t>городской округ город Ишим</t>
  </si>
  <si>
    <t>благоустройство дворовых территорий многоквартирных домов города Ишима</t>
  </si>
  <si>
    <t>благоустройство дворовых территорий многоквартирных домов</t>
  </si>
  <si>
    <t>постановление Администрации города Ишима от 01.08.2016 № 804 "Об утверждении Порядка заключения соглашения о благоустройстве прилегающей территории";
постановление Администрации города Ишима от 11.02.2019 № 102 "Об утверждении Порядка предоставления субсидий на благоустройство придомовых территорий многоквартирных домов города Ишима и Положения о порядке формирования адресного списка многоквартирных домов, изъявивших желание провести работы по благоустройству придомовых территорий многоквартирных домов";
постановление Администрации города Ишима от 10.02.2020 № 67 "Об утверждении Порядка предоставления субсидий на благоустройство дворовых территорий многоквартирных домов города Ишима и Положения о порядке формирования адресного списка многоквартирных домов, изъявивших желание провести работы по благоустройству дворовых территорий многоквартирных домов"</t>
  </si>
  <si>
    <t>http://ishimdoc.ru/dokumenty/post_adm/1818/?sphrase_id=3338</t>
  </si>
  <si>
    <t>Департамент городского хозяйства администрации города Ишима</t>
  </si>
  <si>
    <t>Количество жителей, проживающих в МКД</t>
  </si>
  <si>
    <t>https://www.gks.ru/scripts/db_inet2/passport/pass.aspx?base=munst71&amp;r=71705000</t>
  </si>
  <si>
    <t>протокол общего собрания собственников МКД</t>
  </si>
  <si>
    <t>https://ishim.admtyumen.ru/mo/Ishim/economics/more.htm?id=11872606@cmsArticle</t>
  </si>
  <si>
    <t>Можгинский район</t>
  </si>
  <si>
    <t xml:space="preserve">муниципальный проект инициативного бюджетирования среди  сельских поселений Можгинского района  «Наше село»  </t>
  </si>
  <si>
    <t xml:space="preserve">постановление Администрации муниципального образования «Можгинский район» от 1 февраля 2019 года № 48 «О реализации на территории Можгинского района муниципальных проектов инициативного бюджетирования среди  сельских поселений Можгинского района  «Наше село»  (с изменениями от 31.01.2020г. №70, от 26.10.2020г. №658)
</t>
  </si>
  <si>
    <t>https://www.mozhga-rayon.ru/about/info/initsiativnoe-byudzhetirovanie-nashe-selo/</t>
  </si>
  <si>
    <t>Администрация муниципального образования "Можгинский район"</t>
  </si>
  <si>
    <t>бюджетные ассигнования, лимиты бюджетных обязательств</t>
  </si>
  <si>
    <t>Доля благополучателей в общей численности населения населенного пункта (% от общего числа зарегистрированных жителей в населенном пункте) * 0,1</t>
  </si>
  <si>
    <t>http://www.mozhga-rayon.ru/about/info/initsiativnoe-byudzhetirovanie-nashe-selo/</t>
  </si>
  <si>
    <t>https://www.mozhga-rayon.ru/city/</t>
  </si>
  <si>
    <t>Подомовой обход с анкетными листами</t>
  </si>
  <si>
    <t>очное голосование жителей на собраниях и встречах</t>
  </si>
  <si>
    <t>протокол заседания конкурсной комиссии по проведению конкурсного отбора</t>
  </si>
  <si>
    <t>Этапы конкурсных процедур,  документация необходимая для участия в проекте, протоколы заседаний конкурсной комисии, нормативный акт о распределении бюджетных ассигнований между проектами, отчеты об реализации проектов размещаются на официальном сайте муниципального образования "Можгинский район"</t>
  </si>
  <si>
    <t>https://vk.com/mozhraion</t>
  </si>
  <si>
    <t xml:space="preserve"> информация размещалась на информационном сайте муниципального образования "Можгинский район", через социальную сеть Вконтакте, проведение с населением культурно-массовых мероприятий, связанных с реализацией проекта</t>
  </si>
  <si>
    <t>использование листовок</t>
  </si>
  <si>
    <t>На совещаниях с главами муниципальных образований сельских поселений</t>
  </si>
  <si>
    <t>Завьяловский район</t>
  </si>
  <si>
    <t>Завьяловский район - ЗА ПРЕОБРАЖЕНИЕ!</t>
  </si>
  <si>
    <t>Постановление Администрации МО "Завьяловский район" от 26.03.2020 №453 "О поддержке проектов местных инициатив на территории муниципального образования "Завьяловский район"</t>
  </si>
  <si>
    <t>http://завьяловский.рф/about/ekonomika/initsiativnoe-byudzhetirovanie/npa/Постановления%20Администрации%20от%2026.03.2020%20№%20453%20и%20от%2020.04.2020%20№%20559.pdf</t>
  </si>
  <si>
    <t>Управление экономического развития Администрации муниципального образования "Завьяловский район</t>
  </si>
  <si>
    <t>Управление финансов Завьяловского района Удмуртской Республики</t>
  </si>
  <si>
    <t>Бюджеты муниципальных образований - сельских поселений</t>
  </si>
  <si>
    <t>населением проводились субботники, спецтехника предоставлялась юридическими лицами, индивидуальными предпринимателями и Администрациями сельских поселений</t>
  </si>
  <si>
    <t>по данным инициативной группы, методика отсутствует</t>
  </si>
  <si>
    <t>В 2020 году принятие решения об участии в конкурсном отборе по поддержке Проектов на территории муниципального образования «Завьяловский район», выбор объектов и отбор Проектов осуществляются с использованием онлайн-опросов через гугл-формы, социальные сети и (или) мессенджеры.
При проведении онлайн-опросов  по отбору Проектов необходимо использовать логотип проектов местных инициатив на территории муниципального образования «Завьяловский район» «Завьяловский район – ЗА ПРЕОБРАЖЕНИЕ!» и хештег #ЗРзапреображение. В 2020 году при подаче документов дополнительно предоставляются документы и сведения, подтверждающие проведение онлайн-опросов. При этом   фотоматериалы собрания жителей населенного пункта не предоставляются.</t>
  </si>
  <si>
    <t>Положением предусмотрены, но не проводились в связи с ограничительными мерами</t>
  </si>
  <si>
    <t>Решение об участии в конкурсном отборе поддержки Проектов на территории муниципального образования «Завьяловский район», выбор объектов и отбор Проектов осуществляются на собраниях жителей.
Собрание жителей может выбрать как один, так и несколько проектов местных инициатив, одного или нескольких представителей инициативных групп. К заявке прилагается протокол и фотофиксация собрания</t>
  </si>
  <si>
    <t>http://завьяловский.рф/about/ekonomika/initsiativnoe-byudzhetirovanie/rezultaty-konkursnykh-protsedur-po-podderzhke-proektov/index.php</t>
  </si>
  <si>
    <t>http://завьяловский.рф/about/ekonomika/initsiativnoe-byudzhetirovanie/index.php</t>
  </si>
  <si>
    <t>https://vk.com/zavyalovodistrict?w=wall-81315289_2980</t>
  </si>
  <si>
    <t>http://завьяловский.рф/about/news/news/za-preobrazhenie/</t>
  </si>
  <si>
    <t xml:space="preserve">Информация размещелась на официальном сайте МО "Завьяловский район" в сети интернет завьяловский.рф, а также в официальной группе ВКонтакте </t>
  </si>
  <si>
    <t>Обучающие мероприятия не проводились в связи с ограничением из-за распространения новой короновирусной инфекции. Разъясненительная работа проводилась по телефону или на личном приеме</t>
  </si>
  <si>
    <t>"Глазовский район"</t>
  </si>
  <si>
    <t>Постановление Администрации муниципального образования "Глазовский район" от  01 марта 2019 года № 1.28 "О реализации муниципальных проектов инициативного бюджетирования «Наше село»на территории муниципальных образований –сельских поселений  Глазовского района" ( в редакции постановления от 08.04.2020 № 1.50)</t>
  </si>
  <si>
    <t>Проект инициативного бюджетирования "Наше село"</t>
  </si>
  <si>
    <t>с 07.05.2020</t>
  </si>
  <si>
    <t>http://glazrayon.ru/city/fin/podderzhka/norm/</t>
  </si>
  <si>
    <t>Администрация муниципального образования "Глазовский район", муниципальные образования -сельские поселения Глазовского района</t>
  </si>
  <si>
    <t>Администрация муниципального образования "Глазовский район"</t>
  </si>
  <si>
    <t>Администрации муниципальных образований-сельских поселений Глазовского района</t>
  </si>
  <si>
    <t>Из заявки для участия в конкурсном отборе</t>
  </si>
  <si>
    <t>http://glazrayon.ru/city/economica/statistika/naselenie/</t>
  </si>
  <si>
    <t>http://glazrayon.ru/city/fin/podderzhka/konkurs/</t>
  </si>
  <si>
    <t>http://glazrayon.ru/city/fin/podderzhka/</t>
  </si>
  <si>
    <t>https://vk.com/club181006482?w=wall-181006482_775;http://glazrayon.ru/poseleniya/mo_kachkashurskoe/index.php?PAGEN_1=3&amp;clear_cache=Y&amp;logout_butt=%D0%92%D1%8B%D0%B9%D1%82%D0%B8</t>
  </si>
  <si>
    <t>Вавожский район</t>
  </si>
  <si>
    <t>Поддержка местных инициатив на территории муниципального образования "Вавожский район"</t>
  </si>
  <si>
    <t>Один+один</t>
  </si>
  <si>
    <t>01 октября 2020 г.</t>
  </si>
  <si>
    <t>Постановление Администрации муниципального образования "Вавожский район" от 09.07.2020 №525 "Об утвеждении Порядка поддержки местных инициатив на территории муниципального образования "Вавожский район"</t>
  </si>
  <si>
    <t>Администрация муниципального образования "Вавожский район"</t>
  </si>
  <si>
    <t xml:space="preserve">Муниципальные образования (сельские поселения) Вавожского района </t>
  </si>
  <si>
    <t>Жители  улицы Мира села Вавож; жители Брызгаловского сельского поселения</t>
  </si>
  <si>
    <t>Паспорт муниципального образования</t>
  </si>
  <si>
    <t xml:space="preserve">протоколы собрания жителей </t>
  </si>
  <si>
    <t>МО Базарносызганское городское поселение</t>
  </si>
  <si>
    <t>Проект «Народный бюджет</t>
  </si>
  <si>
    <t>постановление администрайии муниципального образования «Базарносызганский район» №190-П от 31.10.2017</t>
  </si>
  <si>
    <t>https://bsizgan.ulregion.ru/npa/par-2017/6990.html</t>
  </si>
  <si>
    <t>Администрация муниципального образования «Базарносызганский район»</t>
  </si>
  <si>
    <t>количество благополучателей проектов ИБ/общее количество граждан, проживающих в МО</t>
  </si>
  <si>
    <t>https://www.gks.ru/scripts/db_inet2/passport/table.aspx?opt=736021512020</t>
  </si>
  <si>
    <t xml:space="preserve">сбор заявок на участие в Проекте на сайте администрации, а также по средствам размещения объявлений </t>
  </si>
  <si>
    <t>http://bsizgan.ulregion.ru/econom/bjudzhet_rajona/narod-budzhet.html</t>
  </si>
  <si>
    <t>Размещение информации в районной газете «Новое время»</t>
  </si>
  <si>
    <t>Проведены открытые уроки, дни налоговой и бюджетной грамотности на 35 площадках для бизнес-сообществ, работников организаций и учреждений, граждан пенсионного и пенсионного возраста, учащихся общеобразовательных учреждений, детей дошкольного возраста. Размещены обучающие материалы на сайте в открытом доступе.</t>
  </si>
  <si>
    <t>Охвачено 1247 человек.</t>
  </si>
  <si>
    <t>Барышское городское поселение Барышского района</t>
  </si>
  <si>
    <t>Постановление Администрации муниципального образования образования "Барышский район" № 490-А от 22.05.2015 "О реализации проекта "Народный бюджет" в муниципальном образовании "Барышское городское поселение"</t>
  </si>
  <si>
    <t>http://barysh.org/regulatory/Post2015/490.pdf</t>
  </si>
  <si>
    <t>Администрация муниципального образования "Барышский район"</t>
  </si>
  <si>
    <t>https://uln.gks.ru/folder/40275</t>
  </si>
  <si>
    <t>протоколирование</t>
  </si>
  <si>
    <t>http://barysh.org/city/finance/narodnyi_budget/</t>
  </si>
  <si>
    <t>Газета "Барышские вести" № 24 от 14.06.2020 года,  Одноклассники  https://ok.ru/barysh.org/topic/151776750443886 , на сайте Администрации: https://barysh.org/about/info/messages/27307/</t>
  </si>
  <si>
    <t>При создании бюджетной комиссии все члены прошли обучение по инициативному бюджетированию. Формат: Бюджетная комиссия. Один раз в год.  6 чел. основной состав, 6 человек резерв и 1 модератор бюджетной комиссии</t>
  </si>
  <si>
    <t>Муниципальное образование «Бекетовское сельское поселение»</t>
  </si>
  <si>
    <t>Проект «Народный бюджет»</t>
  </si>
  <si>
    <t>2016 г.</t>
  </si>
  <si>
    <t>1 апреля 2020 года</t>
  </si>
  <si>
    <t>30 сентября 2020 года</t>
  </si>
  <si>
    <t>Постановление администрации муниципального образования «Бекетовское сельское поселение» от 10.12.2018 № 70 «Об утверждении Положения о проекте «Народный бюджет».</t>
  </si>
  <si>
    <t>Администрации муниципального образования «Бекетовское сельское поселение»</t>
  </si>
  <si>
    <t>Иные (средства предусмотрены в бюджете муниципального образования за счет средств местного бюджета)</t>
  </si>
  <si>
    <t>https://uln.gks.ru/search?q=численность+Вешкаймского+района</t>
  </si>
  <si>
    <t>https://www.mo-veshkaima.ru/view_news.php?id=21638</t>
  </si>
  <si>
    <t>размещены объявления о проведении конкурса в местах массового скопления людей (магазины)</t>
  </si>
  <si>
    <t>"Большенагаткинское сельское поселение"</t>
  </si>
  <si>
    <t>проект «Народный бюджет – 2020»</t>
  </si>
  <si>
    <t>Постановление Администрации муниципального образования «Большенагаткинское сельское поселение» Цильнинского района Ульяновской области №111 28.08.2017 " О реализации Народного бюджета"</t>
  </si>
  <si>
    <t>http://www.b-nagatkinskoe.ru/</t>
  </si>
  <si>
    <t>Администрация муниципального образования «Большенагаткинское сельское поселение» Цильнинского района Ульяновской области</t>
  </si>
  <si>
    <t>ИП Есин А.С.</t>
  </si>
  <si>
    <t>по данным учета поселения</t>
  </si>
  <si>
    <t>Информационного сообщения о сборе заявок на участие в Проекте размещено на сайте администрации муниципального образования «Большенагаткинское сельское поселение» Цильнинского района Ульяновской области. Заявка на участие в Проекте подавалась в администрацию поселения на бумажном носителе, и на электронную почту (по форме согласно Положения)</t>
  </si>
  <si>
    <t xml:space="preserve">По результатам заседания комиссии  представителей администрации сельского поселения был выбран приоритетный проект. </t>
  </si>
  <si>
    <t xml:space="preserve">газета «Большенагаткинское сельское поселение» </t>
  </si>
  <si>
    <t>Муниципальное образование «Вешкаймский район»</t>
  </si>
  <si>
    <t>«Народный бюджет»</t>
  </si>
  <si>
    <t>Постановление администрации муниципального образования «Вешкаймский район» от 27.10.2016 № 786 «Об утверждении Положения о проекте «Народный бюджет».</t>
  </si>
  <si>
    <t>https://mo-veshkaima.ru/view_news.php?id=14236</t>
  </si>
  <si>
    <t>Администрации муниципального образования «Вешкаймский район»</t>
  </si>
  <si>
    <t>МУ Управление образования муниципального образования  "Вешкаймский район"</t>
  </si>
  <si>
    <t xml:space="preserve">МКУ ДО Центр дополнительного образования р.п.Вешкайма </t>
  </si>
  <si>
    <t>размещено объявление на сайте администрации МО "Вешкаймский район",    https://mo-veshkaima.ru/view_news.php?id=20606</t>
  </si>
  <si>
    <t>Муниципальное образование «Вешкаймское городское поселение»</t>
  </si>
  <si>
    <t>Постановление администрации муниципального образования «Вешкаймский район» от 24.04.2017  № 306 «Об утверждении Положения о проекте «Народный бюджет».</t>
  </si>
  <si>
    <t>https://www.mo-veshkaima.ru/view_news.php?id=21927</t>
  </si>
  <si>
    <t>размещены объявления о проведении конкурса в местах массового скопления людей</t>
  </si>
  <si>
    <t>Муниципальное образование «Ермоловское сельское поселение»</t>
  </si>
  <si>
    <t>Постановление администрации муниципального образования «Ермоловское сельское поселение» от 14.09.2018 № 38 «Об утверждении Положения о проекте «Народный бюджет».</t>
  </si>
  <si>
    <t>http://www.ermolovskoe.ru/load/normativnye_pravovye_akty/2018/postanovlenie_38_ot_14_09_2018/55-1-0-934</t>
  </si>
  <si>
    <t>Администрации муниципального образования «Ермоловское сельское поселение»</t>
  </si>
  <si>
    <t>МО "Инзенское городское поселение" Инзенского района</t>
  </si>
  <si>
    <t>народный бюджет</t>
  </si>
  <si>
    <t>Постановление Администрации муниципального образования "Инзенский район" от 26.05.2017г. №322 "О реализации проекта "Народный бюджет"</t>
  </si>
  <si>
    <t>http://inza.ulregion.ru/organ_vlasti/107/8945.html</t>
  </si>
  <si>
    <t>Администрация МО "Инзенский район"</t>
  </si>
  <si>
    <t>ООО СП "Солнечная поляна"</t>
  </si>
  <si>
    <t>https://rosstat.gov.ru/search?q=%D1%87%D0%B8%D1%81%D0%BB%D0%B5%D0%BD%D0%BD%D0%BE%D1%81%D1%82%D1%8C+%D0%BF%D0%BE%D1%81%D1%82%D0%BE%D1%8F%D0%BD%D0%BD%D0%BE%D0%B3%D0%BE+%D0%BD%D0%B0%D1%81%D0%B5%D0%BB%D0%B5%D0%BD%D0%B8%D1%8F++%D0%A3%D0%BB%D1%8C%D1%8F%D0%BD%D0%BE%D0%B2%D1%81%D0%BA%D0%BE%D0%B9+%D0%BE%D0%B1%D0%BB%D0%B0%D1%81%D1%82%D0%B8+%D0%BD%D0%B0+01.01.2020&amp;date_from=&amp;content=on&amp;date_to=&amp;search_by=all&amp;sort=relevance</t>
  </si>
  <si>
    <t>протокол участников</t>
  </si>
  <si>
    <t>проотокол</t>
  </si>
  <si>
    <t>http://inza.ulregion.ru/organ_vlasti/107/8945</t>
  </si>
  <si>
    <t>https://ok.ru/novostiinz/topic/152484000597493</t>
  </si>
  <si>
    <t>«Каргинское сельское поселение» Вешкаймского района</t>
  </si>
  <si>
    <t>Постановление администрации муниципального образования «Каргинское сельское поселение» от 01.11.2019 № 69 «Об утверждении Положения о проекте «Народный бюджет».</t>
  </si>
  <si>
    <t>http://www.kargino.ru/load/dokumenty_administracii/postanovlenija_2019_g/postanovlenie_69_ot_01_11_2019/49-1-0-552</t>
  </si>
  <si>
    <t>Администрации муниципального образования «Каргинское сельское поселение»</t>
  </si>
  <si>
    <t>объявления о проведении конкурсаразмещены в местах массового скопления людей: клуб, магазин, администрация</t>
  </si>
  <si>
    <t xml:space="preserve">Карсунское городское поселение Карсунского района </t>
  </si>
  <si>
    <t>29 июня 2020г.</t>
  </si>
  <si>
    <t>05 августа 2020г.</t>
  </si>
  <si>
    <t>Постановление администрации муниципального образования "Карсунский район" Ульяновской области от 27.06.2016 " 285 "Об утверждении Положения о проекте "Народный бюджет"</t>
  </si>
  <si>
    <t>http://karsunmo.ru/postanovleniya/</t>
  </si>
  <si>
    <t>Администрация муниципального образования "Карсунский район" Ульяновской области</t>
  </si>
  <si>
    <t>Средства бюджета муниципального образования Карсунское городское поселение</t>
  </si>
  <si>
    <t>ИП Мальченко В.Е., МУП "Хозяйственная контора" р.п. Карсун</t>
  </si>
  <si>
    <t>https://uln.gks.ru/storage/mediabank/Численность%20населения%20муниципальных%20образований%20Ульяновской%20обл.xlsx</t>
  </si>
  <si>
    <t>Заявка на участие в проекте, инициативное предложение с кратким описанием вопроса, рисунки, схемы</t>
  </si>
  <si>
    <t>протокол комиссии</t>
  </si>
  <si>
    <t>http://karsunmo.ru/narbudget.html</t>
  </si>
  <si>
    <t>В газете "Карсунский вестник" размещено обьявление о сборе заявок и предложений по проекту "Народный бюджет"</t>
  </si>
  <si>
    <t xml:space="preserve">"Краснореченское сельское поселение" Старомайнского района </t>
  </si>
  <si>
    <t>№ 23 от 22.04.2020 "Об утверждении Положения о проекте "Народный бюджет на 2020 год"</t>
  </si>
  <si>
    <t>http://www.krasnorechenskoesp.ru/load/narodnyj_bjudzhet/32</t>
  </si>
  <si>
    <t>Администрация Краснореченского сельского поселения</t>
  </si>
  <si>
    <t>Бюджетные ассигнования</t>
  </si>
  <si>
    <t>https://uln.gks.ru/search?q=численность+населения</t>
  </si>
  <si>
    <t>протокол встречи граждан</t>
  </si>
  <si>
    <t>Публикация в СМИ, размещение на сайте поселения</t>
  </si>
  <si>
    <t>МО " Кузоватовский район"</t>
  </si>
  <si>
    <t>Постановление администрации МО «Кузоватовский район»  № 479 от 17.08.2015 г.  О реализации проекта Народный бюджет</t>
  </si>
  <si>
    <t xml:space="preserve">http://kuzovatovo.ulregion.ru/5886/norma/6793/7975/ </t>
  </si>
  <si>
    <t>Администрация МО " Кузоватовский район"</t>
  </si>
  <si>
    <t>Средства бюджета</t>
  </si>
  <si>
    <t>ООО " Комфорт", ИП Романовская</t>
  </si>
  <si>
    <t xml:space="preserve">http://kuzovatovo.ulregion.ru/5889/posel/10.html </t>
  </si>
  <si>
    <t>Заседание Комиссии в зале заседания администрации МО "Кузоватовский район"</t>
  </si>
  <si>
    <t xml:space="preserve">http://kuzovatovo.ulregion.ru/5906/5914/17247.html </t>
  </si>
  <si>
    <t xml:space="preserve">http://kuzovatovo.ulregion.ru/5906/5914/17247/17253.html </t>
  </si>
  <si>
    <t>Майнское городское поселение Майнского района</t>
  </si>
  <si>
    <t>15 февраля 2020 г.</t>
  </si>
  <si>
    <t>24 декабря 2020 г.</t>
  </si>
  <si>
    <t>Постановление администрации МО "Майнский район" от 17.08.2016 №723 "Об утверждении Положения о проекте "Народный бюджет"</t>
  </si>
  <si>
    <t xml:space="preserve">http://maina-admin.ru/about/statistics/butget </t>
  </si>
  <si>
    <t>Администрация муниципального обраования "Майнский район"</t>
  </si>
  <si>
    <t>https://www.gks.ru/scripts/db_inet2/passport/table.aspx?opt=736201512020</t>
  </si>
  <si>
    <t>http://www.maina-admin.ru/about/statistics/butget/narodniy%20budget.php</t>
  </si>
  <si>
    <t>Объявление о сборе заявок размещено в районной газете "Ленинец"</t>
  </si>
  <si>
    <t>Проведение обучения членов бюджетной комиссии по основным направлениям деятельности и полномочиям органов местного самоуправления (1 час)</t>
  </si>
  <si>
    <t>Мелекесский район</t>
  </si>
  <si>
    <t xml:space="preserve">ПРОЕКТ "Народный бюджет" </t>
  </si>
  <si>
    <t xml:space="preserve">Народный бюджет </t>
  </si>
  <si>
    <t xml:space="preserve">Постановление Администрации муниципального образования "Мелекесский район" Ульяновской области от 22.10.2020 №1056 "О внесении изменений в постановление администрации муниципального образования «Мелекесский район» Ульяновской области от 07.05.2019 №484 «О реализации проекта «Народный бюджет» на территории муниципального образования «Мелекесский район» Ульяновской области" </t>
  </si>
  <si>
    <t xml:space="preserve">http://adm-melekess.ru/strukturnye-podrazdelenija/narodnyi-byudzhet.html
</t>
  </si>
  <si>
    <t>Администрация муниципального образования "Мелекесский район" Ульяновской области</t>
  </si>
  <si>
    <t>Финансовое управление администрации муниципального образования "Мелекесский район" Ульяновской области</t>
  </si>
  <si>
    <t>Средства бюджета муниципального образования "Мелекесский район" Ульяновской области</t>
  </si>
  <si>
    <t>Управление образования администрации муниципального образования "Мелекесский район" Ульяновской области</t>
  </si>
  <si>
    <t>Собрание граждан</t>
  </si>
  <si>
    <t>Открытое голосование</t>
  </si>
  <si>
    <t>http://adm-melekess.ru/files/Informatsionnoe_soobschenie_Narodnyiy_byudjet.docx</t>
  </si>
  <si>
    <t>Обьявления на сайте администрации муниципального образования "Мелекесский район"Ульяновской области</t>
  </si>
  <si>
    <t>Совещания с руководителями бюджетных организаций и глав поселений муниципального образования "Мелекесский район"</t>
  </si>
  <si>
    <t>Радищевский район</t>
  </si>
  <si>
    <t>Проект " Народный бюджет"</t>
  </si>
  <si>
    <t xml:space="preserve">Постановление администрации МО "Радищевский район" Ульяновской области от 25.07.2019 № 501 </t>
  </si>
  <si>
    <t>http://www.radishevo.ulregion.ru/165/4218/15180/</t>
  </si>
  <si>
    <t xml:space="preserve">Отдел финансов Администрации МО "Радищевский район" </t>
  </si>
  <si>
    <t>Отдел образования и дошкольного воспитания</t>
  </si>
  <si>
    <t>Данные территориального органа Государственной статистики по Ульяновской области в Радищевском районе</t>
  </si>
  <si>
    <t>По итогам конкурсного отбора составлен протокол</t>
  </si>
  <si>
    <t>Заявки от граждан по проекту "Народный бюджет" подаются на официальный сайт http://www.radishevo.ulregion.ru/</t>
  </si>
  <si>
    <t>http://www.radishevo.ulregion.ru/</t>
  </si>
  <si>
    <t>Официальный сайт администрации МО "Радищевский район"  http://www.radishevo.ulregion.ru/</t>
  </si>
  <si>
    <t>Сенгилеевский район</t>
  </si>
  <si>
    <t>Народный бюджет 2020г.</t>
  </si>
  <si>
    <t>31 декабря 2020г.</t>
  </si>
  <si>
    <t>Постановление Главы администрации муниципального образования"Сенгилеевский район"  от 04.10.2019г. №626-п "Об утверждении Положения о проете "Народный бюджет -2020""</t>
  </si>
  <si>
    <t>http://sengilej.ru/filemanager.aspx?fileid=9621</t>
  </si>
  <si>
    <t>Финансовое управление администрации муниципального образования "Сенгилеевский район"</t>
  </si>
  <si>
    <t>Управление образования администрации муниципального образования "Сенгилеевский район"</t>
  </si>
  <si>
    <t>Муниципальное дошкольное учреждение детский сад " Светлячек"</t>
  </si>
  <si>
    <t>дети, посещающии сад, родители и родственники, работники детского сада</t>
  </si>
  <si>
    <t>в рамках собраний уличных комитетов</t>
  </si>
  <si>
    <t>протокол проведения бюджетной комисси</t>
  </si>
  <si>
    <t>http://www.sengilej.ru/filemanager.aspx?folderid=433</t>
  </si>
  <si>
    <t>объявления вгазете "Волжские зори"</t>
  </si>
  <si>
    <t>Старокулаткинское городское поселение</t>
  </si>
  <si>
    <t>31.12.2020г.</t>
  </si>
  <si>
    <t>Постановление  администрации муниципального образования  "Старокулаткинский район" №381 от 25.06.2015 "О реализации проекта «Народный бюджет"</t>
  </si>
  <si>
    <t>http://stkulatka.ulregion.ru/mz/marat/1933.html</t>
  </si>
  <si>
    <t>Администрация муниципального образования "Старокулаткинский район"</t>
  </si>
  <si>
    <t>Муниципальное учреждение  "Транстехсервис"</t>
  </si>
  <si>
    <t>При подсчете количества  благополучателей   применялись статистические данные  о численности населения  муниципального образования "Старокулаткинский район" , в том числе по р.п. Старая Кулатка</t>
  </si>
  <si>
    <t>сход граждан</t>
  </si>
  <si>
    <t xml:space="preserve">Создается  бюджетная комиссия. </t>
  </si>
  <si>
    <t>В  работе бюджетной комиссии  приняли участие 5 человек.   Резерв комиссии 5 человек. Всего 10 человек.</t>
  </si>
  <si>
    <t>https://stkulatka.ulregion.ru/mz/marat/1933.html</t>
  </si>
  <si>
    <t xml:space="preserve">В Районной газете "Кумяк кюч"  публикуется информационное сообщение  о проведении конкурсного отбора "Народный бюджет"; публикуется  отчет о реализации  мероприятий на сайте  http://stkulatka.ulregion.ru/mz/marat/1933.html </t>
  </si>
  <si>
    <t>Муниципальное образование «Стемасское сельское поселение»</t>
  </si>
  <si>
    <t>Постановление администрации муниципального образования «Стемасское сельское поселение» от 01.11.2018 № 45 «Об утверждении Положения о проекте «Народный бюджет».</t>
  </si>
  <si>
    <t>http://www.stemasskoe.ru/load/normativno_pravovye_akty/utverzhdennye/postanovlenie_administracii_mo_stemasskoe_selskoe_poselenie_ot_01_11_2018_45/37-1-0-170</t>
  </si>
  <si>
    <t>Администрации муниципального образования «Стемасское сельское поселение»</t>
  </si>
  <si>
    <t>«Тереньгульское городское поселение»</t>
  </si>
  <si>
    <t>проект «Народный бюджет»</t>
  </si>
  <si>
    <t>сентябрь 2019 г.</t>
  </si>
  <si>
    <t>октябрь 2020 г.</t>
  </si>
  <si>
    <t>Постановление администрации МО "Тереньгульский район"  Ульяновской области №388 от 06.09.2019 г."О реализации проекта "Народный бюджет-2020"</t>
  </si>
  <si>
    <t>http://www.terenga.ru/node/10496</t>
  </si>
  <si>
    <t>Муниципальное учреждение Администрация муниципального образования «Тереньгульский район»</t>
  </si>
  <si>
    <t>бюджетные ассигнования (иные)</t>
  </si>
  <si>
    <t>https://www.gks.ru/scripts/db_inet2/passport/table.aspx?opt=736481002020</t>
  </si>
  <si>
    <t xml:space="preserve">зафиксировано протоколом </t>
  </si>
  <si>
    <t>фиксация в протоколе собрания комиссии</t>
  </si>
  <si>
    <t>http://terenga.ru/node/10485</t>
  </si>
  <si>
    <t>информация по рекламной кампании размещалась в социальных сетях,в частности на сайте Одноклассники.ru.</t>
  </si>
  <si>
    <t>Ульяновский район</t>
  </si>
  <si>
    <t>Постановление администрации МО "Ульяновский район" от 16.03.2017 №204 "Об утверждении Положения о проекте "Народный бюджет"</t>
  </si>
  <si>
    <t>http://ulraion.ru/page/230</t>
  </si>
  <si>
    <t>Администрация МО "Ульяновский район"</t>
  </si>
  <si>
    <t>Местный бюджет</t>
  </si>
  <si>
    <t>https://gks.ru/dbscripts/munst/munst73/DBInet.cgi</t>
  </si>
  <si>
    <t xml:space="preserve">заявка на участие в проекте </t>
  </si>
  <si>
    <t>Протокол заседания бюджетной комиссии</t>
  </si>
  <si>
    <t>подача заявки
http://ulraion.ru/news/6960</t>
  </si>
  <si>
    <t>http://ulraion.ru/news/6960
http://ulraion.ru/news/7109
https://vk.com/id355772162?w=wall355772162_5722%2Fall</t>
  </si>
  <si>
    <t>газета "Родина Ильича" № 22 от 31.12.2019, вконтакте сообщество "Улрайон Район" от 10.07.2019
http://ulraion.ru/news/7109
http://ulraion.ru/news/6960
https://vk.com/id355772162?w=wall355772162_5722%2Fall</t>
  </si>
  <si>
    <t>ytn</t>
  </si>
  <si>
    <t xml:space="preserve"> «Чердаклинский район» </t>
  </si>
  <si>
    <t xml:space="preserve">Постановление администрации муниципального образования «Чердаклинский район» Ульяновской области от 29.07.2016г. № 626 «Об утверждении Положения о реализации проекта «Народный бюджет»», 29.07.2016г.; Постановление администрации муниципального образования «Чердаклинский район» Ульяновской области от 29.07.2019г. № 930 «О внесении изменений в постановление администрации муниципального образования «Чердаклинский район» Ульяновской области от 29.07.2016г. № 626 «Об утверждении Положения о реализации проекта «Народный бюджет»» </t>
  </si>
  <si>
    <t xml:space="preserve">https://cherdakli.com/?p=424; </t>
  </si>
  <si>
    <t>Муниципальное учреждение управление финансов муниципального образования "Чердаклинский район" Ульяновской области</t>
  </si>
  <si>
    <t>Муниципальное учреждение управление образования муниципального образования "Чердаклинский район" Ульяновской области</t>
  </si>
  <si>
    <t>Средства бюджета муниципального образования "Чердаклинский район" Ульяновской области</t>
  </si>
  <si>
    <t>Муниципальное учреждение дополнительного образования Детская школа искусств № 1 Чердаклинского района Ульяновской области; Муниципальное дошкольное учреждение Октябрьский детский сад "Василёк" Чердаклинского района Ульяновской области; Муниципальное дощкольное учреждение Чердаклинский детский сад №2 2Солнышко" чердаклинского района Ульяновской области;  Муниципальное бюджетное общеобразовательное учреждение Первомайская средняя школа Чердаклинского района Ульяновской области</t>
  </si>
  <si>
    <t>Количество благополучателей проектов ИБ  (количество воспитанников, их родителей и сотрудников учреждений: МУ ДО Детская школа искусств № 1 Чердаклинского района;  МДОУ Чердаклинский детский сад №2 "Солнышко"; МДОУ Октябрьский детский сад "Василёк"; МБОУ Первомайская  СШ) / общее количество граждан, проживающих в МО «Чердаклинский район" в 2020 году * 100%.</t>
  </si>
  <si>
    <t>письменная регистрация граждан</t>
  </si>
  <si>
    <t>Проект «Народный бюджет» реализуется путем создания бюджетной комиссии из числа граждан посредством жеребьевки поданных заявок в администрацию муниципального образования «Чердаклинский район».Члены основного состава бюджетной комиссии представляют инициативное предложение по распределению части бюджетных средств. По одобренным инициативным предложениям проводится отбор для их включения в местный бюджет. Членам бюджетной комиссии раздаются листы с перечисленными внесёнными на рассмотрение проектами. Каждый участник проставляет баллы от 0 до 10 по каждому объекту, указанному в листе. Подлежат включению в проект местного бюджета и (или) соответствующие муниципальные программы Проекты, набравшие наибольшее количество баллов.</t>
  </si>
  <si>
    <t>https://cherdakli.com/?p=424</t>
  </si>
  <si>
    <t>https://ok.ru/profile/569954170553</t>
  </si>
  <si>
    <t>https://cherdakli.com/</t>
  </si>
  <si>
    <t>социальные сети (одноклассники),  СМИ (газета Приволжская правда)</t>
  </si>
  <si>
    <t>Обучение членов бюджетных комиссий и разъяснения порядка формирования и исполнения бюджета муниципального образования «Чердаклинский район» Ульяновской области осуществляется на первом заседании бюджетной комиссии и по мере необходимости. Продолжительность обучения 30 мин., количество участников обучающего мероприятия 20 человек (10чел. основного состава и 10 чел. резервного состава бюджетной комиссии)</t>
  </si>
  <si>
    <t xml:space="preserve">«Чердаклинское городское поселение» Чердаклинского района </t>
  </si>
  <si>
    <t xml:space="preserve"> Постановление администрации муниципального образования «Чердаклинский район» Ульяновской облсти от 29.07.2016 №628 «Об утверждении Положения о реализации проекта «Народный бюджет» на территории муниципального образования «Чердаклинское городское поселение» Чердаклинского района Ульяновской области», 29.07.2016г; Постановление администрации муниципального образования «Чердаклинский район» Ульяновской области от 31.07.2019г. № 937  «О внесении изменений в постановление администрации муниципального образования «Чердаклинский район» Ульяновской области от 29.07.2016г. № 628 «Об утверждении Положения о реализации проекта «Народный бюджет» на территории муниципального образования «Чердаклинское городское поселение» Чердаклинского района Ульяновской области» </t>
  </si>
  <si>
    <t>https://cherdakli.com/?p=426</t>
  </si>
  <si>
    <t>Муниципальное учреждение администрация муниципального образования "Чердаклинский район" Ульяновской области</t>
  </si>
  <si>
    <t>Средства бюджета муниципального образования "Чердаклинское городское поселение" Чердаклинского района Ульяновской области</t>
  </si>
  <si>
    <t xml:space="preserve"> Муниципальное казённое учреждение «Благоустройство и обслуживание населения Чердаклинского городского поселения» Чердаклинского района Ульяновской области</t>
  </si>
  <si>
    <t>количество жителей пгт Чердаклы ул.2-ой микрорайон) / общее количество граждан, проживающих в МО «Чердаклинский район" в 2020 году * 100%.</t>
  </si>
  <si>
    <t>письменная регистрация</t>
  </si>
  <si>
    <t>Муниципальное образование Чуфаровское городское поселение Вешкаймского района</t>
  </si>
  <si>
    <t>Постановление администрации муниципального образования Чуфаровское городское поселение от 16.08.2018 № 110 «Об утверждении Положения о проекте «Народный бюджет».</t>
  </si>
  <si>
    <t>http://www.chufarovogp.ru/load/postanovlenie_110_ot_16_08_2018g/1-1-0-1586</t>
  </si>
  <si>
    <t>Администрация МО "Чуфаровское городское поселение"</t>
  </si>
  <si>
    <t>"город Ульяновск"</t>
  </si>
  <si>
    <t>21 мая 2019</t>
  </si>
  <si>
    <t>постановление администрации города Ульяновска от 04.05.2016 № 1478 "Об утверждении положения о проекте "Народный бюджет"</t>
  </si>
  <si>
    <t>http://фин-73.рф/otkrytyj-byudzhet/2015-05-26-06-06-49/narodnyj-byudzhet-2017/otbor.html</t>
  </si>
  <si>
    <t>Финансовое управление администрации города Ульяновска</t>
  </si>
  <si>
    <t>Администрация города Ульяновска, Управления администрации города Ульяновска</t>
  </si>
  <si>
    <t>Субсидий бюджетным, автономным учреждениям и иным некоммерческим организациям</t>
  </si>
  <si>
    <t>муниципальное бюджетное учреждение "Стройзаказчик", муниципальные бюджетные дошкольные образовательные учреждения, детско-юношеские спортивные школы "Старт" и "Заволжье", муниципальное бюджетное учреждение культуры "Централизованная библиотечная система", муниципальное бюджетное учреждение "Централизованная клубная система"  МО "город Ульяновск"</t>
  </si>
  <si>
    <t>https://uln.gks.ru/storage/mediabank/HZTJFTC1/ПОКАЗАТЕЛИ_2020.pdf</t>
  </si>
  <si>
    <t xml:space="preserve"> Проекты инициативных предложений первично рассматриваются на заседаниях окружных палат, в состав которых ввходят представители ТОС, ТСЖ, ГСК и национально-культурных автономий. К участию в проекте допукаются жители, чьи проекты получили одобрение со стороны окружных палат. Участники  отбираются путем проведения процедуры жребия. Всего отбираются 15 человек в члены бюджетной комиссии, затем 15 в члены резерва. В случае необходимости резервисты заменяют членов комиссии в порядке их отбора во время жеребьёвки. Каждый член бюджетной комиссии вносит не более одного инициативного предложения, после чего соответствующим отраслевым органом администрации города даётся экспертное заключение на каждое из них.</t>
  </si>
  <si>
    <t>на сайте Финансового управления администрации города Ульяновска в целях популяризации проекта "Народный бюджет" проводился опрос жителей по проектам, поступившим от членов бюджетной комиссии</t>
  </si>
  <si>
    <t>более 17 тыс. жителей</t>
  </si>
  <si>
    <t>Члены бюдженой комиссии путём голосования отбирают инициативы для включения средств на их реализацию в проект бюджета города и реализации в очередном финансовом году</t>
  </si>
  <si>
    <t>http://фин-73.рф/otkrytyj-byudzhet/2015-05-26-06-06-49/narodnyj-byudzhet-2020-god.html</t>
  </si>
  <si>
    <t>Раздаточные материалы были подготовлены в составе материалов для издания брошюры в формате "Бюджет для граждан".                                                                                                                                                        http://фин-73.рф/images/Budget/Proekt_bud_2020/Proekt_bud_dlya_grajdan_2020.pdf                                                                                                                                                            http://фин-73.рф/images/Open_budjet/budget_for_people_2020-2022_resh_60.pdf</t>
  </si>
  <si>
    <t>заседание в формате ознакомительного семинара с участием преподавателей Ульяновского Государственного Университета.</t>
  </si>
  <si>
    <t>Городское поселение "Город Амурск" Амурского муниципального района Хабаровского края</t>
  </si>
  <si>
    <t>Городской конкурс социальных проектов территориальных общественных самоуправлений</t>
  </si>
  <si>
    <t xml:space="preserve">Конкурс ТОС </t>
  </si>
  <si>
    <t>Постановление от 03.06.2019 №234 "Об утверждении Порядка предоставления физическим лицам грантов в форме субсидий из местного бюджета на реализацию проектов по развитию территориального общественного самоуправления"</t>
  </si>
  <si>
    <t>https://pravo.amursk.ru/docs/2019/234_ot_03.06.2019.pdf</t>
  </si>
  <si>
    <t>Администрация городского поселения "Город Амурск"амурского муниципального района Хабаровского края</t>
  </si>
  <si>
    <t>гранты в форме субсидии</t>
  </si>
  <si>
    <t>фиксация не производилась</t>
  </si>
  <si>
    <t>https://amursk.ru/index.php?option=com_content&amp;task=view&amp;id=11338&amp;Itemid=361</t>
  </si>
  <si>
    <t>https://amursk.ru/index.php?option=com_content&amp;task=view&amp;id=11714&amp;Itemid=361</t>
  </si>
  <si>
    <t>Приглашение жителей города принять участие в различных мероприятиях</t>
  </si>
  <si>
    <t>https://amursk.ru/index.php?option=com_content&amp;task=blogcategory&amp;id=214&amp;Itemid=361</t>
  </si>
  <si>
    <t>https://www.instagram.com/p/CFoToMKjWss/</t>
  </si>
  <si>
    <t>Круглый стол, информационные встречи.Участники- представители ТОС. В связи с пандемией в 2020 году встречи проходили редко</t>
  </si>
  <si>
    <t>Верхнебуреинский муниципальный район</t>
  </si>
  <si>
    <t>Муниципальная программа "Содействие развитию и поддержка социально ориентированных некоммерческих организаций в Верхнебуреинском муниципальном районе Хабаровского края на 2015-2022 гг."</t>
  </si>
  <si>
    <t>Положение "О предоставлении грантов в форме иных межбюджетных трансфертов из районного бюджета бюджетам муниципальных образований Верхнебуреинского муниципального района Хабаровского края в целях поддержки проектов, инициируемых муниципальными образованиями района по развитию территориального общественного самоуправления"</t>
  </si>
  <si>
    <t>https://vbradm.khabkrai.ru/?menu=getfile&amp;id=8581</t>
  </si>
  <si>
    <t>Администрация Верхнебуреинского муниципального района</t>
  </si>
  <si>
    <t>городское поселение "Поселок Чегдомын", Сулукское сельское поселение</t>
  </si>
  <si>
    <t>https://vbradm.khabkrai.ru/Rukovodstvo/Uchastie-grazhdan-v-mestnom-samoupravlenii/Territorialnoe-obschestvennoe-samoupravlenie</t>
  </si>
  <si>
    <t>Белоярский муниципальный район</t>
  </si>
  <si>
    <t>Партисипаторное бюджетирование</t>
  </si>
  <si>
    <t>12.08.2020 г.</t>
  </si>
  <si>
    <t>01.12.2020 г.</t>
  </si>
  <si>
    <t>Поставновление администрации Белоярского района от 30 декабря 2019 года                                                                                                               № 1132 "Об утверждении Порядка применения механизмов партисипаторного бюджетирования при распределении части средств бюджета Белоярского района" (утратило силу ввиду принятия Федерального закона от 20 июля 2020 года № 236-ФЗ «О внесении изменений в Федеральный закон «Об общих принципах организации местного самоуправления в Российской Федерации» и приведении в соответствие МПА)</t>
  </si>
  <si>
    <t>http://www.admbel.ru/local-control/administration/finans/part/</t>
  </si>
  <si>
    <t>Администрация Белоярского района</t>
  </si>
  <si>
    <t xml:space="preserve">Администрация Белоярского района, Комитет муниципальной собственности администрации Белоярского района </t>
  </si>
  <si>
    <t>Денежная и неденежная ( неоплачиваемые работы, оборудование и др.) формы</t>
  </si>
  <si>
    <t>https://www.gks.ru/scripts/db_inet2/passport/table.aspx?opt=718110002020</t>
  </si>
  <si>
    <t>нет. Его функции выполняет администрация Белоярского района</t>
  </si>
  <si>
    <t>http://www.admbel.ru/info/news/?ELEMENT_ID=69160</t>
  </si>
  <si>
    <t xml:space="preserve">Действующим в 2020 году МПА Белоярского района предусмотрено подача инициативы через официальный сайт органов местного самоуправления Белоярского района и голосование за предложенные инициативы </t>
  </si>
  <si>
    <t>Видеоролик на местном телевидении и в социальных сетях: https://disk.yandex.ru/i/IUuVIrRuBeNIFQ</t>
  </si>
  <si>
    <t>https://disk.yandex.ru/i/1fg3x-v0cUKr_A</t>
  </si>
  <si>
    <t>Программа повышения квалификации "Инициативные проекты - инструмент вовлеченности граждан в управление государственными финансами"</t>
  </si>
  <si>
    <t>Березовский район</t>
  </si>
  <si>
    <t>Инициативное бюджетирование / Народная инициатива</t>
  </si>
  <si>
    <t>28 мая 2020 г.</t>
  </si>
  <si>
    <t>30 августа 2020 г.</t>
  </si>
  <si>
    <t>Постановление Администрации Березовского района № 49 от 22.01.2018 «О положении о реализации проектов инициативного бюджетирования в Березовском районе» (с изм. от 14.08.2019 года № 947</t>
  </si>
  <si>
    <t>https://berezovo.ru/upload/documents/finance/%D0%9F%D0%BE%D1%81%D1%82%D0%B0%D0%BD%D0%BE%D0%B2%D0%BB%D0%B5%D0%BD%D0%B8%D0%B5%2049%20%D0%BE%D1%82%2022.01.18%20%D0%B8%20%D0%BF%D1%80%D0%BE%D0%B5%D0%BA%D1%82%20%D0%BE%20%D0%B2%D0%BD%D0%B5%D1%81%D0%B5%D0%BD%D0%B8%D0%B8%20%D0%B8%D0%B7%D0%BC%D0%B5%D0%BD%D0%B5%D0%BD%D0%B8%D0%B9.rar</t>
  </si>
  <si>
    <t xml:space="preserve">Комитет по финансам Администрации Березовского района </t>
  </si>
  <si>
    <t>Администрация Березовского района</t>
  </si>
  <si>
    <t>Предоставляются иные межбюджетные трансфертыиз бюджета Березовского района , на основании заключенных соглашений</t>
  </si>
  <si>
    <t>Администрация городского поселения Березово</t>
  </si>
  <si>
    <t>трудовое участие, отсыпка детской площадки песком</t>
  </si>
  <si>
    <t>методика отсутсвует</t>
  </si>
  <si>
    <t>http://www.statdata.ru/naselenie/naselenie-hmao</t>
  </si>
  <si>
    <t>проектный отдел на базе МАУ "Березовский медиацентр"</t>
  </si>
  <si>
    <t>https://berezovo.ru/activity/finance/initsiativnoe-byudzhetirovanie/</t>
  </si>
  <si>
    <t xml:space="preserve">Размещение информации о начале конкурса в газете "Жизнь Югра", размещение информации на официальном сайте </t>
  </si>
  <si>
    <t>буклеты  https://berezovo.ru/activity/finance/initsiativnoe-byudzhetirovanie/</t>
  </si>
  <si>
    <t>город Урай</t>
  </si>
  <si>
    <t>инициативное бюджетирование</t>
  </si>
  <si>
    <t>100 предложений в Народный бюджет</t>
  </si>
  <si>
    <t xml:space="preserve">постановление администрации города Урай от  16.08.2019 №2041 «О реализации в городе Урай проектов инициативного бюджетирования» </t>
  </si>
  <si>
    <t>http://budget.uray.ru/municipalnye-pravovye-akty/</t>
  </si>
  <si>
    <t>Комитет по финансам администрация города Урай</t>
  </si>
  <si>
    <t>администрация города Урай, 
МКУ Управление жилищно-коммунального хозяйства города Урай</t>
  </si>
  <si>
    <t>в бюджете города предусмотрены бюджетные ассигнования на финансирование мероприятий муниципальных программ</t>
  </si>
  <si>
    <t>администрация города Урай, 
МКУ Управление жилищно-коммунального хозяйства города Урай, 
МКУ "Управление капитального строительства города Урай", 
МАУ "Культура"</t>
  </si>
  <si>
    <t>на безвозмездной основе принимали участие в выполнении работ по подготовке территорий к благоустроительным работам (уборке от мусора, выравнивании грунта),  осуществляли художественное оформление городских территорий (озелениение в летний период, установку снежных и ледяных фигур - в зимний), проводили мероприятия культурной и образовательной направленности в рамках реализуемых проектов, осуществляли информационное сопровождение хода реализации проектов</t>
  </si>
  <si>
    <t xml:space="preserve">заполнение анкет, опросных листов в письменной и электронной форме в социальных сетях и на специальный электронный ящик: budget@uray.ru </t>
  </si>
  <si>
    <t>стационарные ящики при входе в здания МФЦ, РИЦ, городской поликлиники</t>
  </si>
  <si>
    <t xml:space="preserve">электронный ящик: budget@uray.ru, в группах администрации и Думы, созданных в соц.сетях </t>
  </si>
  <si>
    <t>заключение отраслевых органов администрации в соответствии с типологией проекта</t>
  </si>
  <si>
    <t>протокол http://budget.uray.ru/protokoly-mezhvedomstvennyh-komissij-po-otboru-proektov/</t>
  </si>
  <si>
    <t>сбор предложений, опросы в соцсетях,использование эл. Ящика</t>
  </si>
  <si>
    <t xml:space="preserve">http://budget.uray.ru/iniciativnoe-bjudzhetirovanie-v-rf/. </t>
  </si>
  <si>
    <t>http://uray.ru/; https://vk.com/official_uray; https://ok.ru/admuray; https://www.instagram.com/adm_uray/; https://www.instagram.com/tr_zakirzyanov/; https://infoflag.ru/; https://vk.com/znamy_uray86; https://www.instagram.com/gazeta_znamya59/</t>
  </si>
  <si>
    <t>http://uray.ru/v-urae-startovala-ezhegodnaja-akcija-100-predlozhenij-v-narodnyj-bjudzhet/</t>
  </si>
  <si>
    <t xml:space="preserve">задействованиы в рекламной кампании ИБ были все имеющиеся городские СМИ (ТВ, газета, официальные сайты, соцсети) </t>
  </si>
  <si>
    <t>http://uray.ru/blagoustrojstvo-v-prioritete-urajcev-priglashajut-prinjat-uchastie-v-akcii-100-predlozhenij-v-narodnyj-bjudzhet/</t>
  </si>
  <si>
    <t>краткосрочное повышение квалификации в области инициативного бюджетирования по программе курсов повышения квалификации «Инициативные проекты – инструмент вовлечения граждан в управление государственными финансами», проводимый АУ "Центр "Открытый регион", вебинарах, проводимых НИФИ Минфинав рамках проекта  «Развитие инициативного бюджетирования в субъектах Российской Федерации в 2018-2020 годах» , семинаре, проводимом Департаментом общественных и внешних связей в рамках Международного форума «Гражданские инициативы регионов 60-й параллели"</t>
  </si>
  <si>
    <t>Сургутский район</t>
  </si>
  <si>
    <t xml:space="preserve">Инициативное бюджетирование </t>
  </si>
  <si>
    <t xml:space="preserve"> Нет</t>
  </si>
  <si>
    <t>11.11.2019 г.</t>
  </si>
  <si>
    <t xml:space="preserve">Постановление администрации Сургутского района от 23.08.2019 № 3257-нпа «Об утверждении положения о порядке отбора и реализации в Сургутском районе проектов инициативного бюджетирования» </t>
  </si>
  <si>
    <t>https://www.admsr.ru/upload/iblock/65b/3257_npa.docx</t>
  </si>
  <si>
    <t>Департамент финансов администрации Сургутского района</t>
  </si>
  <si>
    <t>1. Департамент финансов администрации Сургутского района.                                                                                                                                                              2. Департамент образования и молодёжной политики администрации Сургутского района.                                                                                                                        3. Департамент жилищно-коммунального хозяйства, экологии, транспорта и связи администрации Сургутского района.</t>
  </si>
  <si>
    <t>Иные межбюджетные трансферты, имеющие целевое назначение. Субсидия на иные цели автономным учреждениям Сургутского района.</t>
  </si>
  <si>
    <t>Городское поселение Федоровский и сельское поселение Ульт-Ягун. МАУ РМЦ Сургутского района.</t>
  </si>
  <si>
    <t>Трудовое участие и имущественный вклад со стороны граждан, юридических лиц индивидуальных предпринимателей в реализации проектов инициативного бюджетирования.</t>
  </si>
  <si>
    <t>Жители жилых домов №14А, 14Б по ул.Ленина в в г. п. Фёдоровский (1500 чел.)+жители домов, расположенных на ул. 35 лет Победы с.п. Ульт-Ягун (576 чел.) + воспитанники футбольной секции (80 чел.)+доля граждан, вовлеченных в добровольческую деятельность от 7 до 70 лет в с.п. Локосово (1340 чел.) +
доля граждан вовлеченных в добровольческую деятельность от 7 до 70 лет в с.п. Сытомино (329 чел.)+волонтёры (участники) (20 чел.) +руководители добровольческих объединений (30 чел.)+ добровольцы Сургутского района (100 чел.)+ жители Сургутского района (3000 чел.)+население с.п. Сытомино (1007 чел.) +волонтёры с.п. Сытомино (участники) (20 чел.) + участники медиа отряда «Люди R» (70 чел.)+спикеры (8 чел.) + молодежь Сургутского района (27 721 чел.).</t>
  </si>
  <si>
    <t>https://www.admsr.ru/region/population/</t>
  </si>
  <si>
    <t xml:space="preserve">https://www.admsr.ru/budget/initsiativnoe-byudzhetirovanie/golosovanie/golos/?ID=155
https://www.admsr.ru/budget/initsiativnoe-byudzhetirovanie/golosovanie/golos/?ID=151
https://www.admsr.ru/budget/initsiativnoe-byudzhetirovanie/golosovanie/golos/?ID=88
https://ok.ru/profile/580095806233/statuses/1516849Q7832089 
https://vk.com/wall-171456162 4999 
</t>
  </si>
  <si>
    <t xml:space="preserve">Протокол заседательной комиссии Сургутского района от 12.05.2020 №2, протокол заседательной комиссии Сургутского района от 16.07.2020 №3, протокол заседательной комиссии Сургутского района от 14.09.2020 №4. </t>
  </si>
  <si>
    <t>Онлайн голосование за проекты инициативного бюджетирования Сургутского района размещено на официальном сайте администрации Сургутского района в разделе Деятельность/ Бюджет и финансы / Инициативное бюджетирование /Голосование</t>
  </si>
  <si>
    <t>https://admsr.ru/budget/initsiativnoe-byudzhetirovanie/</t>
  </si>
  <si>
    <t xml:space="preserve">https://instagram.com/budget_news_admsr?igshid=1lzenc868lcxw
https://vk.com/rmc_sr
</t>
  </si>
  <si>
    <t>В СМИ и инстаграмм публиковались информационные ролики об инициативном бюджетировании, видеоролики с  призывом принять участие в голосование за проекты инициативного бюджетирования Сургутского района.
На официальных сайтах поселений Сургутского района, на официальном сайте администрации Сургутского района, а также в разделе, посвященному инициативному бюджетированию в Сургутском районе, публиковалась информация, посвященная конкурсному отбору проектов ИБ. Также работниками департамента финансов администрации Сургутского района проводились выездные встречи с жителями Сургутского района. В рамках проводимого мероприятия департаментом финансов "День открытых дверей", школьники Сургутского района были проинформированы о возможностях реализации инициатив посредствам инициативного бюджетирования. https://www.instagram.com/tv/CCX7-y0om4J/?igshid=30mvpjoegf43</t>
  </si>
  <si>
    <t>Брошюра с информацией о практике инициативного бюджетирования в Сургутском районе. https://yadi.sk/i/BCTNNw5GjBq2RQ</t>
  </si>
  <si>
    <t>городской округ Сургут Ханты-Мансийского автономного округа - Югры</t>
  </si>
  <si>
    <t>проект инициативного бюджетирования "Бюджет Сургута online"</t>
  </si>
  <si>
    <t>"Бюджет Сургута online"</t>
  </si>
  <si>
    <t>Постановление Администрации города от 20.06.2018 № 4621 "О порядке реализации проекта инициативного бюджетирования "Бюджет Сургута Online"</t>
  </si>
  <si>
    <t>http://budget.admsurgut.ru/budget/330738467</t>
  </si>
  <si>
    <t>департамент финансов Администрации города</t>
  </si>
  <si>
    <t>департамент финансов Администрации города, Администрация города, Департамент образования</t>
  </si>
  <si>
    <t>Гранты, субсидии, иное (прочая закупка товаров, работ, услуг)</t>
  </si>
  <si>
    <t>МАУ СШОР "ОЛИМП", МКУ «ДЭАЗиС», МАУ ПРСМ «Наше время», МБОУ гимназия имени Ф.К. Салманова, МКУ "Лесопарковое хозяйство", ТСЖ "Гранит-Плюс",ООО УК "Сервис-3", РОД ПБЖ "Дай лапу"</t>
  </si>
  <si>
    <t>Нефинансовым вкладом со стороны населения является трудовое участие:
1. В рамках реализации общественной инициативы "Благоустройство футбольного поля на территории СК «Юность» (пос.Юность)" проводился субботник;
2.В рамках реализации общественной инициативы "Благоустройство футбольного поля на территории 50-метрового бассейна (строительство трибун и раздевалок)" осуществлялись -установка блок боксов, трибун, проведение субботника (заказ спецтехники для уборки снега);
3.В рамках реализации общественной инициативы "Устройство искусственного газона малого футбольного поля на территории 50-метрового бассейна"проводился субботник;
4.В рамках реализации общественной инициативы "Музей под открытым небом" расписано 508 кв.м. по стоимости 1400 руб./кв.м. При этом рыночная стоимость работ художников составляет 2000 руб./кв.м. Привлечено 9 художников.</t>
  </si>
  <si>
    <t>Посколько значительное число инициатив направлено на реализацию на территориях общего пользования и местах массового отдыха населения, количество благополучателей определено как общее количество жителей муниципального образования.</t>
  </si>
  <si>
    <t>https://www.gks.ru/scripts/db_inet2/passport/table.aspx?opt=718760002020</t>
  </si>
  <si>
    <t xml:space="preserve">Сбор заявок на участие в проекте "Бюджет Сургута Online" в электронном виде осуществляется в том числе в сети интернет посредством электронной почты </t>
  </si>
  <si>
    <t>Сбор заявок на участие в проекте "Бюджет Сургута Online" в бумажной форме осуществляется, в том числе, в пунктах по работе с населением МКУ "Наш город"  и Администрации города Сургута</t>
  </si>
  <si>
    <t>Одним из критериев оценки поступивших общественных инициатив является количество голосов, отданных за ту или иную идею жителями города. Голосование за приоритетные общественные инициативы проводится на портале "Бюджет для граждан".
http://budget.admsurgut.ru/budget/330753749</t>
  </si>
  <si>
    <t>Отбор и оценку поступивших общественных инициатив на соответствие установленным требованиям и критериям осуществляет специально созданный коллегиальный орган - "Народный совет", сформированный также из числа жителей города (представителей молодежной палаты при Думе города, малого и среднего предпринимательства, совета при Главе города по организации стратегического управления, территориальных общественных самоуправлений) и представителя от Администрации города.</t>
  </si>
  <si>
    <t>Централизованная система удаленного управления практикой ИБ отсутствует.
На портале "Бюджет для граждан" создан специальный раздел "Бюджет Сургута Online" (http://budget.admsurgut.ru/budget/320216097), в котором содержится актуальная информация о сроках, порядке реализации проекта, поступившие от граждан общественные инициативы и итоги отбора. Вся размещаемая информация представлена в доступной для граждан форме. 
Общественное интернет-голосование, проводящееся среди жителей города с целью определения наиболее актуальных идей, осуществляется на портале testograf.ru, ресурс имеет лицензию и является одним из наиболее распространенных порталов для онлайн-голосования.</t>
  </si>
  <si>
    <t>http://budget.admsurgut.ru/budget/320216097</t>
  </si>
  <si>
    <t xml:space="preserve">1) https://www.instagram.com/p/CDLZpHdnVSf/?igshid=1xeqwzg2pbu5w
2) https://sitv.ru/arhiv/news/bezdomnye-sobaki-surguta-k-oseni-obretut-novye-doma/
3)https://in-news.ru/news/obshestvo/v-surgute-na-stroitelstvo-tsentra-pomoshchi-zhivotnym-vydelili-5-millionov-rubley-.html
4) https://www.ugra.kp.ru/online/news/3954362/
5) https://ugra-news.ru/article/mechta_dlya_chetveronogikh/
6) https://ugra-news.ru/article/khudozhniki_prodolzhayut_preobrazhat_dvory_surguta/
7) https://zen.yandex.ru/media/nash_surgut/surgut-muzei-pod-otkrytym-nebom-prodli-jizn-obscestvennomu-proektu-5f5860fd904e9d1d7b062a53
8) https://www.instagram.com/p/CEocxw9I5eJ/?igshid=u8bx6r7qvq30
9) https://www.instagram.com/p/CIiJQh3rMT0/?igshid=10h7cqgsuowib
10) https://vk.com/wall-30659967_100982
11) https://www.instagram.com/p/CIiJQh3rMT0/?igshid=10h7cqgsuowib
12) https://www.instagram.com/p/CDLfX51nxtG/?igshid=1wthpywrm6ar3
13) http://newspaper.admsurgut.ru/article/217/10434/Surgutskie-vedomosti-38973?page=2
14) https://ugra-news.ru/article/v_surgute_otkryli_obnovlennuyu_sportivnuyu_ploshchadku/
15) https://ugra-news.ru/article/novaya_nadezhda/ </t>
  </si>
  <si>
    <t>https://cloud.mail.ru/public/3Ypa/4uBRDJWX4/</t>
  </si>
  <si>
    <t>Информация о реализации проекта "Бюджет Сургута Online" распространялась посредством электронных и печатных средств массовой информации, интервью с представителями департамента финансов Администрации города, в форме сюжетов в новостных и информационных телевизионных программах. Создан аккаунт проекта в сети Instagram. 
1) www.instagram.com › budget_surguta_online_;
2) https://sitv.ru/arhiv/news/byudzhet-online-surgutyane-poluchat-20-millionov-na-realizacziyu-svoix-idej/$
3) https://in-news.ru/news/obshestvo/v-surgute-na-stroitelstvo-tsentra-pomoshchi-zhivotnym-vydelili-5-millionov-rubley-.html</t>
  </si>
  <si>
    <t>Представителями ТОС города, сотрудниками муниципальных учреждений распространялись информационные объявления (листовки) о сборе заявок для участия в проекте. Объявления также размещались на автобусных остановках городского транспорта. Кроме того, информация размещалась в мессенджерах, социальных сетях.
На портале "Бюджет для граждан" размещена презентация "Как это работает", в которой в форме инфографики представлена информация о порядке реализации проекта.
https://cloud.mail.ru/public/2Cy1/4mGdW5ASP</t>
  </si>
  <si>
    <t xml:space="preserve">Специалисты департамента финансов Администрации города,занимающиеся непосредственной реализацией проекта инициативного бюджетирования принимали участие в обучающих мероприятиях в форме вебинаров, проводимых Научно-исследовательским финансовым институтом Минфина России, АУ ХМАО - Югры «Центр «Открытый регион» и другими организациями.
Для граждан, принимающих участие в проекте, на портале "Бюджет для граждан" в специально созданном разделе "Бюджет Сургута Online" размещены для самостоятельного изучения информационные материалы, в которых содержатся все необходимые сведения о реализации проекта. Также существует возможность получения телефонной консультации по вопросам реализации проекта у специалистов департамента финансов Администрации города.  </t>
  </si>
  <si>
    <t>город Радужный</t>
  </si>
  <si>
    <t>«Гражданская инициатива»</t>
  </si>
  <si>
    <t xml:space="preserve"> О конкурсном отборе проектов (инициатив) граждан по вопросам местного значения в городе Радужный «Гражданская инициатива»</t>
  </si>
  <si>
    <t>2018 год</t>
  </si>
  <si>
    <t>Постановление администрации города Радужный от 27.10.2017 №1583 «О конкурсном отборе проектов (инициатив) граждан по вопросам местного значения в городе Радужный «Гражданская инициатива»</t>
  </si>
  <si>
    <t>https://www.admrad.ru/postanovlenie-administracii-goroda-raduzhnyjj-ot-27-10-2017-1583-otmenen/</t>
  </si>
  <si>
    <t>Управление экономики и прогнозирования администрации города Радужный</t>
  </si>
  <si>
    <t>Управление образования и молодежной политики администрации города Радужный</t>
  </si>
  <si>
    <t>Подведомственные учреждения управления образования и молодежной политики администрации города Радужный</t>
  </si>
  <si>
    <t>поставка товаров, оказание работ, услуг на безвозмездной основе</t>
  </si>
  <si>
    <t>https://www.admrad.ru/%d0%b8%d1%82%d0%be%d0%b3%d0%b8-%d1%81%d0%be%d1%86%d0%b8%d0%b0%d0%bb%d1%8c%d0%bd%d0%be-%d1%8d%d0%ba%d0%be%d0%bd%d0%be%d0%bc%d0%b8%d1%87%d0%b5%d1%81%d0%ba%d0%be%d0%b3%d0%be-%d1%80%d0%b0%d0%b7%d0%b2-16/
http://www.statdata.ru/naselenie/naselenie-hmao</t>
  </si>
  <si>
    <t xml:space="preserve">https://www.instagram.com/madoy_ds4_raduzhny/   
https://rad-dou4.caduk.ru/                                            
 https://vk.com/id304286902, 
https://instagram.com/madoy_ds_12_buratino_86
https://rad-dou12.caduk.ru/p59aa1.html    https://radschool4.edusite.ru/p418aa1detales30.html  https://www.instagram.com/school_4_raduzhny    
https://rad-dou6.caduk.ru/p249aa1.html  https://www.instagram.com/6skazka86        
https://rad-dou18.caduk.ru/p398aa1.html       
https://rad-dou16.caduk.ru/p90aa1.html  https://www.instagram.com/madouds16_sneginka_rad86 </t>
  </si>
  <si>
    <t xml:space="preserve">https://www.instagram.com/madoy_ds4_raduzhny/   https://rad-dou4.caduk.ru/                                            
https://vk.com/id304286902, 
https://instagram.com/madoy_ds_12_buratino_86
https://rad-dou12.caduk.ru/p59aa1.html    https://radschool4.edusite.ru/p418aa1detales30.html  https://www.instagram.com/school_4_raduzhny    
https://rad-dou6.caduk.ru/p249aa1.html  https://www.instagram.com/6skazka86        
https://rad-dou18.caduk.ru/p398aa1.html       
https://rad-dou16.caduk.ru/p90aa1.html  https://www.instagram.com/madouds16_sneginka_rad86 </t>
  </si>
  <si>
    <t>Протоколы собраний неравнодушных граждан</t>
  </si>
  <si>
    <t>https://www.admrad.ru/category/%d0%ba%d0%be%d0%bc%d0%b8%d1%82%d0%b5%d1%82-%d1%84%d0%b8%d0%bd%d0%b0%d0%bd%d1%81%d0%be%d0%b2/%d0%b8%d0%bd%d0%b8%d1%86%d0%b8%d0%b0%d1%82%d0%b8%d0%b2%d0%bd%d0%be%d0%b5-%d0%b1%d1%8e%d0%b4%d0%b6%d0%b5%d1%82%d0%b8%d1%80%d0%be%d0%b2%d0%b0%d0%bd%d0%b8%d0%b5/proekty-realizuemye-v-ramkakh-iniciat/
https://www.admrad.ru/category/%D0%BA%D0%BE%D0%BC%D0%B8%D1%82%D0%B5%D1%82-%D1%84%D0%B8%D0%BD%D0%B0%D0%BD%D1%81%D0%BE%D0%B2/%D0%B8%D0%BD%D0%B8%D1%86%D0%B8%D0%B0%D1%82%D0%B8%D0%B2%D0%BD%D0%BE%D0%B5-%D0%B1%D1%8E%D0%B4%D0%B6%D0%B5%D1%82%D0%B8%D1%80%D0%BE%D0%B2%D0%B0%D0%BD%D0%B8%D0%B5/realizacija-iniciativnykh-proektov-s-2021-goda/</t>
  </si>
  <si>
    <t>https://www.admrad.ru/%d0%b8%d0%bd%d1%84%d0%be%d1%80%d0%bc%d0%b0%d1%86%d0%b8%d0%be%d0%bd%d0%bd%d0%be%d0%b5-%d1%81%d0%be%d0%be%d0%b1%d1%89%d0%b5%d0%bd%d0%b8%d0%b5-%d0%be-%d0%bf%d1%80%d0%be%d0%b2%d0%b5%d0%b4%d0%b5%d0%bd-6/</t>
  </si>
  <si>
    <t>Онлайн - курс краткосрочного повышения квалификации в области инициативного бюджетирования по программе «Инициативные проекты – инструмент вовлечения граждан в управление государственными финансами», проводимый АУ "Центр "Открытый регион"</t>
  </si>
  <si>
    <t xml:space="preserve">конкурсный отбор проектов инициативного бюджетирования на предоставление иных межбюджетных трансфертов из бюджета Октябрьского района
на софинансирование проектов инициативного бюджетирования
</t>
  </si>
  <si>
    <t xml:space="preserve">Постановление администрации Октябрьского района от 04.12.2019 № 2576 «Развитие гражданского общества
в муниципальном образовании Октябрьский район»
(приложение 4)                    </t>
  </si>
  <si>
    <t>http://oktregion.ru/ekonomika-i-finansy/byudzhet-dlya-grazhdan/initsiativnoe-byudzhetirovanie/konkursy-proektov-initsiativnogo-byudzhetirovaniya/konkurs-proektov-initsiativnogo-byudzhetirovaniya-2020-god-55/
http://oktregion.ru/upload/docs/ekonomika-i-finansy/byudzhet-dlya-grazhdan/Postanovlenie_2576_ot_04_12_2019.pdf</t>
  </si>
  <si>
    <t>Администрация Октябрьского района (Отдел по работе с органами местного самоуправления поселений и общественностью администрации Октябрьского района)</t>
  </si>
  <si>
    <t>Комитет по управлению муниципальными финансами администрации Октябрьского района</t>
  </si>
  <si>
    <t xml:space="preserve"> иные межбюджетные трансферты из бюджета Октябрьского района 
на софинансирование проектов инициативного бюджетирования</t>
  </si>
  <si>
    <t>Администрация  городского поселения Талинка, Администрация сельского поселения Перегребное, Администрация сельского поселения Унъюган,  Администрация сельского поселения Малый Атлым</t>
  </si>
  <si>
    <t>разработка и проверка технической документации, вырубка деревьев и кустарников, разделка древесины, планировка территории, отсыпка территории песком,Выполненние работ по срезке, выкорчевке деревьев и кустарников, очистки территории от срезанного, выкорчеванного кустарника, (погрузочно-разгрузочных работ, перевозке грузов) по обустройству общественной территории лыжной трассы; Услуга по передаче материала для устройства основания и покрытия из нетканого синтетического материала,  материала из щебеночно-песчаных смесей (песок, щебень), выполнение работ по обустройству общественной территории лыжной трассы «Спорт», устройство подстилающих и выравнивающих оснований из нетканого синтетического  материала, щебеночно-песчаных смесей механизированным способом (подготовка территории к укладке фундаментальных железобетонных плит, Выполнение земляных работ и планировки; Строительство тротуаров и площадок отдыха; Поставка органо-минерального удобрения и посадочного материала; Озеленение; Изготовление и поставка МАФ (Композиция "Журавли").</t>
  </si>
  <si>
    <t>Согласно заявке проекта</t>
  </si>
  <si>
    <t xml:space="preserve">анкеты, фото, подписные листы 
http://xn--90adfabb9ciclc.xn--p1ai/votes/vote_result.php?VOTE_ID=4 </t>
  </si>
  <si>
    <t>протокол, фото</t>
  </si>
  <si>
    <t>фото, видео, протокол http://oktregion.ru/upload/docs/ekonomika-i-finansy/byudzhet-dlya-grazhdan/Protokol_ot_27_02_2020.pdf</t>
  </si>
  <si>
    <t>http://oktregion.ru/ekonomika-i-finansy/byudzhet-dlya-grazhdan/initsiativnoe-byudzhetirovanie/konkursy-proektov-initsiativnogo-byudzhetirovaniya/konkurs-proektov-initsiativnogo-byudzhetirovaniya-2020-god-55/</t>
  </si>
  <si>
    <t xml:space="preserve">https://www.instagram.com/kodaonline/?hl=ru
https://vk.com/kodaonline
https://ok.ru/kodaonline    https://vk.com/wall-172497495_4770, https://ok.ru/myoktyabrskoe/topic/151581496207459    http://xn--90adfabb9ciclc.xn--p1ai/initsiativnoe-byudzhetirovanie/   https://www.instagram.com/adm.peregrebnoe/?hl=ru   https://unyugan.ru/city/RealizProekt.phphttp://admtalinka.ru/?ELEMENT_ID=10371
http://admtalinka.ru/?ELEMENT_ID=9918
http://admtalinka.ru/?ELEMENT_ID=9904          http://admtalinka.ru/?ELEMENT_ID=10673   </t>
  </si>
  <si>
    <t>объявление на официальном сайте http://oktregion.ru/upload/docs/ekonomika-i-finansy/byudzhet-dlya-grazhdan/Obyavlenie_.pdf  , http://oktregion.ru/ekonomika-i-finansy/byudzhet-dlya-grazhdan/initsiativnoe-byudzhetirovanie/konkursy-proektov-initsiativnogo-byudzhetirovaniya/konkurs-proektov-initsiativnogo-byudzhetirovaniya-2020-god-55/    
 в соц.сетях , наружная реклама в поселениях через размещение цветных листовок на информационных стендах, банерах, через электронные рассылки, встречи с инициаторами проектов   
https://vk.com/talinkahmao?w=wall-78280410_3720  http://xn--90adfabb9ciclc.xn--p1ai/votes/vote_result.php?VOTE_ID=4</t>
  </si>
  <si>
    <t>флайеры, буклеты, информационные плакаты участников районного конкурса (макеты инф. Материалов по условиям конкурса не запрашивались)</t>
  </si>
  <si>
    <t>Обучение в рамках ежегодного I муниципального Форума гражданских инициатив  Октябрьского района 04.03.2020 (участники - общественность, главы поселений, СОНКО, депутаты, представители властиХМАО-Югра,района,  поселений) , в рамках рабочих совещаний 29.01.2020, 03.12.2020 (участники - общественность, главы поселений, специалисты администраций поселений) , еженедельные ВКС (20.01.2020, 06.04.2020, 23.11.2020 ), (участники - специалисты администраций поселений, района, общественность)  , личные консультации инициаторов,ответственных организаторов проектов от администраций поселений в период с 15.01.2020 по 14.02.2020 - по запросам средствами телефонной связи и электронной почты.</t>
  </si>
  <si>
    <t>город Пыть-Ях</t>
  </si>
  <si>
    <t>«Твоя инициатива - Твой бюджет»</t>
  </si>
  <si>
    <t>"Твоя инициатива - Твой бюджет"</t>
  </si>
  <si>
    <t>Постановление  администрации города от 26.09.2017 года № 237-па «О конкурсном отборе проектов инициативного бюджетирования «Твоя инициатива-твой бюджет» в муниципальном образовании городской округ город Пыть-Ях» (в ред. от 11.05.2018 № 105-па, от 12.07.2018 № 200-па, от 28.09.2018 № 298-па, от 27.11.2019 № 474-па)  (дата вступления в силу 5 октября 2017 года)</t>
  </si>
  <si>
    <t>https://adm.gov86.org/399/416/2121/2124/_p2_aview_b1176</t>
  </si>
  <si>
    <t>Администрация города Пыть-Яха</t>
  </si>
  <si>
    <t>Финансирование конкурсных проектов осуществляется за счет средств бюджета города Пыть-Яха, населения города, индивидуальных предпринимателей и юридических лиц, не денежный вклад населения в реализацию выбранного проекта (трудовое участие, материалы).</t>
  </si>
  <si>
    <t>лист регистрации, сбор подписей</t>
  </si>
  <si>
    <t>Интернет голосование проходило на площадках ОК, ВК, официальном сайте администрации г. Пыть-Яха</t>
  </si>
  <si>
    <t>Уникальная тематическая зона отдыха появится в Пыть-Яхе. Подведены итоги конкурса «Твоя инициатива – Твой бюджет»</t>
  </si>
  <si>
    <t>https://vk.com/pytyahinform?w=wall-126088488_12390
https://vk.com/pytyahinform?w=wall-126088488_12306
https://vk.com/pytyahinform?w=wall-126088488_12265
https://vk.com/pytyahinform?w=wall-126088488_12235
https://vk.com/pytyahinform?w=wall-126088488_12109
https://vk.com/pytyahinform?w=wall-126088488_10148
https://vk.com/id403159769?w=wall403159769_1893
https://vk.com/id403159769?w=wall403159769_1837</t>
  </si>
  <si>
    <t>общественно-политический еженедельник города Пыть-Яха "Новая северная газета": №3(416) от 30.01.2020, №4(417) от 06.02.2020, №7(420) от 27.02.2020 . https://www.instagram.com/p/B70HaIVI5WZ/?igshid=1w5liawbigilv, https://vk.com/id268116912?w=wall268116912_11277%2Fall, https://vk.com/public172665895?w=wall-172665895_892, https://ok.ru/gorod.pytyakh/statuses/151037424291107, https://adm.gov86.org/news/346/_aview_b7817, https://adm.gov86.org/news/346/_aview_b7817, https://pyt-yahinform.ru/society/zhkk-ot-a-d-ya-iniciativnoe-byudzhetirovanie, https://adm.gov86.org/news/346/_aview_b8063, https://adm.gov86.org/news/346/_aview_b8949</t>
  </si>
  <si>
    <t>Ханты-Мансийск</t>
  </si>
  <si>
    <t>Мы планируем бюджет вместе</t>
  </si>
  <si>
    <t>Постановление Администарции города Ханты-Мансийска " Об утверждении Положения о порядке проведения конкурса  проектов инициативного бюджетирования в городе Ханты-Мансийске «Мы планируем бюджет вместе»  № 12 от 23.01.2019</t>
  </si>
  <si>
    <t>https://admhmansy.ru/rule/glava_adm/activities/activities.php?ELEMENT_ID=140188</t>
  </si>
  <si>
    <t>Управление общественных связей Администарции города Ханты-Мансийска</t>
  </si>
  <si>
    <t>Департамент городского хозяйства Администрации города Ханты-Мансийска</t>
  </si>
  <si>
    <t>1 проект -выполнение работ в рамках мунципального контракта, 2 проекта - предоставление субсидий</t>
  </si>
  <si>
    <t>МКУ "Служба мунципального заказа в ЖКХ"</t>
  </si>
  <si>
    <t>предоставление конкурсных заявок в Департамент управления финансами Администарици города Ханты-Мансийска</t>
  </si>
  <si>
    <t>https://admhmansy.ru/rule/admhmansy/adm/department-of-finance-management/new-byudzhet/initsiativnoe-byudzhetirovanie/</t>
  </si>
  <si>
    <t>рассмотрение проектов, голосование</t>
  </si>
  <si>
    <t>https://crowd.admhmansy.ru/</t>
  </si>
  <si>
    <t>https://vk.com/myvmestexm</t>
  </si>
  <si>
    <t>Ханты-Мансийский район</t>
  </si>
  <si>
    <t xml:space="preserve">О конкурсном отборе проектов 
инициативного бюджетирования 
в Ханты-Мансийском районе
</t>
  </si>
  <si>
    <t>постановление администрации Ханты-Мансийского района от 05.02.2018 № 47 "О конкурсном отборе проектов инициативного бюджетирования в Ханты-Мансийском районе"</t>
  </si>
  <si>
    <t>http://hmrn.ru/gkh/zhile-i-gorodskaya-sreda/normativno-pravovye-akty/?clear_cache=Y</t>
  </si>
  <si>
    <t>Департамент строительства, архитектуры и ЖКХ администрации Ханты-Мансийского района</t>
  </si>
  <si>
    <t>Департамент строительства, архитектуры и ЖКХ; комитет по финансам администрации Ханты-Мансийского района</t>
  </si>
  <si>
    <t>сельские поселения Ханты-Мансийского района</t>
  </si>
  <si>
    <t>Финансирование проектов конкурса осуществляется за счет средств бюджета Ханты-Мансийского района, бюджетов сельских поселений Ханты-Мансийского района, населения сельских поселений Ханты-Мансийского района, индивидуальных предпринимателей и юридических лиц.</t>
  </si>
  <si>
    <t>19.911</t>
  </si>
  <si>
    <t>http://hmrn.ru/raion/ekonomika/ser/passport_socio_economic_situation/index.php</t>
  </si>
  <si>
    <t>http://hmrn.ru/gkh/zhile-i-gorodskaya-sreda/initsiativnoe-byudzhetirovanie.php</t>
  </si>
  <si>
    <t>https://gazeta-hmrn.ru/index.php/poisk?searchword=%D0%B8%D0%BD%D0%B8%D1%86%D0%B8%D0%B0%D1%82%D0%B8%D0%B2%D0%BD%D0%BE%D0%B5%20%D0%B1%D1%8E%D0%B4%D0%B6%D0%B5%D1%82%D0%B8%D1%80%D0%BE%D0%B2%D0%B0%D0%BD%D0%B8%D0%B5&amp;searchphrase=all
https://gazeta-hmrn.ru/index.php</t>
  </si>
  <si>
    <t>публикация на официальном сайте ХМР, в газете "Наш район"</t>
  </si>
  <si>
    <t>не применялось</t>
  </si>
  <si>
    <t>Муниципальное образование город Нижневартовск</t>
  </si>
  <si>
    <t>"Инициативное бюджетирование"</t>
  </si>
  <si>
    <t>Мой вклад в бюджет</t>
  </si>
  <si>
    <t>постановление администрации города Нижневартовск от 02.10.2017 №1475 "Об утверждении муниципальной программы "Реализация проекта "Инициативное бюджетирование" на 2018-2022 годы" (с изменениями                  от 26.01.2018 №92, от 30.11.2018 №1397, от 27.02.2019 №123, от 31.05.2019 №416, от 20.12.2019 №1015, от 02.03.2020 №173); постановление администрации города Нижневартовск "О порядке конкурсного отбора заявок для участия в муниципальной программе "Реализация проекта "Инициативное бюджетирование" на 2018-2022 годы" (с изменениями от 28.11.2018 №1392, от 26.12.2019 №1033); распоряжение администрации города Нижневартовска "Об утверждении состава конкурсной комиссии по проведению конкурсного отбора заявок для участия в муниципальной программе "Реализация проекта "Инициативное бюджетирование" на 2018-2022 годы" (с изменениями от 13.08.2018 №1120-р, от 20.06.2019 №792-р); распоряжение администрации города Нижневартовска "Об утверждении типовой формы договора пожертвования денежных средств в рамках реализации муниципальной программы "Реализация проекта "Инициативное бюджетирование" на 2018-2022 годы"</t>
  </si>
  <si>
    <t>https://www.n-vartovsk.ru/ibudget/</t>
  </si>
  <si>
    <t>Департамент строительства администрации города Нижневартовска</t>
  </si>
  <si>
    <t>Департамент жилищно-коммунального хозяйства администрации города;
Муниципальное бюджетное учреждение "Управление по дорожному хозяйству и благоустройству города Нижневартовска";
Департамент образования администрации города;  
Департамент по социальной политике администрации города;     Муниципальное казенное учреждение "Управление капитального строительства города Нижневартовска";
Управление по природопользованию и экологии администрации города</t>
  </si>
  <si>
    <t>муниципальные организации в сфере образования;
муниципальные учреждения в сфере культуры;
муниципальные учреждения в сфере физической культуры и спорта;</t>
  </si>
  <si>
    <t>http://www.statdata.ru/naselenie/naselenie-hmao
http://xn----7sbiew6aadnema7p.xn--p1ai/sity_id.php?id=72</t>
  </si>
  <si>
    <t>Регистрация в журнале регистрации заявок</t>
  </si>
  <si>
    <t>Протокол заседания конкурсной комиссии по конкурсному отбору заявок для участия в муниципальной программе «Реализация проекта «Инициативное бюджетирование» на 2018-2022 годы»,
 https://www.n-vartovsk.ru/ibudget/</t>
  </si>
  <si>
    <t>голосования за проекты посредством портала «Госуслуги»  
https://www.n-vartovsk.ru/ibudget/</t>
  </si>
  <si>
    <t xml:space="preserve"> https://www.n-vartovsk.ru/ibudget/</t>
  </si>
  <si>
    <t xml:space="preserve"> паблики в социальных сетых: ТРК "Самотлор" https://vk.com/samotlor_tv?w=wall-77503436_40364; https://vk.com/samotlor_tv?w=wall-77503436_39743; https://vk.com/samotlor_tv?w=wall-77503436_29035; страница "Официальный Нижневартовск": https://vk.com/ofnv86?w=wall-65014115_112902; https://vk.com/ofnv86?w=wall-65014115_106796. газета "Местеное время" https://xn--80ada5aafe1m.xn--p1ai/article/4817/?sphrase_id=3013; ИА "Город 3466" https://www.gorod3466.ru/news/2978793/v-niznevartovske-v-ramkah-municipalnoj-programmy-proveli-remont-v-detskom-sadu;  сайт ОМС: https://www.n-vartovsk.ru/news/citywide_news/news_ecology/373769.html; https://www.n-vartovsk.ru/news/citywide_news/duma_vesti/373298.html; https://www.n-vartovsk.ru/news/citywide_news/bvk/366387.html</t>
  </si>
  <si>
    <t>На официальном сайте ОМСУ в разделе «Мой вклад в бюджет» размещена вся информация необходимая для подачи заявки, предусмотрена возможность голосования за проекты.
Для большего информационного охвата на территории города были листовки с информацией о проведении конкурсного отбора заявок. Информационное сопровождение  осуществлялось  посредством телевизионного вещания, статей в переодических изданиях, сети интернет. 
Информация, размещенная на официальном сайте органов местного самоуправления города Нижневартовска, дублируется в группах "Официальный Нижневартовск", в социальных сетях "ВКонтакте", "Одноклассники".</t>
  </si>
  <si>
    <t>листовки</t>
  </si>
  <si>
    <t>город Покачи</t>
  </si>
  <si>
    <t>Проект инициативного бюджетирования</t>
  </si>
  <si>
    <t>Постановление администрации города Покачи от 28.08.2019 № 772 "О реализации проектов инициативного бюджетирования в городе Покачи"</t>
  </si>
  <si>
    <t>http://admpokachi.ru/upload/iblock/faf/%E2%84%96%20772%20%D0%BE%D1%82%2028.08.2019.docx</t>
  </si>
  <si>
    <t>Отдел архитектуры и градостроительства администрации города Покачи</t>
  </si>
  <si>
    <t>Администрация города Покачи</t>
  </si>
  <si>
    <t>Бюджетные ассигнования на прочую закупку товаров, работ и услуг</t>
  </si>
  <si>
    <t>МУ "Управление капитального строительства"</t>
  </si>
  <si>
    <t>http://www.statdata.ru/naselenie/naselenie-hmao
https://www.gks.ru/scripts/db_inet2/passport/pass.aspx?base=munst71&amp;r=71884000</t>
  </si>
  <si>
    <t>http://budjet-dlya-grajdan.admpokachi.ru/initsiativnoe-byudzhetirovanie/golosovanie/</t>
  </si>
  <si>
    <t>http://budjet-dlya-grajdan.admpokachi.ru/initsiativnoe-byudzhetirovanie/konkursy/rabota-komissii/</t>
  </si>
  <si>
    <t>http://budjet-dlya-grajdan.admpokachi.ru/initsiativnoe-byudzhetirovanie/</t>
  </si>
  <si>
    <t>Городской округ Нягань</t>
  </si>
  <si>
    <t>"Твой выбор"</t>
  </si>
  <si>
    <t xml:space="preserve">Постановление Администрации города Нягани от 26.12.2019 №4746 "О проведении конкурсного
отбора проектов (инициатив) граждан по вопросам местного значения в муниципальном образовании
город Нягань "Твой выбор" на 2020 год;
Постановление Администрации города Нягани от 26.08.2019 №2824 "О Порядке проведения конкурсного отбора проектов (инициатив) граждан
по вопросам местного значения в муниципальном образовании город Нягань "Твой выбор";
Постановление Администрации города Нягани от 08.11.2018 №3539 "Об утверждении муниципальной программы муниципального образования город Нягань "Управление муниципальными финансами в муниципальном образовании город Нягань" (в редакции от 10.07.2020 №1992).
</t>
  </si>
  <si>
    <t>http://www.admnyagan.ru/inf_dlj_nas/files/1579609605.doc
http://www.admnyagan.ru/inf_dlj_nas/files/1579609573.doc
http://www.admnyagan.ru/com_fin/files/1595936507.doc</t>
  </si>
  <si>
    <t>Комитет по финансам Администрации города Нягани</t>
  </si>
  <si>
    <t>Комитет образования и науки Администрации города Нягани;
Комитет по физической культуре, спорту, туризму и молодежной политике Администрации города Нягани.</t>
  </si>
  <si>
    <t>Субсидии автономным учреждениям на иные цели</t>
  </si>
  <si>
    <t>МАДОУ МО г.Нягань "Д/С №2 "Сказка";
МАДОУ МО г.Нягань "Д/с № 11 "Елочка";
МАОУ МО г. Нягань "СОШ №1";
МАОУ МО г. Нягань "СОШ №2";
МАОУ МО г. Нягань "ОСШ № 3";
МАУ МО г. Нягань "СШ им. А.Ф. Орловского".</t>
  </si>
  <si>
    <t>Медотика подсчета благополучателей не предусмотрена. Количество благополучателей указано в заявках для участия в конкурсном отборе проектов (инициатив).</t>
  </si>
  <si>
    <t xml:space="preserve">31,00
</t>
  </si>
  <si>
    <t>1, специалист-эксперт Комитета по финансам Администрации города Нягани.
Согласно должностой инструкции одним из пунктов должностных обязанностей является обобщение информации в рамках инициативного бюджетирования.</t>
  </si>
  <si>
    <t>Протокол и лист собрания инициативной группы прилагается к заявке по проектам инициативного бюджетирования</t>
  </si>
  <si>
    <t>Комиссия утверждает результаты рейтинга проектов (инициатив) и рекомендует к реализации проекты.
Протокол №1 от 29.04.2020 Заседания комиссии по по проведению конкурсного отбора проектов (инициатив) граждан по вопросам местного значения в городе Нягань "Твой выбор"; 
Приложение №1, Приложение №2 к протоколу.
http://www.admnyagan.ru/inf_dlj_nas/files/1588745769.pdf
http://www.admnyagan.ru/inf_dlj_nas/files/1588745780.pdf
http://www.admnyagan.ru/inf_dlj_nas/files/1588745791.pdf</t>
  </si>
  <si>
    <t>http://www.admnyagan.ru/?page=inf_dlj_nas/info.php&amp;razd_id=30
http://www.admnyagan.ru/?page=inf_dlj_nas/info.php&amp;razd_id=34</t>
  </si>
  <si>
    <t>http://www.admnyagan.ru/img/bn/tvoivibor1.jpg</t>
  </si>
  <si>
    <t>Обучение от муниципального образования не проводилось.
02.12.2020 ответственными лицами, курирующими вопросы инициативного бюджетирования, прослушен вебинар организованный АУ ХМАО-Югра "Центр "Открытый регион" на тему "Условия участия в первом региональном конкурсе инициативных проектов Ханты-Мансийского автономного округа-Югры"</t>
  </si>
  <si>
    <t>Нижневартовский район</t>
  </si>
  <si>
    <t>Инициативное (партисипаторное)  бюджетирование, Народная инициатива, Формирование комфортной городской среды.</t>
  </si>
  <si>
    <t>Постановления администрации района от  26.04.2019 № 926 "О реализации инициативного бюджетирования в Нижневартовском районе", от 04.10.2019 № 1993 " Об утверждении положения о конкурсном отборе проектов "Народная инициатива" на реализацию мероприятий, направленных на развитие исторических и иных местных традиций к юбилейным датам с. Ларьяк, с. Корлики, д. Большой Ларьяк, с.Варьёган, с. Покур, п. Аган, с.Былино"; от 26.10.2018 № 2452  «Об утверждении муниципальной программы «Жилищно-коммунальный комплекс и городская среда в Нижневартовском районе»; от 26.10.2018 №2456  «Об утверждении муниципальной программы «Культурное пространство Нижневартовского района»; от 26.10.2018 № 2457 «Об утверждении муниципальной программы «Развитие образования в Нижневартовском районе»</t>
  </si>
  <si>
    <t>http://nvraion.ru/ekonomika-i-finansy/initsiativnoe-byudzhetirovanie/;   http://nvraion.ru/ekonomika-i-finansy/social-economic-district/munitsipalnye-programmy/programm-rayona-na-2014-2020/</t>
  </si>
  <si>
    <t>Администрация Нижневартовского района (Управление градостроительства, развития жилищно-коммунального комплекса и энергетики администрации района); Администрация Нижневартовского района (управлеение образования и молодежной политики); Администрация Нижневартовского района (управление культуры и спорта); Администрация Нижневартовского района (управление экологии, природопользования, земельных ресурсов, по жилищным вопросам и муниципальной собственности).</t>
  </si>
  <si>
    <t>Администрация Нижневартовского района;</t>
  </si>
  <si>
    <t>субсидии учреждениям, межбюджетные трансферты поселениям</t>
  </si>
  <si>
    <t>бюджетные учреждения, городские и сельские поселения</t>
  </si>
  <si>
    <t>услуги по доставке, монтажу, вводу в эксплуатацию оборудования, установка программного обеспечения, обучение по эксплуатации оборудования,трудозатраты населения (уборка мусора, демонтаж, расчистка территорий, покраска ит.д.)</t>
  </si>
  <si>
    <t>благополучателями являются жители поселений при проектах экологии и благоустройства, проекты образования рассчитаны на детей и подростков населённых пунктов на которых реализуются проекты ИБ</t>
  </si>
  <si>
    <t>http://nvraion.ru/ekonomika-i-finansy/chislennost/</t>
  </si>
  <si>
    <t>https://gp-izluchinsk.ru/obshchestvennoe-obsuzhdenie2/2430-1/</t>
  </si>
  <si>
    <t>регистрация в журналах поселений, протоколы собраний граждан(инициативных групп) об участии в конкурсном отборе проектов "Народная инициатива"</t>
  </si>
  <si>
    <t xml:space="preserve">https://gp-izluchinsk.ru/obshchestvennoe-obsuzhdenie2/2430-1/  http://www.zaik-adm.ru/tinybrowser/files/e-konomika/iniciativnoe/2019/001.pdf 
</t>
  </si>
  <si>
    <t>голосование в мессенджерах,
https://gp-izluchinsk.ru/obshchestvennoe-obsuzhdenie2/2430-1/</t>
  </si>
  <si>
    <t>Протокол заседания Комиссии по бюджетным проектировкам на 2020 год и плановый период 2021 и 2022 годов от 08.10.2019</t>
  </si>
  <si>
    <t xml:space="preserve">http://nvraion.ru/ekonomika-i-finansy/initsiativnoe-byudzhetirovanie/; 
1)  https://www.gp-izluchinsk.ru/budjetgp/initsiativnoe-byudzhetirovanie/2020.php ;    
2)http://www.gp-izluchinsk.ru/budjetgp/initsiativnoe-byudzhetirovanie/ 
3) http://gp-novoagansk.ru/initciativnoe-byudzhetirovanie.html 
4) http://www.аган-адм.рф/iniciativnoe-byudzhetirovanie.html 
5) http://www.adminvata.ru/iniciativnoe-byudzhetirovanie.html
6) http://www.apokur.ru/iniciativnoe-byudzhetirovanie.html
7) http://admlariak.ru/iniciativnoe-byudzhetirovanie.html
8) http://zaik-adm.ru/zayavki-po-iniciativnomu-byudzhetirovaniyu.html 
9) http://adminvah.ru/iniciativnoe-byudzhetirovanie.html </t>
  </si>
  <si>
    <t>1) https://vk.com/spagan?z=photo-188948853_457239092%2Falbum-188948853_00%2Frev 
2)https://ok.ru/selskoepos 3)https://ok.ru/profile/547055247134</t>
  </si>
  <si>
    <t>http://nvraion.ru/ekonomika-i-finansy/initsiativnoe-byudzhetirovanie/</t>
  </si>
  <si>
    <t xml:space="preserve">Размещаются объявления на информационных стендах на территории поселений, в СМИ,на официальных сайтах администраций района и поселений . Распространяются информационные листовки, брошюры.  Установлены ящики для сбора проектных идей. </t>
  </si>
  <si>
    <t>В информационных документах, в простой, понятной любому жителю форме размещаеться информация. Инфографика не используется.</t>
  </si>
  <si>
    <t>Совещания в формате ВКС, руководители и специалисты структурных пожразделений администрации района и городских и сельских поселений района</t>
  </si>
  <si>
    <t>Нефтеюганский район</t>
  </si>
  <si>
    <t>Государственная программа Ханты-Мансийского автономного округа - Югры "Создание условий для эффективного управления муниципальными финансами", подпрограмма "Поддержка мер по обеспечению сбалансированности местных бюджетов и компенсация дополнительных расходов, возникших в результате решений, принятых органами власти другого уровня", субсидия на содействие развитию исторических и иных местных традиций</t>
  </si>
  <si>
    <t xml:space="preserve"> "Народный бюджет"</t>
  </si>
  <si>
    <t>Постановление администрации Нефтеюганского района от 26.04.2017 № 676-па "О конкурсном отборе проектов "Народный бюджет" в Нефтеюганском районе" (в редакции № 886-па от 01.06.2017, № 1505-па от 30.08.2017, № 1718-па от 05.10.2017, №2335-па от 14.12.2017, № 320-па от 12.03.2018, № 894-па от 06.06.2018, № 501-па от 11.03.2019, № 1607-па от 29.07.2019, № 1901-па от 16.09.2019, № 785-па от 11.06.2020)</t>
  </si>
  <si>
    <t>http://www.admoil.ru/npa/2017/676-pa.docx, http://www.admoil.ru/npa/2017/886-pa.docx, http://www.admoil.ru/npa/2017/1505-pa.docx, http://www.admoil.ru/npa/2017/1718-pa.docx, http://www.admoil.ru/npa/2017/2335-pa.docx, http://www.admoil.ru/npa/2018/320-pa.docx, http://www.admoil.ru/npa/2018/894-pa.docx, http://www.admoil.ru/npa/2019/501-pa.docx, http://www.admoil.ru/npa/2019/1607-pa.docx, http://www.admoil.ru/npa/2019/1901_pa.docx</t>
  </si>
  <si>
    <t>Департамент финансов Нефтеюганского района, Управление по вопросам местного самоуправления и обращениям граждан администрации Нефтеюганского района</t>
  </si>
  <si>
    <t>Департамент финансов Нефтеюганского района</t>
  </si>
  <si>
    <t>Департамент образования и молодежной политики Нефтеюганского района, муниципальные образования городского и сельских поселений, входящих в состав Нефтеюганского района</t>
  </si>
  <si>
    <t>Уборка прилегающей территории, озеленение, выкос травы и сорняков, полив клумб, демонтаж старого оборудования, погрузо-разгрузочные работы, контроль за сохранностью оборудования и малых архитектурных форм</t>
  </si>
  <si>
    <t>При предоставлении проекта на конкурсный отбор проектов в Заявке указывается количество  благополучателей</t>
  </si>
  <si>
    <t>1. Департамент финансов Нефтеюганского района
(6 чел.)
2. Управление по вопросам местного самоуправления и обращения граждан (2 чел.)
3. Департамент строительства и жилищно-коммунального комплекса (2 чел.)</t>
  </si>
  <si>
    <t>Объекты для участия в конкурсе определяются жителями (инициативными группами) и органами местного самоуправления городского и сельских поселений Нефтеюганского района. Протоколом собрания населения утверждается состав инициативной группы, оформляется лист регистрации участников собрания (Ф.И,О. адрес, подпись, дата)</t>
  </si>
  <si>
    <t xml:space="preserve">3. Комиссия и порядок ее работы
3.1. Комиссия является коллегиальным органом, созданным для проведения конкурсного отбора проектов на уровне Нефтеюганского района.
3.2. Комиссия осуществляет следующие функции:
3.2.1. Рассматривает, оценивает проекты и документы участников конкурсного отбора проектов «Народный бюджет» в соответствии с критериями оценки согласно приложению № 6 к настоящему Порядку.
Предварительный расчет баллов по установленным критериям по каждому проекту производит департамент финансов Нефтеюганского района.
3.2.2. Проверяет соответствие проектов требованиям, установленным настоящим Порядком.
3.2.3. Определяет перечень проектов – победителей конкурсного отбора согласно рейтингу, сформированному по установленным критериям. Единственный участник конкурса, заявка которого соответствует требованиям, признается победителем конкурса без расчета рейтинга. 
3.3. Заседание комиссии проводится, если на заседании присутствует более половины от утвержденного состава ее членов.
3.4. При отсутствии председателя комиссии на заседании председательствует и подписывает протокол заместитель председателя комиссии. В случае отсутствия члена Комиссии его замещает лицо, исполняющее его обязанности по основной деятельности. Комиссия может привлекать к участию в дополнительных работах необходимых специалистов.
3.5. Результаты конкурса оформляются протоколом в течение 5 рабочих дней со дня заседания комиссии, который подписывается всеми лицами, входящими 
в состав Комиссии, принявшими участие в голосовании.
3.6. В протоколе указываются:
3.6.1. Лица, принявшие участие в заседании комиссии.
3.6.2. Реестр участников конкурсного отбора.
3.6.3. Информация об оценках проектов участников конкурсного отбора.
3.7. В случае если по результатам оценки на одно призовое место претендуют несколько проектов, набравших одинаковое количество баллов, преимущество имеет проект, дата и время регистрации которого имеет более ранний срок.
3.8. Количество заявок на участие от каждого населенного пункта Нефтеюганского района не  ограничено.
3.9. Предоставление иных межбюджетных трансфертов бюджетам городского и сельских поселений Нефтеюганского района осуществляется первым 22 проектам 
в соответствии с рейтингом.
 При формировании рейтинга для определения получателей иных межбюджетных трансфертов бюджетам городского и сельских поселений Нефтеюганского района не учитываются проекты, направленные на конкурсный отбор органами местного самоуправления Нефтеюганского района.
</t>
  </si>
  <si>
    <t>http://www.admoil.ru/finans/narodni-budget</t>
  </si>
  <si>
    <t xml:space="preserve">https://vk.com/ugorka?w=wall-76529838_9853, https://vk.com/ugorka?w=wall-76529838_10296
https://vk.com/ugorka?w=wall-76529838_8732, https://vk.com/public146332514?w=wall-146332514_3931. Ссылки так же предоставлены в приложеннии к письму   </t>
  </si>
  <si>
    <t>http://www.admoil.ru/finans/narodni-budget/logotip.rar</t>
  </si>
  <si>
    <t>Рекламная компания проводилась через ТВ, газету, МФЦ, учреждения образования и культуры</t>
  </si>
  <si>
    <t xml:space="preserve">Для населения (инициативных групп) была разработана Памятка для участия в конкурсном отборе проектов </t>
  </si>
  <si>
    <t>отсутствуют</t>
  </si>
  <si>
    <t>город Нефтеюганск</t>
  </si>
  <si>
    <t>Выбор проектов, которые были профинансированы в 2020 году, осуществлялся в соответствии с: 
1.Постановлением администрации города Нефтеюганска от 31.07.2017 № 125-нп "Об утверждении Порядкапроведения конкурсного отбора проектов инициативного бюджетирования муниципальной конкурсной комиссией города Нефтеюганска";
2.Постановлением администрации города Нефтеюганска от 18.07.2018 № 345-п «Об утверждении состава муниципальной комиссии города Нефтеюганска по конкурсному отбору проектов инициативного бюджетирования»</t>
  </si>
  <si>
    <t xml:space="preserve">http://www.admugansk.ru/category/1496?page=2
http://www.admugansk.ru/uploads/2019/08/345.docx
</t>
  </si>
  <si>
    <t>По  проектам, которые были профинансированы в 2020 году - департамент экономического развития администрации города Нефтеюганска</t>
  </si>
  <si>
    <t>Департамент жилищно-коммунального хозяйства администрации города Нефтеюганска</t>
  </si>
  <si>
    <t>1.Посадка деревьев и клумб;
2.Разгрузка / подрузка оборудования</t>
  </si>
  <si>
    <t>Информация отсутствует</t>
  </si>
  <si>
    <t>Скриншот результатов голосования</t>
  </si>
  <si>
    <t>Протокол собрания жителей</t>
  </si>
  <si>
    <t>Протокол заседания муниципальной комиссии города Нефтеюганска по конкурсному отбору проектов инициативного бюджетирования</t>
  </si>
  <si>
    <t>интернет-голосование на официальном сайте органов местного самоуправления города Нефтеюганска ХМАО-Югры / в официальной группе администрации города Нефтеюганска в социальной сети Вконтакте</t>
  </si>
  <si>
    <t>http://www.admugansk.ru/category/1496</t>
  </si>
  <si>
    <t>Отсутствует</t>
  </si>
  <si>
    <t xml:space="preserve"> Рекламная кампания инициативного бюджетирования проводится департаментом экономического развития администрации города Нефтеюганска посредством размещения информации на официальном сайте органов местного самоуправления, в печатных изданиях и социальных сетях, проката новостных сюжетов и интервью на телевидении, радио https://vk.com/ugansktv?z=video-38941736_456245303%2Fee2078f6545f0bb19c%2Fpl_post_-38941736_52695
https://vk.com/ugansktv?z=video-38941736_456245268%2F93a599fb376b7d15bd%2Fpl_post_-38941736_52260
https://vk.com/ugansktv?z=video-38941736_456244995%2F5f100384bf224609de%2Fpl_post_-38941736_51622
https://vk.com/ugansktv?z=video-38941736_456244978%2F25701039852d841327%2Fpl_post_-38941736_51526
https://vk.com/ugansktv?z=video-38941736_456244920%2F85b786f2beef8ed860%2Fpl_post_-38941736_51367
https://vk.com/znpress?w=wall-108284571_34240
https://vk.com/znpress?w=wall-108284571_34120
https://vk.com/znpress?w=wall-108284571_34048
https://vk.com/znpress?w=wall-108284571_33894
https://vk.com/znpress?w=wall-108284571_33108
https://vk.com/znpress?w=wall-108284571_32724
https://vk.com/znpress?w=wall-108284571_29563
https://vk.com/znpress?w=wall-108284571_28857
https://znpress.ru/news/society/proekt-inicziativnyh-zhitelej-9-mikrorajona-komfortnyj-gorod-oderzhal-pobedu-v-golosovanii-v-ramkah-programmy-inicziativnoe-byudzhetirovanie/
https://znpress.ru/news/society/nefteyuganczev-priglashayut-prinyat-uchastie-v-golosovanii-po-vyboru-proekta-dlya-blagoustrojstva-v-ramkah-programmy-inicziativnoe-byudzhetirovanie/
https://znpress.ru/news/zhkh/nefteyuganczev-priglashayut-prinyat-uchastie-v-programme-inicziativnoe-byudzhetirovanie/
</t>
  </si>
  <si>
    <t>круглый стол, открытые консультации</t>
  </si>
  <si>
    <t>Мегион</t>
  </si>
  <si>
    <t>Инициативный проект</t>
  </si>
  <si>
    <t>Постановление администрации города Мегион от 19.10.2017 №2070</t>
  </si>
  <si>
    <t xml:space="preserve">https://admmegion.ru/gov/laws/index.php?ELEMENT_ID=329183 </t>
  </si>
  <si>
    <t>муниципальное казенное учреждение "Управление капитального строительства и жилищно-коммунального комплекса"</t>
  </si>
  <si>
    <t>Администрация города Мегион</t>
  </si>
  <si>
    <t>грант</t>
  </si>
  <si>
    <t>проведение, субботника, уборка строительного мусора, озеленение</t>
  </si>
  <si>
    <t xml:space="preserve">http://www.statdata.ru/naselenie/naselenie-hmao </t>
  </si>
  <si>
    <t>протокол общедомового собрания собственников</t>
  </si>
  <si>
    <t>протокол заседания конкурсной коммисии</t>
  </si>
  <si>
    <t xml:space="preserve">https://depfin.admmegion.ru/initiative_budget/ </t>
  </si>
  <si>
    <t>Город Лангепас</t>
  </si>
  <si>
    <t xml:space="preserve">«Я планирую бюджет»
</t>
  </si>
  <si>
    <t xml:space="preserve"> Инициативное бюджетирование</t>
  </si>
  <si>
    <t>Май 2020 год</t>
  </si>
  <si>
    <t>Постановление от «2 » июля   2019 г. № 1264 "Об утверждении Положения о порядке реализации проекта инициативного бюджетирования в городском округе город Лангепас  «Я планирую бюджет»</t>
  </si>
  <si>
    <t>http://admlangepas.ru/open-budget/proactive-budgeting/legal-regulation2870/municipal-legal-acts5266/
http://admlangepas.ru/bitrix/redirect.php?event1=file&amp;event2=download&amp;event3=29436&amp;goto=/upload/iblock/c4d/1902.doc</t>
  </si>
  <si>
    <t>Администрация города Лангепаса, отдел по взаимодействию с СО НКО</t>
  </si>
  <si>
    <t>Департамент финансов администрации города Лангепаса</t>
  </si>
  <si>
    <t>Субсидии на ные цели</t>
  </si>
  <si>
    <t>Муниципальные учреждения города Лангепаса: ЛГ МАУ "СПОРТШКОЛА", ЛГ МАУ "Центр по работе с детьми и молодежью "Фортуна", ЛГ МАОУ детский сад №4 "Солнышко", ЛГ МАОУ  детский сад №1"Росинка", ЛГ МАОУДО "Детская школа искусств" , ЛГ МАОУ "средня школа №4" , ЛГ МАОУ ДО "Цсвппдм"</t>
  </si>
  <si>
    <t>Трудовое участие граждан в реализации инициативного проекта, доставка и монтаж оборудования</t>
  </si>
  <si>
    <t>Не учитывалось</t>
  </si>
  <si>
    <t>8.321</t>
  </si>
  <si>
    <t>Подсчет благополучателей производился на основании отчетов по исполнению инициативных проектов на базе муниципальных учреждений</t>
  </si>
  <si>
    <t>http://admlangepas.ru/open-budget/proactive-budgeting/attention-the-competition/itogi-realizatsii-initsiativnykh-proektov-v-2020-godu/</t>
  </si>
  <si>
    <t>Сбор подписей производился в рамках проведения собрания инциативной группы, сбор подписей проводился на бумажном носителе. Подсчет проволился представителями инциативных групп. Свод информации по количеству отданных голосов проводится специалистами отдела по взаимодействию с СОНКО</t>
  </si>
  <si>
    <t xml:space="preserve">Протоколы заседания инциативных граждан по обсуждению инциативных проектов </t>
  </si>
  <si>
    <t>Протокол заседания ТОС №1/5 г.Лангепас</t>
  </si>
  <si>
    <t>Голосование за инциативные проекты проходили в рамках проведения заседаний инциативных групп и ведения протоколов заседаний</t>
  </si>
  <si>
    <t>Голосование за инциативный проект проходило на собраниях ТОС №1/5 г.Лангепаса по реализации инциативных проектов</t>
  </si>
  <si>
    <t>Протокол проведения заседания http://admlangepas.ru/open-budget/proactive-budgeting/attention-the-competition/the-results-of-the-contest/itogi-konkursa-2020-goda/</t>
  </si>
  <si>
    <t>http://admlangepas.ru/open-budget/proactive-budgeting/</t>
  </si>
  <si>
    <t>Описание практики и возможность ее использования проходила в рамках телевизионной трансляции в программе "Вектор власти" в телерадиокомпании Лангепас +", 
https://holdingtv.tv/,
на страницах в Общественно-политической газете "Звезда Лангепаса" https://zvezda-langepasa.ru/, 
на официальном сайте администрации города Лангепасаhttp://admlangepas.ru/</t>
  </si>
  <si>
    <t>Информационные стенды в центре города Лангепаса, информационные экраны в МФЦ и в здании администрации города Лангепаса</t>
  </si>
  <si>
    <t>Повышение квалификации в АУ ХМАО-Югры "Центр "Открытый регион"</t>
  </si>
  <si>
    <t>16 академических часов</t>
  </si>
  <si>
    <t>Городской округ город Когалым</t>
  </si>
  <si>
    <t xml:space="preserve">Проект по поддержке местных инициатив в городе Когалыме "Твоя инициатива"
</t>
  </si>
  <si>
    <t xml:space="preserve">Постановление Администрации города Когалыма от 28.07.2017 N 1621
(ред. от 25.05.2020)
"О реализации проекта по поддержке местных инициатив в городе Когалыме "Твоя инициатива"
</t>
  </si>
  <si>
    <t>http://www.admkogalym.ru/economics/budget/initsiativnoe-byudzhetirovanie/proekt-po-podderzhke-mestnykh-initsiativ-v-gorode-kogalyme/konkursnyy-otbor-proektov-initsiativ-grazhdan-po-voprosam-mestnogo-znacheniya-v-gorode-kogalyme/2020/normativno-pravovye-akty-goroda-kogalyma.php</t>
  </si>
  <si>
    <t>Комитет финансов Администрации города Когалыма</t>
  </si>
  <si>
    <t xml:space="preserve">1. Администрация города Когалыма                                                                                                                                      2. Управление образования Администрации города Когалыма                                                                                                                 </t>
  </si>
  <si>
    <t xml:space="preserve">Субсидии   из  бюджета  города Когалыма  на  иные  цели,  не  связанные  с финансовым обеспечением выполнения  муниципального задания на оказание муниципальных услуг (выполнения работ) </t>
  </si>
  <si>
    <t xml:space="preserve">1. Администрация города Когалыма                                                                                                                                      2. Управление образования Администрации города Когалыма                                      </t>
  </si>
  <si>
    <t>изготовление и нанесение эмблем, организация мероприятия, подарки, сувениры</t>
  </si>
  <si>
    <t>Количество человек, которые получат услугу в результате  выполненного проекта (инициативы), независимо от того, сколько раз  (в день, в месяц, в год) они воспользуются результатом проекта (инициативы), с указанием использованных способов расчета количества благополучателей</t>
  </si>
  <si>
    <t xml:space="preserve">Собрания руководителей инициативных  групп  с  гражданами города  для  определения параметров проекта (способ фиксации - Протоколы собрания).        </t>
  </si>
  <si>
    <t xml:space="preserve">Протокол  заседания конкурсной комиссии по проведению конкурсного отбора проектов (инициатив) граждан по вопросам местного значения в городе Когалыме «Твоя инициатива»
</t>
  </si>
  <si>
    <t>http://www.admkogalym.ru/economics/budget/initsiativnoe-byudzhetirovanie/proekt-po-podderzhke-mestnykh-initsiativ-v-gorode-kogalyme/konkursnyy-otbor-proektov-initsiativ-grazhdan-po-voprosam-mestnogo-znacheniya-v-gorode-kogalyme/2020/index.php</t>
  </si>
  <si>
    <t>Информация о проведении конкурсного отбора проектов инициативного бюджетирования транслировалась на радио, размещалась в городской газете (http://storage.inovaco.ru/media/project_smi3_906/8e/32/38/41/c4/18/kv-57-1056-ot-19072019-gazeta.pdf), на официальном сайте Администрации города Когалыма (http://admkogalym.ru/news/detail/?ELEMENT_ID=23631), социальных сетях, информационных стендах</t>
  </si>
  <si>
    <t>повышении квалификации по программе «Инициативные проекты- инструмент вовлечения граждан в управление государственными финансами». Организатор - Открытый регион</t>
  </si>
  <si>
    <t>городское поселение Пионерский</t>
  </si>
  <si>
    <t>Постановление Администрации г.п.Пионерский</t>
  </si>
  <si>
    <t>http://admpioner.ru/Katalog/</t>
  </si>
  <si>
    <t>Администрация г.п.Пионерский</t>
  </si>
  <si>
    <t>Субсидии на иные цели, оплата товаров, работ, услуг</t>
  </si>
  <si>
    <t>МБУ КСК "Импульс" г.п.Пионерский, администрация г.п. Пионерский</t>
  </si>
  <si>
    <t>http://admpioner.ru/Katalog/20201</t>
  </si>
  <si>
    <t>http://admpioner.ru/Katalog/Tvoya-initsiativa</t>
  </si>
  <si>
    <t>заочный</t>
  </si>
  <si>
    <t>г.п.Таежный</t>
  </si>
  <si>
    <t>01.01.2020.</t>
  </si>
  <si>
    <t>№83 от 27.05.2019г  "Об утверждении положения о реализации проектов инициативного бюджетирования в г.п. Таежный ( с изменениями от 11.06.2020 года)</t>
  </si>
  <si>
    <t>Администрация городского поселения Таежный</t>
  </si>
  <si>
    <t>оплата товаров, работ, услуг</t>
  </si>
  <si>
    <t>методика не утверждена</t>
  </si>
  <si>
    <t>Собрание с жителями, оформлены протоколы предворительного и заключтельного собрания.</t>
  </si>
  <si>
    <t>https://taiga.admsov.com/action/in-bu.php</t>
  </si>
  <si>
    <t>https://ok.ru/profile/575729663887/statuses/152420595066255</t>
  </si>
  <si>
    <t>городское поселение Малиновский</t>
  </si>
  <si>
    <t>Постановление администрации городского поселения Малиновский от 11.06.2019 года № 135 "О реализации проектов инициативного бюджетирования в городском поселении Малиновский"</t>
  </si>
  <si>
    <t>https://malinovskiy.admsov.com/action/in-bu.php?PAGEN_1=2</t>
  </si>
  <si>
    <t>Администрация городского поселения Малиновский</t>
  </si>
  <si>
    <t>Опросные листы  (ссылка отсутствует)</t>
  </si>
  <si>
    <t>протокол (ссылка отсутствует)</t>
  </si>
  <si>
    <t>https://malinovskiy.admsov.com/action/in-bu.php</t>
  </si>
  <si>
    <t>https://m.ok.ru/dk?st.cmd=userMediaStatusComments&amp;st.edit=off&amp;st.rpl=off&amp;st.topicId=152056277614066&amp;_prevCmd=userProfile&amp;tkn=8487&amp;_aid=photoLinkToTopicClick</t>
  </si>
  <si>
    <t>https://www.instagram.com/p/CC-UhMSKXNk/?igshid=zj39erwa6gvm</t>
  </si>
  <si>
    <t>https://vk.com/wall532804207_719</t>
  </si>
  <si>
    <t>городское поселение Коммунистический</t>
  </si>
  <si>
    <t>Постановление АГП Коммунистический от 15.06.2020 №122 "Об участии г.п.Коммунистический в реализации проектов инициативного бюджетирования в Советском районе"</t>
  </si>
  <si>
    <t xml:space="preserve">Администрация городского поселения Коммунистический </t>
  </si>
  <si>
    <t>Администрация городского поселения Коммунистический</t>
  </si>
  <si>
    <t>Нефинансовый вклад документально не потвержден. Песок для детской площадки поставил ТПП "Урайнефтегаз", Лесо- пиломатериалы для обустройства ограждения детской игровой площадки предоставили ООО Лесопромышленный комбинат "Самза" и ООО "Вита-Лес".</t>
  </si>
  <si>
    <t>городское поселение Зеленоборск</t>
  </si>
  <si>
    <t xml:space="preserve">Постановление от 07.06.2019 № 122 О реализации проектов инициативного бюджетирования в городском поселении Зеленоборск
инициативного бюджетирования 
в городском поселении Зеленоборск
</t>
  </si>
  <si>
    <t>Администрация г.п.Зеленоборск</t>
  </si>
  <si>
    <t>https://zelenoborsk.admsov.com/action/budjetpos/init-bud.php?ELEMENT_ID=42395
https://zelenoborsk.admsov.com/action/budjetpos/init-bud.php</t>
  </si>
  <si>
    <t>сельское поселение Алябьевский</t>
  </si>
  <si>
    <t>Постановление Администрации сельского поселения Алябьевский от 05.06.2019г. № 105 "О реализации проектов инициативного бюджетирования в сельском поселении Алябьевский"</t>
  </si>
  <si>
    <t xml:space="preserve">http://alabievo.ru/documents/search.html?srch_text=&amp;srch_number=105&amp;srch_dates=&amp;srch_category=1532 </t>
  </si>
  <si>
    <t>Администрация сельского поселения Алябьевский, МБУ СКСОК "Авангард" с.п.Алябьевский</t>
  </si>
  <si>
    <t>Администрация сельского поселения Алябьевский</t>
  </si>
  <si>
    <t>Оплата товаров, работ, услуг</t>
  </si>
  <si>
    <t>https://vk.com/id84654767?w=wall84654767_1304</t>
  </si>
  <si>
    <t xml:space="preserve">Громкая связь на всей территории поселения, периодическое издание органов местного самоуправления в бюллетень «Алябьевский вестник», социальные сети </t>
  </si>
  <si>
    <t>городское поселение Агириш</t>
  </si>
  <si>
    <t>Постановление администрации городского поселения Агириш № 126/НПА от 17.06.2019 "О реализации проектов инициативного бюджетирования  в городском поселении Агириш"</t>
  </si>
  <si>
    <t>agirish.admsov.com Вестник 23(477) от 21.06.2019</t>
  </si>
  <si>
    <t>Администрация городского поселения Агириш</t>
  </si>
  <si>
    <t>методика не утверждена, численность благополучателей равна численности населенного пункта</t>
  </si>
  <si>
    <t>Протокол (ссылки нет)</t>
  </si>
  <si>
    <t>протокол (ссылки нет)</t>
  </si>
  <si>
    <t xml:space="preserve">agirish.admsov.com </t>
  </si>
  <si>
    <t>Сельское поселение Половинка</t>
  </si>
  <si>
    <t xml:space="preserve"> "Половинка Югры"</t>
  </si>
  <si>
    <t>Постановление Администрации сельского поселения Половинка от от 16 мая 2018 года № 130 "О конкурсном отборе проектов «Народный бюджет» в сельском поселении Половинка"</t>
  </si>
  <si>
    <t xml:space="preserve">http://adm-polov.ru/npa-1.html </t>
  </si>
  <si>
    <t>Администрация сельского поселения Половинка</t>
  </si>
  <si>
    <t>Средства местного бюджета</t>
  </si>
  <si>
    <t>http://adm-polov.ru/narodnyy-byudzhet.html</t>
  </si>
  <si>
    <t>Сельское поселение Мулымья</t>
  </si>
  <si>
    <t>01 ноября 2020 г.</t>
  </si>
  <si>
    <t>Постановление администрации сп Мулымья от 28.05.2018г. № 58 "О конкурсном отборе "Народный бюджет" (с изм. от 28.05.2018, от 07.06.2019)
Устав сельского поселения Мулымья, Решение Совета депутатов сельского поселения Мулымья от 17.09.2020 № 120 "О внесении изменений в решение Совета депутатов сельского поселения Мулымья от 10 июня 2019 года № 52  «Об утверждении Порядка назначения и проведения опроса граждан в сельском поселении  Мулымья»", постановление администрации сп Мулымья от 28.05.2018г. № 58 "О конкурсном отборе "Народный бюджет" (с изм. от 28.05.2018, от 07.06.2019)</t>
  </si>
  <si>
    <t xml:space="preserve">http://admmul.ru/documents/2657.html ,   http://admmul.ru/documents/2555.html , http://admmul.ru/normativno-pravovye-akty-v-sfere-initciativnogo-byudzhetirovaniya.html </t>
  </si>
  <si>
    <t>Администрация сельского поселения Мулымья</t>
  </si>
  <si>
    <t>Трудовое участие</t>
  </si>
  <si>
    <t>Благополучатели от реализации проектов расчитываются путем сложения благополучателей по всем проектам деленным на количество проектов.</t>
  </si>
  <si>
    <t>Протокол общего собрания</t>
  </si>
  <si>
    <t xml:space="preserve">Способ фиксации участия: текст и(или) ссылка: http://admmul.ru/lodochnyy-prichal.html </t>
  </si>
  <si>
    <t>dmmul.ru/uvazhaemye-zhiteli-sel-skogo-poseleniya-mulym-ya-2.html</t>
  </si>
  <si>
    <t>Сельское поселение Леуши</t>
  </si>
  <si>
    <t>Постановления администрации сельского поселения Леуши "О конкурсном отборе проектов "Народный бюджет" в сельском поселении Леуши от 15.06.2020  № 80; от  13.10.2020  №130;  от 31.12.2019 № 236-р  "О переносе реализации проектов "Народный бюджет" на 2020 - 2021 годы"</t>
  </si>
  <si>
    <t>http://www.admkonda.ru/narodnyy-byudzhet-sp-leushi.html</t>
  </si>
  <si>
    <t>Администрация сельского поселения Леуши</t>
  </si>
  <si>
    <t>методика подсчета благополучателей основана на количестве граждан проживающих в населенном пункте, которые являются потенциальными пользователи реализуемых проектов, с учетом того, что в состав муниципального образования входит 4 населенных пункта и проекты релизиованные в 2020 году охватывают каждый населенный пункт, общее колличество благополучателей - потенциальных пользователей реализуемых проектов  составляет общую сумму всех граждан, проживающих на территории</t>
  </si>
  <si>
    <t>Постановлением администрации сельского поселения Леуши "О конкурсном отборе проектов "Народный бюджет" в сельском поселении Леуши от 25.09.2018 № 301</t>
  </si>
  <si>
    <t>2.426</t>
  </si>
  <si>
    <t xml:space="preserve">Протокол общего собрания граждан </t>
  </si>
  <si>
    <t>Подача документов: заявки и проекты  предоставляются в орган местного самоуправления, в соответствии с постановлением администрации сельского поселения Леуши "О конкурсном отборе проектов "Народный бюджет" в сельском поселении Леуши от 25.09.2018 № 301</t>
  </si>
  <si>
    <t xml:space="preserve">Протокол </t>
  </si>
  <si>
    <t>http://www.admkonda.ru/realizatciya-proektov-narodnyy-byudzhet-leushi.html</t>
  </si>
  <si>
    <t>логотип, графическое изображение названия практики находится на стадии разработки, по окончанию общественного обсуждения логотип, графическое название практики запланирован к   утверждению в 2021 году</t>
  </si>
  <si>
    <t>Обучение граждан в рамках "Народного бюджетирования" проводится в форме общего собрания, встречи с гражданами. В тесном взаимодействии с наслением по раскрытию сути возникающих вопросов по возможност реализовать тот или иной проект, желание населения задаются гражданами в процессе живой беседы и обсуждения.</t>
  </si>
  <si>
    <t>Сельское поселение Болчары</t>
  </si>
  <si>
    <t xml:space="preserve">13 августа 2020 г. </t>
  </si>
  <si>
    <t>Постановление администрации сельского поселения Болчары от 20.12.2017 № 132 "О конкурсном отборе проектов "Народный бюджет"</t>
  </si>
  <si>
    <t>http://admkonda.ru/narodnyy-byudzhet-0.html</t>
  </si>
  <si>
    <t>Администрация сельского поселения Болчары</t>
  </si>
  <si>
    <t>Трудовое участие, материалы</t>
  </si>
  <si>
    <t>http://www.shugur.ru/narodnyy-byudzhet.html</t>
  </si>
  <si>
    <t>Информирование населения через официальный сайт ОМС                                       http://admkonda.ru/narodnyy-byudzhet-0.html</t>
  </si>
  <si>
    <t>Сельское поселение Шугур</t>
  </si>
  <si>
    <t>Постановление администрации сельского поселения Шугур 
от 17 мая 2019 года №46 "О конкурсном отборе проектов 
"Народный бюджет" в сельском поселении Шугур"</t>
  </si>
  <si>
    <t>http://www.shugur.ru/documents/1396.html</t>
  </si>
  <si>
    <t>Администрация сельского поселения Шугур</t>
  </si>
  <si>
    <t>Очное голосование на собрании</t>
  </si>
  <si>
    <t>Голосование на собрании</t>
  </si>
  <si>
    <t>http://shugur.ru/narodnyy-byudzhet.html</t>
  </si>
  <si>
    <t>Городское поселение Луговой</t>
  </si>
  <si>
    <t>Постановление администрации муниципального образования городское поселение Луговой от 12 декабря 2017 года № 312 «О конкурсном отборе проектов "Народный бюджет" в городском поселении Луговой».</t>
  </si>
  <si>
    <t>http://lugovoikonda.ru/tinybrowser/files/2017/postanovleniya/post.-312-ot-19.12.17-konkursnyy-otbor-proektov-narodnyy-byudzhet.doc</t>
  </si>
  <si>
    <t>Администрация городского поселения Луговой</t>
  </si>
  <si>
    <t>В части трудового участия граждан</t>
  </si>
  <si>
    <t>https://ok.ru/group/60701864427563/topic/152131261537067  https://vk.com/public183840176?w=poll541064028_385679646 https://vk.com/public183840176?w=poll541064028_385679977</t>
  </si>
  <si>
    <t>https://ok.ru/group/60701864427563/topic/152963923680043</t>
  </si>
  <si>
    <t>Приемная администрации поселения (ведется журнал регистрации поступивщих заявок на участие в конкурсном отборе)</t>
  </si>
  <si>
    <t>http://lugovoikonda.ru/narodnyy-byudzhet.html</t>
  </si>
  <si>
    <t>http://lugovoikonda.ru/narodnyy-byudzhet.html  http://lugovoikonda.ru/realizatciya-proektov-2020.html</t>
  </si>
  <si>
    <t xml:space="preserve">Одноклассники
https://ok.ru/group/60701864427563/topic/151939916471083
https://ok.ru/group/60701864427563/topic/151932173065003
https://ok.ru/group/60701864427563/topic/151891656416043
https://ok.ru/group/60701864427563/topic/152023340522283
https://ok.ru/group/60701864427563/topic/152014346689323
https://ok.ru/group/60701864427563/topic/152027656067883
https://ok.ru/group/60701864427563/topic/152122438818603
https://ok.ru/group/60701864427563/topic/152112189053739
https://ok.ru/group/60701864427563/topic/151932307938091
https://ok.ru/group/60701864427563/topic/152022711442219
https://ok.ru/group/60701864427563/topic/152023370406699
https://ok.ru/group/60701864427563/topic/152027571395371
https://ok.ru/group/60701864427563/topic/152112183221035
https://ok.ru/group/60701864427563/topic/152224437017387
https://ok.ru/group/60701864427563/topic/152199834016555
https://ok.ru/group/60701864427563/topic/152320863148843
https://ok.ru/group/60701864427563/topic/152239653428011
https://ok.ru/group/60701864427563/topic/152236154657579
https://ok.ru/group/60701864427563/topic/152230394239787
https://ok.ru/group/60701864427563/topic/152295991384875
https://ok.ru/group/60701864427563/topic/152324896365355
Вконтакте
https://vk.com/@-183840176-proekt-iniciativnogo-budzhetirovaniya-aktivnoe-pokolenie
https://vk.com/public183840176?w=wall-183840176_500
https://vk.com/public183840176?w=wall-183840176_525
https://vk.com/public183840176?w=wall-183840176_589
https://vk.com/public183840176?w=wall-183840176_578
https://vk.com/@-183840176-proekt-iniciativnogo-budzhetirovaniya-nikto-ne-zabyt-nichto
https://vk.com/feed?w=wall-183840176_633
https://vk.com/public183840176?w=wall-183840176_629
https://vk.com/public183840176?w=wall-183840176_533
https://vk.com/public183840176?w=wall-183840176_584
https://vk.com/public183840176?w=wall-183840176_587
https://vk.com/public183840176?w=wall-183840176_592
https://vk.com/@-183840176-proekt-iniciativnogo-budzhetirovaniya-perezagruzka-zavershil
https://vk.com/public183840176?w=wall-183840176_662
https://vk.com/public183840176?w=wall-183840176_654
https://vk.com/public183840176?w=wall-183840176_680
https://vk.com/@-183840176-subbotnik-na-reke-kasymya
https://vk.com/public183840176?w=wall-183840176_665
https://vk.com/public183840176?w=wall-183840176_663
https://vk.com/public183840176?w=wall-183840176_672
https://vk.com/feed?w=wall-183840176_681
</t>
  </si>
  <si>
    <t>Городское поселение Мортка</t>
  </si>
  <si>
    <t>постановления администрации городского поселения Мортка от 15.05.2019 года № 132 «О конкурсном отборе проектов "Народный бюджет" в городском поселении Мортка»</t>
  </si>
  <si>
    <t>30 июня 2020 года</t>
  </si>
  <si>
    <t>22 июля 2020 г</t>
  </si>
  <si>
    <t>Постановления администрации городского поселения Мортка от 15.05.2019 года № 132 «О конкурсном отборе проектов "Народный бюджет" в городском поселении Мортка»</t>
  </si>
  <si>
    <t>http://admkonda.ru/tinybrowser/files/poseleniya2019/mortka/postrasp/mortka-post-2019-05-132.doc</t>
  </si>
  <si>
    <t>Администрация городского поселения Мортка</t>
  </si>
  <si>
    <t>Иные дотации городским поселениям</t>
  </si>
  <si>
    <t>Выкос травы, вырубка кустарника, уборка территории, Очистка береговой линии от мусора, вывоз мусора, Устройство пирса 2 шт., Изготовление беседки 2 шт., Приобретение и установка мангала 2 шт.</t>
  </si>
  <si>
    <t xml:space="preserve">выдвижение проектных идей инициативной группой граждан </t>
  </si>
  <si>
    <t>http://admkonda.ru/konkursnyy-otbor-po-proektu-narodnyy-byudzhet-2020.html</t>
  </si>
  <si>
    <t xml:space="preserve"> https://vk.com/public188912037?w=wall-188912037_669, https://vk.com/public188912037?w=wall-188912037_761</t>
  </si>
  <si>
    <t>Объявление в Вконтакте, на сайте администрации городского поселения Мортка</t>
  </si>
  <si>
    <t>Городское поселение Куминский</t>
  </si>
  <si>
    <t>19.06.2020 г.</t>
  </si>
  <si>
    <t>Положение о проведении конкурсного отбора проектов «Народный бюджет» в городском поселении Куминский</t>
  </si>
  <si>
    <t>http://admkuma.ru/polozhenie-o-provedenii-konkursnogo-otbora-proektov-narodnyy-byudzhet-v-gorodskom-poselenii-kuminskiy.html</t>
  </si>
  <si>
    <t>Администрация городского поселения Куминский</t>
  </si>
  <si>
    <t>Грант</t>
  </si>
  <si>
    <t>http://admkuma.ru/sobranie-initciativnykh-grupp-po-voprosu-uchastiya-v-proekte-narodnyy-byudzhet-v-2020-godu.html</t>
  </si>
  <si>
    <t>http://admkuma.ru/narodnyy-byudzhet.html</t>
  </si>
  <si>
    <t>На официальном сайте муниципального образования</t>
  </si>
  <si>
    <t xml:space="preserve">не проводилось. </t>
  </si>
  <si>
    <t>Городское поселение Кондинское</t>
  </si>
  <si>
    <t>постановление администрации городского поселения Кондинское от 25.09.2017 №149 "О конкурсном отборе проектов "Народный бюджет" в городском поселении Кондинское"</t>
  </si>
  <si>
    <t>http://www.admkonda.ru/documents/10031.html</t>
  </si>
  <si>
    <t>Администрация городского поселения Кондинское</t>
  </si>
  <si>
    <t>https://www.gks.ru/scripts/db_inet2/passport/table.aspx?opt=718161512020</t>
  </si>
  <si>
    <t>http://www.admkonda.ru/narodnyy-byudzhet-gp-kondinskoe.html</t>
  </si>
  <si>
    <t>Городское поселение Междуреченский</t>
  </si>
  <si>
    <t>"Народный бюджет" в 2020 году, "Инициативный проект" в 2021 году</t>
  </si>
  <si>
    <t xml:space="preserve">Постановление администрации городского поселения Междуреченский от 29.07.2019 №137-п "О конкурсном отборе проектов «Народный бюджет» в городском поселении Междуреченский"
Решение Совета депутатов городского поселения Междуреченский от 02 февраля 2021 года № 115                                                                                                                   
"Об утверждении порядка определения части территории городского поселения Междуреченский, на которой могут реализовываться инициативные проекты"
Решение Совета депутатов городского поселения Междуреченский от 02 февраля 2021 года № 116 "Об утверждении Порядка выдвижения, внесения, обсуждения, рассмотрения инициативных проектов, а также проведения их конкурсного отбора в муниципальном образовании городское поселение Междуреченский"
Решение Совета депутатов городского поселения Междуреченский от 02 февраля 2021 года № 117 "Об утверждении порядка выявления мнения граждан по вопросу о поддержке инициативного проекта путем опроса граждан, сбора их подписей"
</t>
  </si>
  <si>
    <t>http://admkonda.ru/normativno-pravovye-akty-nb-mejd.html</t>
  </si>
  <si>
    <t>Администрация городского поселения Междуреченский</t>
  </si>
  <si>
    <t>Грант за реализацию инициативных проектов в 2019 году, средства бюджета поселения</t>
  </si>
  <si>
    <t xml:space="preserve">Трудовое участие (демонтаж, подготовка места к реализации проекта, вывоз строительного мусора, обустройство клумб, высадка рассады, окраска ограждений) </t>
  </si>
  <si>
    <t>https://www.gks.ru/scripts/db_inet2/passport/table.aspx?opt=718161602020</t>
  </si>
  <si>
    <t>https://cloud.mail.ru/public/4UDj/29skSVipr</t>
  </si>
  <si>
    <t>http://www.admkonda.ru/narodnyy-byudzhet-2020-mejd.html#prettyPhoto</t>
  </si>
  <si>
    <t>http://vk.com/wall322700453_117
http://vk.com/wall10659960_3038</t>
  </si>
  <si>
    <t xml:space="preserve">Информирование населения через официальный сайт ОМС </t>
  </si>
  <si>
    <t>Кондинский район</t>
  </si>
  <si>
    <t>"Инициативное (партисипоторное) бюджетирование" в 2020 году, 
"Инициативный проект" в 2021 году</t>
  </si>
  <si>
    <t xml:space="preserve">Постановление от 26 июля 2019 года   № 1500 "Об утверждении Порядка применения органом местного самоуправления муниципального образования Кондинский район механизмов 
инициативного (партисипаторного) бюджетирования"
Решение Думы Кондинского района от 29.01.2021 года №745 "Об утверждении порядка выдвижения, внесения, обсуждения, рассмотрения инициативных проектов, а также проведения их конкурсного отбора в Кондинском районе"
Решение Думы Крондинского района от 29.01.2021 года №746 "Об утверждении порядка определения части территории Кондинского района, на которой могут реализовываться инициативные проекты"
Решение Думы Крондинского района от 29.01.2021 года №747 "Об утверждении порядка выявления мнения граждан по вопросу по поддержке инициативного проекта путем опроса граждан, сбора их подписей"
</t>
  </si>
  <si>
    <t>http://www.admkonda.ru/nb-normativnye-dokumenty.html</t>
  </si>
  <si>
    <t>Администрация Кондинского района</t>
  </si>
  <si>
    <t>http://www.admkonda.ru/rezul-taty-oprosov.html</t>
  </si>
  <si>
    <t>http://www.admkonda.ru/narodnyy-byudzhet.html</t>
  </si>
  <si>
    <t xml:space="preserve">https://vk.com/wall-172622683_3637
https://vk.com/wall-172622683_3312
https://vk.com/kondaadm?w=wall-172622683_3668
</t>
  </si>
  <si>
    <t xml:space="preserve"> Группа VIBER</t>
  </si>
  <si>
    <t>Постановление №132 от 15.10.2018 Об утверждении Порядка проведения конкурсного отбора проектов инициативного бюджетирования в сельском поселении Приполярный</t>
  </si>
  <si>
    <t>http://pripolarny.ru/normativnye_pravovye_akty_4</t>
  </si>
  <si>
    <t>Администрация с.п. Приполярный</t>
  </si>
  <si>
    <t>иное</t>
  </si>
  <si>
    <t>Уборка и вывоз мусора, устройство выравнивающих слоев оснований из песка на площадке, бурение ям для крепления тренажеров, подготовка цементного раствора, установка тренажеров, бурение ям для спортивного комплекса, установка спортивного комплекса, устройство безопасного покрытия</t>
  </si>
  <si>
    <t>все группы населения</t>
  </si>
  <si>
    <t>протокол http://pripolarny.ru/konkurs_po_otboru_proektov_initsiativnogo_byudzhetirovaniya_v_selskom_poselenii_pripolyarnyy_2020_god</t>
  </si>
  <si>
    <t>http://pripolarny.ru/konkurs_po_otboru_proektov_initsiativnogo_byudzhetirovaniya_v_selskom_poselenii_pripolyarnyy_2020_god</t>
  </si>
  <si>
    <t>01 июля 2020 года</t>
  </si>
  <si>
    <t>Постановление администрации 
сельского поселения Саранпауль
от 13.09.2017г. №77 «Порядок
проведения конкурсного отбора инициативного бюджетирования комиссией сельского поселения Саранпауль»</t>
  </si>
  <si>
    <t>http://www.xn----7sbaaby0clduik6a2j.xn--p1ai/documents/706.html</t>
  </si>
  <si>
    <t>Администрация с.п. Саранпауль, Общий отдел</t>
  </si>
  <si>
    <t>Администрация с.п. Саранпауль</t>
  </si>
  <si>
    <t>трудовое участие (уборка территории от строительного мусора после установки детской площадки)</t>
  </si>
  <si>
    <t>жители населенных пунктов Щекурья и Сосьва</t>
  </si>
  <si>
    <t>Оценка численности постоянного населения жителей Березовского района в разрезе населенных пунктов (информация по данным комитета по экономической политике Администрации Березовского района)</t>
  </si>
  <si>
    <t>http://xn----7sbaaby0clduik6a2j.xn--p1ai/initciativnoe-byudzhetirovanie.html</t>
  </si>
  <si>
    <t xml:space="preserve">http://xn----7sbaaby0clduik6a2j.xn--p1ai/initciativnoe-byudzhetirovanie.html
</t>
  </si>
  <si>
    <t xml:space="preserve">https://www.instagram.com/p/CKEKwifoxVO/?igshid=1nn6480lx6gcb
</t>
  </si>
  <si>
    <t xml:space="preserve">городское поселение Белоярский Белоярского муниципального района </t>
  </si>
  <si>
    <t>Инициативное бюджетировние</t>
  </si>
  <si>
    <t xml:space="preserve">Постановление администрации городского поселения Белоярский от 09.11.2018 "О реализации проектов инициативного бюджетирования
в городском поселении Белоярский" (утратило силу ввиду принятия Федерального закона от 20 июля 2020 года № 236-ФЗ «О внесении изменений в Федеральный закон «Об общих принципах организации местного самоуправления в Российской Федерации» и приведении в соответствие МПА) </t>
  </si>
  <si>
    <t>Администрация городского поселения Белоярский</t>
  </si>
  <si>
    <t>Премии и гранты</t>
  </si>
  <si>
    <t>Ответственное лицо инициативной группы</t>
  </si>
  <si>
    <t>http://admbelgor.ru/upload/iblock/b99/%D1%80%D0%B0%D1%81%D0%BF.%205-%D1%80%20%D0%BE%D1%82%2020.03.2019.doc</t>
  </si>
  <si>
    <t>http://admbelgor.ru/gorod/bud/?ELEMENT_ID=64159</t>
  </si>
  <si>
    <t>Информация на официальном сайте городского поселения Белоярский</t>
  </si>
  <si>
    <t xml:space="preserve">сельское поселение Верхнеказымский Белоярского муниципального района </t>
  </si>
  <si>
    <t>постановление администрации сельского поселения Верхнеказымский от 27 октября 2017 года № 138 «О реализации проектов инициативного бюджетирования в сельском поселении Верхнеказымский»</t>
  </si>
  <si>
    <t>http://vkazym.ru/admininstration-actions/budget/initiative_budgeting/?ELEMENT_ID=56917#tabs-container1</t>
  </si>
  <si>
    <t>Администрация сельского поселения Верхнеказымский</t>
  </si>
  <si>
    <t xml:space="preserve"> неоплачиваемые работы, оборудование и др.</t>
  </si>
  <si>
    <t>https://www.gks.ru/scripts/db_inet2/passport/table.aspx?opt=718114062020</t>
  </si>
  <si>
    <t>http://vkazym.ru/admininstration-actions/budget/initiative_budgeting/?ELEMENT_ID=65155#tabs-container3</t>
  </si>
  <si>
    <t>http://vkazym.ru/admininstration-actions/budget/initiative_budgeting/#tabs-container4</t>
  </si>
  <si>
    <t>Объявления о проведении собрания  в общественных местах сельского поселения, местах массового нахождения людей</t>
  </si>
  <si>
    <t xml:space="preserve">сельское поселение Казым Белоярского муниципального района </t>
  </si>
  <si>
    <t xml:space="preserve">постановление администрации сельского поселения Казым  от 26 октября 2017 года  № 114
О реализации проектов инициативного бюджетирования в сельском поселении Казым"
</t>
  </si>
  <si>
    <t>http://admkazym.ru/local-control/administtion/budget/proactive/#tabs-container1</t>
  </si>
  <si>
    <t>Администрация сельского поселения Казым</t>
  </si>
  <si>
    <t>https://www.gks.ru/scripts/db_inet2/passport/table.aspx?opt=718114102020</t>
  </si>
  <si>
    <t>протокол собрания граждан сельского поселения Казым</t>
  </si>
  <si>
    <t>http://admkazym.ru/local-control/administtion/budget/proactive/#tabs-container2</t>
  </si>
  <si>
    <t xml:space="preserve">сельское поселение Лыхма Белоярского муниципального района </t>
  </si>
  <si>
    <t>постановление администрации сельского поселения Лыхма от 24 октября 2020 года № 104 "О реализации проектов инициативного бюджетирования в сельском поселении Лыхма"</t>
  </si>
  <si>
    <t>http://admlyhma.ru/admininstration-actions/budget/proactive/#tabs-container1</t>
  </si>
  <si>
    <t>Администрация сельского поселения Лыхма</t>
  </si>
  <si>
    <t>https://www.gks.ru/scripts/db_inet2/passport/table.aspx?opt=718114122020</t>
  </si>
  <si>
    <t>http://admlyhma.ru/admininstration-actions/budget/proactive/?attempt=1#tabs-container5</t>
  </si>
  <si>
    <t>http://admlyhma.ru/admininstration-actions/budget/proactive/#tabs-container2</t>
  </si>
  <si>
    <t xml:space="preserve">сельское поселение Сорум Белоярского муниципального района </t>
  </si>
  <si>
    <t xml:space="preserve">постановление администрации сельского поселения Сорум от 01 ноября 2017 года                              № 127 "О реализации проектов инициативного бюджетирования в сельском поселении Сорум"
</t>
  </si>
  <si>
    <t>http://admsorum.ru/admininstration-actions/budget/proactive/#tabs-container2</t>
  </si>
  <si>
    <t>Администрация сельского поселения Сорум</t>
  </si>
  <si>
    <t>https://www.gks.ru/scripts/db_inet2/passport/table.aspx?opt=718114202020</t>
  </si>
  <si>
    <t>http://admsorum.ru/admininstration-actions/budget/proactive/?ELEMENT_ID=55867</t>
  </si>
  <si>
    <t xml:space="preserve">сельское поселение Сосновка Белоярского муниципального района </t>
  </si>
  <si>
    <t xml:space="preserve">Постановление администрации сельского поселения Сосновка №112 от 25.10.2017
О реализации проектов инициативного бюджетирования в сельском поселении Сосновка
</t>
  </si>
  <si>
    <t>http://адмсосновка.рф/local-control/administtion/budget/proactive/?ELEMENT_ID=49863</t>
  </si>
  <si>
    <t>https://www.gks.ru/scripts/db_inet2/passport/table.aspx?opt=718114192020</t>
  </si>
  <si>
    <t>Администрация сельского поселения Сосновка</t>
  </si>
  <si>
    <t>анкеты</t>
  </si>
  <si>
    <t>протокол собрания граждан сельского поселения Сосновка</t>
  </si>
  <si>
    <t>http://адмсосновка.рф/local-control/administtion/budget/proactive/?ELEMENT_ID=50102</t>
  </si>
  <si>
    <t xml:space="preserve">сельское поселение Полноват Белоярского муниципального района </t>
  </si>
  <si>
    <t>Постановление администрации Белоярского района от 25  октября 2017 года №117 "О реализации проектов инициативного бюджетирования в сельском поселении Полноват"</t>
  </si>
  <si>
    <t>Администроация сельского поселения Полноват</t>
  </si>
  <si>
    <t>Администрация сельского поселения Полноват</t>
  </si>
  <si>
    <t>неоплачиваемые работы, оборудование и др.</t>
  </si>
  <si>
    <t>https://www.gks.ru/scripts/db_inet2/passport/table.aspx?opt=718114152020</t>
  </si>
  <si>
    <t>https://polnovat.ru/2018/02/8151/</t>
  </si>
  <si>
    <t>город Магнитогорск</t>
  </si>
  <si>
    <t>Проект по партисипаторному бюджетированию "Я планирую бюджет"</t>
  </si>
  <si>
    <t>Постановление администрации города Магнитогорска от 08.04.2016 № 4081-П "Об утверждении Положения о проекте по партисипаторному бюджетированию "Я планирую бюджет"</t>
  </si>
  <si>
    <t>https://www.magnitogorsk.ru/storage/app/uploads/public/5e3/2c2/3a5/5e32c23a5c522990153951.docx</t>
  </si>
  <si>
    <t>Управление финансов администрации города</t>
  </si>
  <si>
    <t>Администрация города Магнитогорска</t>
  </si>
  <si>
    <t>Субсидии на иные цели</t>
  </si>
  <si>
    <t>Управление образования города Магнитогорска</t>
  </si>
  <si>
    <t>Благополучателями являюся дети, в возрасте от 3 до 18 лет, а также жители микраройна, проживающие в Орджоникидзевском районе города Магнитогорска, на территории которого расположена средняя общеобразовательная школа</t>
  </si>
  <si>
    <t>https://www.magnitogorsk.ru/content/ekonomika-i-finansy/upravlenie-ekonomiki-i-investitsiy/glavnaya-8/ekonomika-goroda/sotsialno-ekonomicheskie-pokazateli-goroda/magnitogorsk-v-tsifrakh</t>
  </si>
  <si>
    <t xml:space="preserve">В рамках проекта "Я планирую бюджет для жителей города Магнитогорска  существует 2 вида подачи Анкет-инициатив и Заявок на участие в проекте: электронный и письменный. При подаче в электронном виде на официальном сайте администрации г. Магнитогорска на информационном портале "Бюджет для граждан" на вкладке "Я планирую бюджет" заполняются электронные формы "Анкета- инциатива" и  "Заявка на участие", на которые также можно выйти с главной страницы сайта через баннер "Я планирую бюджет". Электронные формы переадресовываются на почтовый ящик электронной почты секретаря рабочей группы по реализации проекта по ПБ «ЯПБ», который ведет учет и формирует списки Инициатив и участников проекта.  В случае выбора письменного варианта Анкеты-инициативы и Заявки на участие принимаются через пресс-центр администрации города, затем также поступают для регистрации секретарю рабочей группы администрации города. В 2019 году все формы поданы в электронном виде. Ссылки на вкладке "Я планирую бюджет": 
Заявка на участие  - http://budget.magnitogorsk.ru/Feedback/Index?MenuItemId=113; 
Анкета-инициатива - http://budget.magnitogorsk.ru/Feedback/Index?MenuItemId=112                             </t>
  </si>
  <si>
    <t>В рамках проекта "Я планирую бюджет" проводились заседания выбранной открытой жеребьевкой Инициативной комиссии, протоколы заседаний размещены на вкладке "Я планирую бюджет". Ссылка за 2019 год:   http://budget.magnitogorsk.ru/Show/Content/29?ParentItemId=111</t>
  </si>
  <si>
    <t>"Подача инициатив и заявок на участие" реализуется на портале "Бюджет для граждан",  механизм представлен в пункте 13.6 таблицы.</t>
  </si>
  <si>
    <t>Проект "Я планирую бюджет" Ссылка:  http://budget.magnitogorsk.ru/Menu/Presentation/110?ItemId=110</t>
  </si>
  <si>
    <t>http://budget.magnitogorsk.ru/Show/Category/2?ItemId=111</t>
  </si>
  <si>
    <t>В 2019 году в рекламной кампании проекта "Я планирую бюджет" был задействован официальный сайт администрации города, ссылка: https://www.magnitogorsk.ru/news/v-magnitke-startuet-proekt-participatornyj-byudzhet , официальный сайт Магнитогорского городского Собрания депутатов, ссылка:  http://magnitka.org/%D0%B3%D0%BE%D1%80%D0%BE%D0%B4-%D0%B6%D0%B4%D0%B5%D1%82-%D0%B2%D0%B0%D1%88%D0%B8-%D0%B8%D0%BD%D0%B8%D1%86%D0%B8%D0%B0%D1%82%D0%B8%D0%B2%D1%8B.html, а также средства массовой информации, ссылка:  https://www.mr-info.ru/62447-shans-realno-izmenit-gorod-iz-byudzheta-magnitogorska-vydelyat-dengi-na-proekt-ot-zhiteley.html</t>
  </si>
  <si>
    <t>город Чебоксары</t>
  </si>
  <si>
    <t>Реализация инициативного бюджетирования в городе Чебоксары</t>
  </si>
  <si>
    <t>Постановление администрации г.Чебоксары от 09.02.2018 № 201 "О реализации инициативного бюджетирования в городе Чебоксары"</t>
  </si>
  <si>
    <t>http://gcheb.cap.ru/doc/laws/2018/02/09/postanovlenie201
http://gcheb.cap.ru/doc/laws/2019/06/26/ruling-1451
http://gcheb.cap.ru/doc/laws/2019/09/23/ruling-2305</t>
  </si>
  <si>
    <t>Администрация города Чебоксары</t>
  </si>
  <si>
    <t>Управление ЖКХ,энергетики,транспорта и связи администрации города Чебоксары</t>
  </si>
  <si>
    <t>юридические лица</t>
  </si>
  <si>
    <t>протокол собрания жильцов</t>
  </si>
  <si>
    <t xml:space="preserve">http://gov.cap.ru/SiteMap.aspx?gov_id=916&amp;id=2735344&amp;title=Iniciativnoe_byudzhetirovanie_v_g._Cheboksari </t>
  </si>
  <si>
    <t>работа с товариществами собственников жилья и управляющими компаниями</t>
  </si>
  <si>
    <t>Не проводились</t>
  </si>
  <si>
    <t>городской округ Певек</t>
  </si>
  <si>
    <t>Проект "Народный бюджет" в городском округе Певек</t>
  </si>
  <si>
    <t>1 июня 2020 года</t>
  </si>
  <si>
    <t>Положение о проекте «Народный бюджет» в городском округе Певек (утверждено Постановлением Администрации городского округа Певек от 29.07.2020 № 530)</t>
  </si>
  <si>
    <t>https://go-pevek.ru/меню/народный-бюджет/нпа-к-проекту-народный-бюджет</t>
  </si>
  <si>
    <t>Администрация городского округа Певек</t>
  </si>
  <si>
    <t>Физические лица - инициаторы проектов</t>
  </si>
  <si>
    <t>Данный проект с 2021 года завершил реализацию в связи с утверждением Порядка реализации инициативных проектов на территории городского округа Певек (решение Совета депутатов городского округа Певекот 13.11.2020 № 25-РС)</t>
  </si>
  <si>
    <t xml:space="preserve">Данные статистики о численности населения </t>
  </si>
  <si>
    <t>1) Сбор анкет от граждан; 
2) Результаты опубликованы  в газете "Полярная звезда" (от 25.10.20219 № 42 (8287)); 
3) Опубликование результатов на сайте https://go-pevek.ru/все-новости/определена-общественная-территория-г-певека-для-участия-во-всероссийском-конкурсе-лучших-проектов-создания-комфортной-городской-среды;
4) Информация о результатах на Радио "Пурга"</t>
  </si>
  <si>
    <t>1) Результаты опубликованы  в газете "Полярная звезда" (от 13.12.2019 № 49 (8294)); 
2) Опубликование результатов на сайте https://go-pevek.ru/все-новости/очередной-этап-участия-во-всероссийском-конкурсе-лучших-проектов-создания-комфортной-городской-среды-малые-города-и-исторические-поселения-завершился-в-певеке</t>
  </si>
  <si>
    <t>Фотофиксация, результаты опубликованы в газете "Полярная звезда"</t>
  </si>
  <si>
    <t>Результаты опубликованы в газете "Полярная звезда"</t>
  </si>
  <si>
    <t>Онлайн-опрос на сайте городского округа Певек в социальной сети "ВКОНТАКТЕ"</t>
  </si>
  <si>
    <t>Протокол заседания обещственной комиссии</t>
  </si>
  <si>
    <t>https://go-pevek.ru/меню/городская-среда</t>
  </si>
  <si>
    <t xml:space="preserve">Информация размещалась в социальных сетях, на радио "Пурга", официальном сайте городского округа Певек, на новостном портале PROCHUKOTKA.RU, в официальной группе Администрации городского округа Певек в социальной сети «Вконтакте», размещение информации о проведении голосования на квитанциях об оплате коммунальных услуг, подготовка и распространение плакатов «Какими будут общественные пространства Певека?», распространение информации и бюллетеней с участием активистов молодежного общественного движения «Волонтеры Чаун – Чукотки» </t>
  </si>
  <si>
    <t>Подготовка и распространение плакатов «Какими будут общественные пространства Певека?»</t>
  </si>
  <si>
    <t>Обучающие мероприятия по инициативному бюджетированию не проводились</t>
  </si>
  <si>
    <t>город Салехард</t>
  </si>
  <si>
    <t>"Бюджетная инициатива ("Уютный Ямал")"</t>
  </si>
  <si>
    <t xml:space="preserve">Постановление Администрации МО город Салехард от 29.01.2020 N 210 "О реализации на территории муниципального образования город Салехард проекта "Бюджетная инициатива граждан" ("Уютный Ямал")"
</t>
  </si>
  <si>
    <t>https://www.salekhard.org/normativno-pravovye-akty/postanovleniya-administratsii/18333/                                                          https://docs.cntd.ru/document/561701850</t>
  </si>
  <si>
    <t>Департамент финансов Администрации город Салехард</t>
  </si>
  <si>
    <t>Департамент строительства, архитектуры и земельных отношений Администрации муниципального образования город Салехард, Управление транспорта и городского хозяйства Администрации муниципального образования город Салехард, Департамент образования Администрации муниципального образования город Салехард</t>
  </si>
  <si>
    <t>В форме бюджетных ассигнований казенным учреждениям для реализации мероприятий в рамках проекта "Бюджетная инициатива" ("Уютный Ямал")"</t>
  </si>
  <si>
    <t>Муниципальное автономное образовательное учреждение "Средняя образовательная школа №1"; муниципальное бюджетное образовательное учреждение "Средняя образовательная школа №2"; муниципальное бюджетное образовательное учреждение "Средняя образовательная школа №3"; муниципальное бюджетное образовательное учреждение "Средняя образовательная школа №4"; муниципальное бюджетное образовательное учреждение "Средняя образовательная школа №6"; муниципальное автономное образовательное учреждение "Обдорская гимназия"; муниципальное казенное учреждение "Единая дежурно-диспетчерская служба города Салехарда", муниципальное казенное учреждение "Управление капитального строительства"</t>
  </si>
  <si>
    <t>Трудовое участие - уборка мусора, благоустройство территории помещений, предназначенных для временного проживания бездомных людей и людей, оказавшихся в трудной жизненной ситуации</t>
  </si>
  <si>
    <t>Информация предоставляется инициаторами в заявках на участие в конкурсном отборе: жители многоквартирных домов, проживающих вблизи устройства детской площадки; жители микрорайона Удача; учащиеся школ города</t>
  </si>
  <si>
    <t>https://www.gks.ru/dbscripts/munst/munst71/DBInet.cgi#1</t>
  </si>
  <si>
    <t>проектный офис "Уютный Ямал", без финансирования</t>
  </si>
  <si>
    <t>https://df.salekhard.org/byudzhetnaya-initsiativa-grazhdan/2020/contest1.php</t>
  </si>
  <si>
    <t>https://xn--80adblbabq1bk1bi8r.xn--p1ai/votings/1297                                    https://xn--80adblbabq1bk1bi8r.xn--p1ai/votings/1295</t>
  </si>
  <si>
    <t>https://www.salekhard.org/about/info/news/16393/</t>
  </si>
  <si>
    <t xml:space="preserve">Обсуждение местных инициатив осуществляется в форме опроса на информационном ресурсе «Живем на Севере» (живемнасевере.рф) </t>
  </si>
  <si>
    <t>https://df.salekhard.org/byudzhetnaya-initsiativa-grazhdan/</t>
  </si>
  <si>
    <t>https://vk.com/wall-118907081_5053                                                            http://sh2.edushd.ru/partisipatornoe-byudzhetirovanie/index.php                              https://xn--c1av.xn--80aze9d.xn--p1ai/activity/10902/                                           http://www.shd3school.ru/partisipatornoe-byudzhetirovaniehttps://salekhard.org/upload/iblock/3bf/3bfd94a62992ad9f4fd6cb470a9ab37b.png                                                                                  http://4school-shd.ru/sveden/partisipatornoe-byudzhetirovanie                                                                      http://sh6.edushd.ru/zavershilos-golosovanie-za-luchshij-shkolnyj-proekt-v-ramkah-shkolnogo-partisipatornogo-bjudzhetirovanija/</t>
  </si>
  <si>
    <t xml:space="preserve">https://df.salekhard.org/upload/medialibrary/db2/%D1%83%D1%8E%D1%82%D0%BD%D1%8B%D0%B9%20%D1%8F%D0%BC%D0%B0%D0%BB.png                  </t>
  </si>
  <si>
    <t>Объявления о начале приема заявок от инициаторов на участие в конкурсном отборе местных инициатив размещаются на официальном сайте муниципального образования salekhard.org в разделе "Новости", а также в соцсетях: одноклассники.ру, вконтакте, инстаграмм.</t>
  </si>
  <si>
    <t xml:space="preserve">Воздушные шарики, флажки, плакаты, брошюры, ручки </t>
  </si>
  <si>
    <t>Обучающее мероприятие для главных распорядителям бюджетных средств, а также помощь в организации соответствующих мероприятий.</t>
  </si>
  <si>
    <t>город Лабытнанги</t>
  </si>
  <si>
    <t>Поддержка местных инициатив, инициативное бюджетирование</t>
  </si>
  <si>
    <t>Постановление Администрации города Лабытнанги от 10.05.2018 № 519 "Об инициативном бюджетировании в муниципальном образовании город Лабытнанги" (до 31.12.2020); Решение Городской Думы города Лабытнанги от 14.10.2020 № 135 "Об утверждении Положения о реализации инициативных проектов в муниципальном образовании город Лабытнанги" (с 01.01.2021)</t>
  </si>
  <si>
    <t>https://lbt.yanao.ru/documents/active/4802/                                                                   https://lbt.yanao.ru/documents/active/83650/</t>
  </si>
  <si>
    <t>Управление внутренней политики Администрации города Лабытнанги</t>
  </si>
  <si>
    <t>Муниципальное учреждение "Управление жилищно-коммунального хозяйства и транспорта Администрации города Лабытнанги", муниципальное учреждение "Управление культуры Администарции города Лабытнанги", муниципальное учреждение "Управление образования Администарции города Лабытнанги" (в части реализации проектов школьного партисипаторного бюджетирования)</t>
  </si>
  <si>
    <t>Субсидии на возмещение недополученных доходов и (или) возмещение фактически понесенных затрат в связи с производством (реализацией) товаров, выполнением работ, оказанием услуг.
Субсидии бюджетныи и автономным учреждениям на иные цели</t>
  </si>
  <si>
    <t>Муниципальное учреждение "Дирекция по обеспечению деятельности в сфере жилищно-коммунального хозяйства", муниципальное автономное учреждение культуры "Городской краеведческий музей"</t>
  </si>
  <si>
    <t>регулируется договором с лицом осуществляющим, нефинансовый вклад</t>
  </si>
  <si>
    <t>https://www.gks.ru/scripts/db_inet2/passport/table.aspx?opt=719530002020</t>
  </si>
  <si>
    <t>Проектный офис (Управление внутренней политики Администрации города Лабытнанги)</t>
  </si>
  <si>
    <t>Средства местного бюджета муниципального образования</t>
  </si>
  <si>
    <t>Очное голосование на счетных учатках в Единый День Голосования (заполнение бюллетеня голосования).                                                          Голосование на информационном портале "Живём на Севере"</t>
  </si>
  <si>
    <t>Протокол собрания граждан (инициативной группы)</t>
  </si>
  <si>
    <t>Заявки и идеи предложенные гаражанами собраны волонтерами и переданы в проектный офис при Администарции города Лабытнанги</t>
  </si>
  <si>
    <t>Информационный портал "Живём на Севере" - Предлагай!</t>
  </si>
  <si>
    <t>Голосование на информационном портале "Живём на Севере"</t>
  </si>
  <si>
    <t xml:space="preserve">Очное голосование на счетных участках в Единый День Голосования (заполнение бюллетеня голосования) - посчет голосов.  </t>
  </si>
  <si>
    <t>Протокол заседания комиссии по конкурсному отбору проектов инициативного бюджетирования</t>
  </si>
  <si>
    <t>https://lbt.yanao.ru/activity/730/</t>
  </si>
  <si>
    <t>https://lbt.yanao.ru/activity/730/
https://vk.com/lbttv
https://vk.com/lbt_yanao_ru
https://vk.com/uyt_yamal
https://vk.com/uolbt</t>
  </si>
  <si>
    <t>https://lbt.yanao.ru/presscenter/news/10190/</t>
  </si>
  <si>
    <t>https://lbt.yanao.ru/activity/730/?nav-projects=page-1</t>
  </si>
  <si>
    <t>Обучающие семинары и тренинговые мероприятия для учащихся общеоразовательных организаций муниципального образования</t>
  </si>
  <si>
    <t>город Новый Уренгой</t>
  </si>
  <si>
    <t xml:space="preserve">Проект инициативного бюджетирования "Народный бюджет" </t>
  </si>
  <si>
    <t>Постановление Администрации города Новый Уренгой от 23.11.2018 № 444  "Об утверждении Положения о реализации проекта инициативного бюджетирования "Народный бюджет"</t>
  </si>
  <si>
    <t>http://www.newurengoy.ru/pages/narodnybudzet.html</t>
  </si>
  <si>
    <t>Департамент внутренней политики</t>
  </si>
  <si>
    <t>Департамент городского хозяйства Администрации города, Департамент образования</t>
  </si>
  <si>
    <t>ассигнования на закупки товаров, работ, услуг, субсидии (ШПБ)</t>
  </si>
  <si>
    <t>Управление муниципальногшо хозяйства, общеобразовательные учреждения</t>
  </si>
  <si>
    <t>работы выполнялись в обособленном районе города Новый Уренгой - р-на Лимбяяха</t>
  </si>
  <si>
    <t>Тюменьстат</t>
  </si>
  <si>
    <t>офис общественных инициатив</t>
  </si>
  <si>
    <t>регистрация</t>
  </si>
  <si>
    <t>регистрация, ведение реестра</t>
  </si>
  <si>
    <t>электронный</t>
  </si>
  <si>
    <t>ведение реестра</t>
  </si>
  <si>
    <t xml:space="preserve">портал Живем на Севере </t>
  </si>
  <si>
    <t>https://xn--80adblbabq1bk1bi8r.xn--p1ai/</t>
  </si>
  <si>
    <t>Официальный сайт муниципального образования город Новый Уренгой (http://www.newurengoy.ru/), официальная группа Администрации города в Вконтакте, Instagram</t>
  </si>
  <si>
    <t>телевидение ООО "Имульс" (новости, сюжеты) (https://www.tv-impulse.ru/news/subjects/city-life/novourengojczy-obsudili-inicziativy-postupivshie-v-ramkah-proekta-uyutnyj-yamal/
https://www.tv-impulse.ru/tema/telecasts/journalistic-telecasts/novyj-urengoj-45-pryamoj-efir-vypusk-ot-27-avgusta-2020-g-uyutnyj-yamal/
https://www.tv-impulse.ru/news/subjects/history/v-ramkah-proekta-uyutnyj-yamal-v-limbyayahe-otkryli-monument-geroyam-velikoj-otechestvennoj-vojny/), в ВКонтакте, Instagram. На улицах города были размещены баннеры</t>
  </si>
  <si>
    <t>семинары, круглый стол</t>
  </si>
  <si>
    <t>город Ноябрьск</t>
  </si>
  <si>
    <t>Развитие инициатив на территрии муниципалитета</t>
  </si>
  <si>
    <t>РИТМ</t>
  </si>
  <si>
    <t>Постановление Админстрации города Ноябрьска "Об утверждении Положения о проекте "Развитие инициатив на территории муниципалитета" от 22.05.2019 №П-373</t>
  </si>
  <si>
    <t>http://budget.depfinnbr.ru/initsiativnoe-byudzhetirovanie/proekt-ritm</t>
  </si>
  <si>
    <t>департамент финансов Администрации города Ноябрьска</t>
  </si>
  <si>
    <t>Управление жилищно-коммунального хозяйства, транспорта, энергетики и связи</t>
  </si>
  <si>
    <t>бюджетные назначения на реализацию проектов инициативного бюджетирования</t>
  </si>
  <si>
    <t>Управление жилищно-коммунального хозяйства, транспорта, энергетики и связи, образовательные учреждения</t>
  </si>
  <si>
    <t xml:space="preserve">да   </t>
  </si>
  <si>
    <t>https://tumstat.gks.ru/ofstat_ynao</t>
  </si>
  <si>
    <t>перепись</t>
  </si>
  <si>
    <t>https://vk.com/public183473795?z=photo-126323035_457253760%2Fwall-183473795_24</t>
  </si>
  <si>
    <t>https://vk.com/public183473795?z=photo-183473795_457239168%2Fwall-183473795_102</t>
  </si>
  <si>
    <t>https://живёмнасевере.рф/</t>
  </si>
  <si>
    <t>https://vk.com/public183473795 Публикация от 01.11.2019</t>
  </si>
  <si>
    <t>Возможность подачи инициатив для последующей модерации, а также голосование на сайте  https://живёмнасевере.рф/</t>
  </si>
  <si>
    <t>http://budget.depfinnbr.ru/initsiativnoe-byudzhetirovanie/proekt-ritm http://admnoyabrsk.ru/obshchestvo/ritm https://vk.com/depfinnbr</t>
  </si>
  <si>
    <t xml:space="preserve">На первом этапе вовлечения населения в проект, мы приняли решение использовать волонтерское движение в нашем городе, подготовили брошюры,  которые волонтеры раздавали людям при любой возможности рассказать о проекте. Помимо раздаточного материала, был забрендирован автобус, который работает на городских маршрутах и призван обеспечить устойчивое восприятие проекта.  Отдельным событием стало открытие проектного офиса. Для достижения максимальных результатов проводились рабочие встречи с каждым инициатором или инициативной группой.  Для охвата всех возможных групп населения мы используем местное телевидения, участвуем в прямых эфирах, где любой житель может задать вопросы и получить ответы, даем комментарии, участвуем в записях тематических программ. Не упускаем возможность выступлений на местной радостанции. Также проектный офис РИТМ участвует на всех городских мероприятиях, работает на стационарных площадках, мы раздаем буклеты, освещаем этапы проектов, приглашаем в проектный офис, обмениваемся телефонами с заинтересовавшимися гражданами и стараемся максимально привлечь внимание к возможности реализовать свои идеи.  Ссылка: https://vk.com/depfinnbr публикация от 27.05.2019, http://budget.depfinnbr.ru/initsiativnoe-byudzhetirovanie/proekt-ritm, https://vk.com/public183473795 Публикация от 01.03.2020, 28.08.2020, 31.08.2020, 01.05.2020 </t>
  </si>
  <si>
    <t xml:space="preserve">Буклеты, банеры, брендированный автобус, брендированные пакеты для упаковки, сувенирная атрибутика, брелоки, шейные платки, брендированная одежда волонтеров и т.д. https://vk.com/public183473795 </t>
  </si>
  <si>
    <t>тренинг</t>
  </si>
  <si>
    <t>город Муравленко</t>
  </si>
  <si>
    <t>Постановление Администрации города Муравленко от 23.04.2018 года №256 "О реализации проекта "Бюджетная инициатива граждан" на территории города Муравленко"   Постановление Администрации города Муравленко от 29 декабря 2018 года № 916 "О внесении изменений в приложения №№ 1-3, утвержденные постановлением Администрации города Муравленко от 23.04.2018 № 256"</t>
  </si>
  <si>
    <t>Администрация города Муравленко, отдел информации и общественных связей</t>
  </si>
  <si>
    <t>Управление жилищно-коммунального хозяйства Администрации города Муравленко, Управление культуры и молодежной политики Администрации города Муравленко,  Управление физической культуры и спорта Администрации города Муравленко, Управление образования Администрации города Муравленко.</t>
  </si>
  <si>
    <t>Безвозмездные перечисления некоммерческим организациям и физическим лицам - производителям товаров, работ и услуг,  Субсидии бюджетным учреждениям на иные цели</t>
  </si>
  <si>
    <t>Муниципальные учреждения</t>
  </si>
  <si>
    <t>благополучателями проектов, профинансированных в 2020 году,являются в целом все жители города Муравленко</t>
  </si>
  <si>
    <t>Уютный Ямал</t>
  </si>
  <si>
    <t>не требует финансирования</t>
  </si>
  <si>
    <t>Сбор проектных идей проводился в форме опросов (скрины проведения опросов в социальных сетях, на платформе "Живём на Севере"), а также в форме  сбора подписей (подписные листы)</t>
  </si>
  <si>
    <t>Протоколы очных встреч и обсуждений</t>
  </si>
  <si>
    <t>не применимо</t>
  </si>
  <si>
    <t>подача идей осуществляется черзе портал "Живём на Севере"</t>
  </si>
  <si>
    <t>подача идей осуществлялась через офис общественных инициатив</t>
  </si>
  <si>
    <t>в рамках отбора инициатив проекта "Бюджетная инициатива граждан" ("Уютный Ямал") использовалась процедура голосования жителей города на платформе "Живём на Севере"</t>
  </si>
  <si>
    <t>голосование за инициативы осуществлялось также в очном формате, в рамах работы точек для голосования, с привлечением волонтёров</t>
  </si>
  <si>
    <t>Протоколы заседаний конкурсной комиссии по отбору местных инициатив в рамках проекта «Бюджетная инициатива граждан» на территории города Муравленко, протоколы заседания офиса общественных инициатив «Уютный Ямал»
муниципального образования город Муравленко, в состав данных комиссий входят как представители власти, так и представители городского гражданского сообщества</t>
  </si>
  <si>
    <t>В рамках реализации проекта инициативного бюджетирования "Уютный Ямал" инициаторами посредством портала "Живём на Севере" были поданы проектные идеи, также на данном ресурсе было организовано голосование населения за проектные идеи</t>
  </si>
  <si>
    <t>http://muravlenko.yanao.ru/ekonomika-i-zhkh/municipalnye-finansy/bjudzhetnaya-iniciativa-grazhdan/</t>
  </si>
  <si>
    <t>http://www.muravlenko24.ru/   https://vk.com/muravlenko24   https://ru-ru.facebook.com/MURAVLENKO24/   https://www.youtube.com/user/MuravlenkoTV/videos?app=desktop&amp;view=0&amp;sort=dd&amp;shelf_id=1</t>
  </si>
  <si>
    <t xml:space="preserve">В 2020 году МАУ "Муравленко Медиа" на всех медиаплощадках (теле и радиоэфир, газета "Наш город", городское уличное телевидение, официальные паблики в социальных сетях, канал youtub.com) осуществлялась рекламная кампания практик инициативного бюджетирования. Всего за 2020 год вышло 115 информационных материалов.        </t>
  </si>
  <si>
    <t>В ходе реализации мероприятий по информационному сопровождению механизмов инициативного бюджетирования использовались следующие виды материалов и инфографики: информационные видеоролики, роллапы, раздаточные материалы с логотипом инициативного бюджетирования (ежедневники, флеш-накопители, блокноты, ручки, футболки и свитшоты).</t>
  </si>
  <si>
    <t>Губкинский</t>
  </si>
  <si>
    <t xml:space="preserve"> «Бюджетная инициатива граждан» («Уютный Ямал»)</t>
  </si>
  <si>
    <t>«Уютный Ямал»</t>
  </si>
  <si>
    <t xml:space="preserve">Постановление Администрации города Губкинского от 03.06.2019 № 858 "О реализации на территории муниципального образования город Губкинский проекта "Бюджетная инициатива граждан" </t>
  </si>
  <si>
    <t>http://old.gubadm.ru/documents/04oficdoc/2020/grafik19-20.docx</t>
  </si>
  <si>
    <t>Администрация города Губкинский</t>
  </si>
  <si>
    <t>Администрация города Губкинский, Управление образования г. Губкинского, Управление культуры г. Губкинского.</t>
  </si>
  <si>
    <t>сметное финансирование, субсидии</t>
  </si>
  <si>
    <t>общеобразовательные организации, МБУ "ЦКС" г. Губкинского, МКУ "УОС</t>
  </si>
  <si>
    <t>планировка территории ручным способом</t>
  </si>
  <si>
    <t>Все жители города, так как инициативы затрагивают все возврастные слои населения</t>
  </si>
  <si>
    <t>Проектный офис "Уютный Ямал" г. Губкинский, мкрн. 3, д. 4</t>
  </si>
  <si>
    <t>проводились рабочие встечи с инициативными группами</t>
  </si>
  <si>
    <t>не участках для голосования</t>
  </si>
  <si>
    <t>Заседание проектного офиса</t>
  </si>
  <si>
    <t xml:space="preserve">Балльная шкала оценки инициатив согласно Постановлению Администрации города от 03.06.2019 № 858 «О реализации на территории муниципального образования город Губкинский проекта «Бюджетная инициатива граждан»
</t>
  </si>
  <si>
    <t xml:space="preserve">https://www.instagram.com/p/Bys2Ccbn08d/
https://vektor-tv.ru/news/8090/?sphrase_id=8972
https://vk.com/wall-81916513?q=%D1%83%D1%8E%D1%82%D0%BD%D1%8B%D0%B9&amp;w=wall-81916513_10990
https://www.instagram.com/p/By-RVYqH6WY/?igshid=42fre91zdbcx
https://vektor-tv.ru/news/8148/?sphrase_id=8972
https://vk.com/wall-81916513?q=%D1%83%D1%8E%D1%82%D0%BD%D1%8B%D0%B9&amp;w=wall-81916513_11081
https://vektor-tv.ru/news/8236/?sphrase_id=9019
https://vk.com/wall-81916513?q=%D1%83%D1%8E%D1%82%D0%BD%D1%8B%D0%B9&amp;w=wall-81916513_11221
https://ok.ru/gubkins/topic/69834208996262
https://www.instagram.com/tv/BzyAVfhHtbG/?igshid=1blt4hafho2zi
https://vektor-tv.ru/news/8418/?sphrase_id=8972
https://vk.com/wall-81916513?q=%D1%83%D1%8E%D1%82%D0%BD%D1%8B%D0%B9&amp;w=wall-81916513_11471
</t>
  </si>
  <si>
    <t>https://живёмнасевере.рф/homely/</t>
  </si>
  <si>
    <t xml:space="preserve">Информирование граждан о возможности принятия участия в проекте инициативного бюджетирования "Уютный Ямал" велось через городские СМИ (МБУ "ГТРК "Вектор"), а также на официальном сайте Администрации города Губкинского и в аккаунтах Администрации города Губкинского и бюджетных организаций города. Был организован проектный офис в ДК "Нефтяник", куда жители города обращались за консультацией о проекте и подавали свои инициативы. 8 сентября 2019 года губкинцы приняли участие в очном голосовании по выбору выдвинутых горожанами проектов, предполагаемые к реализации в 2020 году. Кроме этого, инициативы жители подавали свои идеи, а также голосовали за понравившиеся идеи на портале "Живем на Севере". Информация о поданных в 2019 годах инициативах, а также о реализации поданных инициатив публиковались в СМИ.  https://vk.com/gubadm?z=photo-169928902_457240221%2Fwall-169928902_611    https://vk.com/gubadm?z=photo-169928902_457240441%2Falbum-169928902_00%2Frev    https://vk.com/gubadm?w=wall-169928902_1926%2Fall   https://vk.com/gubadm?z=photo-169928902_457243418%2Fwall-169928902_1911   https://vk.com/gubadm?w=wall-169928902_1851%2Fall  https://vk.com/gubadm?w=wall-169928902_1748%2Fall    https://vk.com/gubadm?w=wall-169928902_1503%2Fall  https://vk.com/gubadm?w=wall-169928902_1473%2Fall  https://vk.com/gubadm?w=wall-169928902_1132%2Fall  https://vk.com/gubadm?w=wall-169928902_1065%2Fall  https://vk.com/gubadm?w=wall-169928902_1052%2Fall  https://vk.com/gubadm?w=wall-169928902_755%2Fall  https://vk.com/gubadm?w=wall-169928902_745%2Fall  https://vk.com/gubadm?w=wall-169928902_726%2Fall  https://vk.com/gubadm?z=photo-169928902_457240441%2Falbum-169928902_00%2Frev   https://vk.com/gubadm?w=wall-169928902_699%2Fall  https://vk.com/gubadm?w=wall-169928902_651%2Fall  https://vk.com/gubadm?w=wall-169928902_611%2Fall  https://vk.com/gubadm?w=wall-169928902_606%2Fall  https://vk.com/gubadm?w=wall-169928902_597%2Fall  https://vk.com/gubadm?w=wall-169928902_573%2Fall  https://vk.com/gubadm?w=wall-169928902_563%2Fall  https://vk.com/gubadm?w=wall-169928902_554%2Fall  https://vk.com/gubadm?w=wall-169928902_531%2Fall   https://vk.com/gubadm?z=photo-169928902_457240221%2Fwall-169928902_611  https://www.gubadm.ru/presscenter/news/16212/  https://www.gubadm.ru/presscenter/news/16498/  https://www.gubadm.ru/presscenter/news/33439/  https://www.gubadm.ru/presscenter/news/33444/  https://www.gubadm.ru/presscenter/news/33653/  https://www.gubadm.ru/presscenter/news/35256/  https://www.gubadm.ru/presscenter/news/35405/  https://www.gubadm.ru/presscenter/news/35410/   </t>
  </si>
  <si>
    <t xml:space="preserve"> На территории города были размещены 7 баннеров (размером 6 м*3 м). На день города волонтеры раздали более 300 буклетов, также была организована фотозона с брендированным арт-объектом. Полиграфическая продукция с информацией о возможности подачи идей была размещена в учреждениях и организациях города, в автобусах и на остановочных комплексах. </t>
  </si>
  <si>
    <t>обучающий тренинг для школьников и организаторов школьных мероприятий, обучение волонтёров</t>
  </si>
  <si>
    <t>Надымский район</t>
  </si>
  <si>
    <t xml:space="preserve">
проект «Бюджетная инициатива граждан»
</t>
  </si>
  <si>
    <t>23 декабря 2020</t>
  </si>
  <si>
    <t>Постановление Администрации муниципального образования Надымский район от 28.02.2020 №97 "О реализации на территориях муниципального образования 
Надымский район, муниципального образования город Надым 
проекта «Бюджетная инициатива граждан»"</t>
  </si>
  <si>
    <t>http://nadymregion.ru/upload/Постановление%2097.docx</t>
  </si>
  <si>
    <t>Администрация муниципального образования Надымский район</t>
  </si>
  <si>
    <t>Департамент муниципального имущества Администрации мо Надымский район, Управление культуры Администрации Надымского района, Управление по физической культуре и спорту Администрации Надымского района</t>
  </si>
  <si>
    <t>Население города Надыма</t>
  </si>
  <si>
    <t>https://tumstat.gks.ru</t>
  </si>
  <si>
    <t>проектный офис в Администрации мо Надымский район</t>
  </si>
  <si>
    <t>Информационный ресурс "Живем на Севере"</t>
  </si>
  <si>
    <t xml:space="preserve">Регистрация заявок специалистом проектного офиса </t>
  </si>
  <si>
    <t>протокол конкурсной комиссии</t>
  </si>
  <si>
    <t>http://nadymregion.ru/local-government/administration/byudzhetnaya-initsiativa-grazhdan.php</t>
  </si>
  <si>
    <t>Публикации в официальной группе администрации в социальной сети «ВКонтакте»
https://vk.com/nadymregion?w=wall-55811535_85001%2Fall 
https://vk.com/nadymregion?w=wall-55811535_85022%2Fall
https://vk.com/nadymregion?w=wall-55811535_87416%2Fall
В группе МАУ «ТРК Надым»:
https://vk.com/trknadym?w=wall-110867370_19652
https://vk.com/trknadym?w=wall-110867370_19669
https://vk.com/trknadym?w=wall-110867370_23800
МАУ «Редакция газеты «Рабочий Надыма»:
https://vk.com/nadym_worker?w=wall-60581194_23254
https://vk.com/nadym_worker?w=wall-60581194_23770
https://vk.com/nadym_worker?w=wall-60581194_24329
Аналогичные новости были размещены на сайтах учреждений, в социальных сетях «Одноклассники», «Facebook» и «Instagram».</t>
  </si>
  <si>
    <t>Размещалась информация на официальном сайте Администрации мо Надымский район, а также в социальных сетях</t>
  </si>
  <si>
    <t>город Надым</t>
  </si>
  <si>
    <t>не финансировался</t>
  </si>
  <si>
    <t>муниципальное образование поселок Заполярный</t>
  </si>
  <si>
    <t>"Бюджетная инициатива граждан"</t>
  </si>
  <si>
    <t>Постановление Администрации муницпального образования поселок Заполярный от 6 августа 2018 года № 112 "Об утверждении Порядка проведения конкурсного отбора проектов местных инициатив граждан по вопросам местного значения муниципального образования поселок Заполярный"</t>
  </si>
  <si>
    <t>Утратило силу Постановлением Администрации Надымского района от 17.03.2021 №190-пк (С сайта удалено)</t>
  </si>
  <si>
    <t>Администрация муниципального образования поселок Заполярный</t>
  </si>
  <si>
    <t>включает выполнение работ по установке (монтажу) объекта балгоустройства, декоративной арки «Я люблю Заполярный»</t>
  </si>
  <si>
    <t>протокол от 03.02.2020 № 1</t>
  </si>
  <si>
    <t>https://zapolyarny-adm.yanao.ru/byudzhetnaya-iniciativa-grazhdan.html</t>
  </si>
  <si>
    <t>муниципальное образование поселок Ягельный</t>
  </si>
  <si>
    <t>Постановление Администрации муниципального образования поселок Ягельный от 10.08.2018 № 85 «О конкурсном отборе местных инициатив граждан по вопросам местного значения муниципального образования поселок Ягельный»</t>
  </si>
  <si>
    <t>http://jagelny.ru/documents/1503.html</t>
  </si>
  <si>
    <t>Администрация муниципального образования поселок Ягельный</t>
  </si>
  <si>
    <t>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t>
  </si>
  <si>
    <t>протокол от 03.02.2020 № б/н</t>
  </si>
  <si>
    <t>http://jagelny.ru/byudzhetnaya-initciativa-grazhdan.html</t>
  </si>
  <si>
    <t>Шурышкарский район</t>
  </si>
  <si>
    <t>2019 г.</t>
  </si>
  <si>
    <t>Постановление администрации муниципального образования Шурышкарский район от 19.07.2019 г. № 632- А "Об утверждении Порядка проведения конкурсного отбора проектов поддержки местных инициатив «Уютный Ямал» в муниципальном образовании Шурышкарский район"</t>
  </si>
  <si>
    <t>https://www.admmuji.ru/file/94m3w3cxe</t>
  </si>
  <si>
    <t xml:space="preserve">1. Информационно-аналитическое управление Администрации муниципального образования Шурышкарский район 
2. Управление образования Администрации муниципального образования Шурышкарский район </t>
  </si>
  <si>
    <t xml:space="preserve">Управление культуры и молодёжной политики и Управление физической культуры и спорта Администрации муниципального образования Шурышкарский район
Управление образования Администрации муниципального образования Шурышкарский район </t>
  </si>
  <si>
    <t>Субсидии бюджетным учреждениям на иные цели</t>
  </si>
  <si>
    <t>МБУ "Шурышкарская ЦБС", МБУ ДО "РДЮСШ", МБУ "ЦФС"
Все общеобразовательные учреждения района</t>
  </si>
  <si>
    <t>Неденежный вклад населения в реализацию проекта (трудовое участие, материалы и др.)</t>
  </si>
  <si>
    <t>Проектный офис "Уютный Ямал"</t>
  </si>
  <si>
    <t>Опрос о необходимости создания базы отдыха</t>
  </si>
  <si>
    <t>Проведено 6 собраний инициативных групп, резутаты зафиксированы протокольно</t>
  </si>
  <si>
    <t>Через портал "Живем на Севере"</t>
  </si>
  <si>
    <t>https://живёмнасевере.рф/results</t>
  </si>
  <si>
    <t>бюллетени, урны для голосований</t>
  </si>
  <si>
    <t>В рамках ШПБ проводились обсуждения в классах и на общешкольных собраниях</t>
  </si>
  <si>
    <t>https://www.admmuji.ru/file/g8uqdn5f6</t>
  </si>
  <si>
    <t>Отбор проектов осуществлялся через сайт "Живём на севере"</t>
  </si>
  <si>
    <t>https://живёмнасевере.рф</t>
  </si>
  <si>
    <t>https://vk.com/public170438171</t>
  </si>
  <si>
    <t>https://vektor-tv.ru/upload/iblock/edf/edf43b0aa455055a1a5eb455ec3d1e53.png</t>
  </si>
  <si>
    <t>Проведено информирование населения посредством районных СМИ, выступления в прямом радиоэфире, размещена наружная реклама в виде баннеров, опубликованы поста в группах социальных сетей. Самый большой охват аудитории имеют публикации в группах соцсетей.
https://vk.com/uomuzhi?w=wall-178587868_1793
https://vk.com/uomuzhi?w=wall-178587868_1606
https://vk.com/uomuzhi?w=wall-178587868_1526
https://vk.com/uomuzhi?w=wall-178587868_1343
https://vk.com/uomuzhi?w=wall-178587868_565
https://vk.com/uomuzhi?w=wall-178587868_452
https://vk.com/uomuzhi?w=wall-178587868_384
https://vk.com/uomuzhi?w=wall-178587868_364
https://vk.com/uomuzhi?w=wall-178587868_279
https://www.uomuzhi.ru/index.php/novosti/4209-shkolnoe-partisipatornoe-byudzhetirovanie-2021
https://www.uomuzhi.ru/index.php/novosti/4153-shpb-v-ramkakh-regionalnogo-proekta-byudzhetnaya-initsiativa-grazhdan-uyutnyj-yamal-v-sisteme-obrazovaniya-shuryshkarskogo-rajona
https://www.uomuzhi.ru/index.php/novosti/4103-ctartoval-proekt-shkolnogo-partisipatornogo-byudzhetirovaniya
https://www.uomuzhi.ru/index.php/novosti/3587-v-muzhevskoj-shkole-proshel-trening-po-napisaniyu-shkolnykh-proektov-tochka-rosta-7-shagov-k-uspekhu
https://www.uomuzhi.ru/index.php/novosti/3532-shkolnoe-partisipatornoe-byudzhetirovanie</t>
  </si>
  <si>
    <t xml:space="preserve">Листовки, буклеты, баннеры, плакаты. </t>
  </si>
  <si>
    <t>Азовское</t>
  </si>
  <si>
    <t>Бюджетная инициатива граждан</t>
  </si>
  <si>
    <t>решение собрания депутатов МО Азовское от 21.12.2020 г. № 202 "Об утвержддении Положения о реализации инициативных проектов в муниципальном образовании Азовское"
Постановление администрации МО Азовское № 60-а от 31.10.2019 года "О реализации проекта "Бюджетная инициатива граждан" на территории МО Азовское"</t>
  </si>
  <si>
    <t>http://azov-adm.ru/documents/2777.html;                                                                                              http://azov-adm.ru/documents/3063.html</t>
  </si>
  <si>
    <t>Администрация муниципального образования Азовское</t>
  </si>
  <si>
    <t>оплата  расходных материалов для осуществления ремонтных работ</t>
  </si>
  <si>
    <t>Трудовое участие граждан по покраске забора кладбища, установке бетонных столбиков по периметру, установке вывески с наименованием кладбища</t>
  </si>
  <si>
    <t>население муниципального образования</t>
  </si>
  <si>
    <t>Информация росстата</t>
  </si>
  <si>
    <t>протокол общественных обсуждений</t>
  </si>
  <si>
    <t xml:space="preserve">протокол заседания </t>
  </si>
  <si>
    <t>http://azov-adm.ru/byudzhetnaya-iniciativa-grazhdan.html</t>
  </si>
  <si>
    <t>Горковское</t>
  </si>
  <si>
    <t>20.12.2019 г.</t>
  </si>
  <si>
    <t>22.12.2020 г.</t>
  </si>
  <si>
    <t>Решение собрания депутатов МО Горковское от 25.12.2020 г. № 137 "Об утверждении Положения о  реализации инициативных проектов в муниципальном образовании Горковское"; Постановление администрации МО Горковское от 10.07.2018 г. № 46 "О реализации проекта "Бюджетная инициатива граждан" на территории муниципального образования Горковское"</t>
  </si>
  <si>
    <t>http://adm-gorki.ru/documents/224.html;                                                                                     http://adm-gorki.ru/documents/529.html</t>
  </si>
  <si>
    <t>Администрация муниципального образования Горковское</t>
  </si>
  <si>
    <t>оплата приобретения оборудования</t>
  </si>
  <si>
    <t>население села Горки</t>
  </si>
  <si>
    <t>протокол заседания</t>
  </si>
  <si>
    <t>http://adm-gorki.ru/2020-god.html</t>
  </si>
  <si>
    <t>http://spmuzhi.ru/wp-content/uploads/2020/11/%E2%84%96477019_21_11_2020.pdf</t>
  </si>
  <si>
    <t>Рекламная кампания ИБ в муниципальном образовании Горковское проводилась с использованием официального сайта администрации: http://adm-gorki.ru/2020-god.html и общественно политической газеты "Северная панорама": http://spmuzhi.ru/wp-content/uploads/2020/11/%E2%84%96477019_21_11_2020.pdf</t>
  </si>
  <si>
    <t>Лопхаринское</t>
  </si>
  <si>
    <t>15.12.2019 г.</t>
  </si>
  <si>
    <t>31.08.2020 г.</t>
  </si>
  <si>
    <t>постановление Администрации муниципального образования Лопхаринское от 09.04.2019 г. № 24 "Об инициативном бюджетировании в муниципальном образовании Лопхаринское"</t>
  </si>
  <si>
    <t>http://lopchari-adm.ru/documents/2851.html</t>
  </si>
  <si>
    <t>Администрация мцуниципального образования Лопхаринское</t>
  </si>
  <si>
    <t>оплата услуг, товаров</t>
  </si>
  <si>
    <t>Неоплачиваемый вклад включает использование строительных материалов, оборудования, инструмента, уборку мусора, осуществление собственными силами благоустройства и иное участие</t>
  </si>
  <si>
    <t>http://lopchari-adm.ru/byudzhetnye-iniciativy.html</t>
  </si>
  <si>
    <t>Проводились общественные обсуждения граждан. Публикация информации на сайте муниципального образования.</t>
  </si>
  <si>
    <t>Мужевское</t>
  </si>
  <si>
    <t>решение собрания депутатов МО Мужевское от 24.12.2020 г. № 210 "Об утверждении Положения о  реализации инициативных проектов в муниципальном образовании Мужевское"; постановление администрации МО Мужевское от 10.12.2018 г. № 358 "Об инициативном бюджетировании  в муниципальном образовании Мужевское", постановление администрации МО Мужевское от 31.07.2020 г. № 136 "О порядке проведения конкурсного отбора проектов инициативного бюджетирования "Бюджетная инициатива граждан"</t>
  </si>
  <si>
    <t xml:space="preserve"> http://adm-muji.ru/documents/2078.html;                                                                                                                                                  http://adm-muji.ru/documents/1733.html;                                                                                                                                                                              http://adm-muji.ru/documents/2096.html</t>
  </si>
  <si>
    <t>Администрация муниципального образования Мужевское</t>
  </si>
  <si>
    <t>субсидии некоммерческим организациям</t>
  </si>
  <si>
    <t>предоставление строительнымх материалов, оборудования, инструмента, транспорта, уборка территории и иное участие</t>
  </si>
  <si>
    <t>население муниципального образования Мужевское</t>
  </si>
  <si>
    <t>протоколы собрания граждан, организованные Советом ветеранов (http://adm-muji.ru/obshcestvennye-obsuzhdeniya-predlozheniya.html)</t>
  </si>
  <si>
    <t>протокол заседания (http://adm-muji.ru/obshcestvennye-obsuzhdeniya-predlozheniya.html)</t>
  </si>
  <si>
    <t>http://adm-muji.ru/byudzhetnaya-initciativa-grazhdan.html</t>
  </si>
  <si>
    <t>на официальном сайте администрации МО Мужевское,встреча с депутатами собрания депутатов по вопросу реализации бюджетной инициативы поселения,   направление информации в редакцию газеты "Северная панорама" тираж 879 экз</t>
  </si>
  <si>
    <t>Овгортское</t>
  </si>
  <si>
    <t>31.02.2020 г.</t>
  </si>
  <si>
    <t>постановление Администрации муниципального образования Овгортское от 02.11.2018 г. № 71 "О реализации проекта «Бюджетная инициатива граждан» на территории муниципального образования Овгортское"; решение собрания депутатов МО Овгортское от 29.12.2020 г. № 30 "Об утверждении Положения о  реализации инициативных проектов в муниципальном образовании Овгортское"</t>
  </si>
  <si>
    <t>http://www.admin-moovg.ru/documents/1255.html; http://www.admin-moovg.ru/reshenie-sobraniya-deputatov-30-ot-29-12-2020-g-ob-utverzhdenii-polozheniya-o-realizatcii-initciativnykh-proektov-v-munitcipal-nom-obrazovanii-ovgortskoe.html</t>
  </si>
  <si>
    <t>Администрация мцуниципального образования Овгортское</t>
  </si>
  <si>
    <t>оплата услуг, расходных материалов</t>
  </si>
  <si>
    <t>http://www.admin-moovg.ru/byudzhetnaya-iniciativa-grazhdan.html</t>
  </si>
  <si>
    <t>Проводились общественные обсуждения граждан. Публикация информации на сайте муниципального образования. Давались объявления о приёме заявок по проектам в социальной сети Вконтакте (http:/vk.com/wall-190749463_229)</t>
  </si>
  <si>
    <t>село Питляр</t>
  </si>
  <si>
    <t>бюджетная инициатива граждан</t>
  </si>
  <si>
    <t>01.09.2019 г.</t>
  </si>
  <si>
    <t>30.06.2020 г.</t>
  </si>
  <si>
    <t>постановление Администрации муниципального образования Питляр от 30.01.2019 г. № 06 "О реализации проекта
«Бюджетная инициатива граждан»
на территории муниципального образования село Питляр"</t>
  </si>
  <si>
    <t>http://питляр.рф/dokumenty-1</t>
  </si>
  <si>
    <t>Администрация мцуниципального образования село Питляр</t>
  </si>
  <si>
    <t>оплата услуг</t>
  </si>
  <si>
    <t>http://питляр.рф/byudzhetnaya-initsiativa-grazhdan</t>
  </si>
  <si>
    <t>Шурышкарское</t>
  </si>
  <si>
    <t>27.07.2019 г.</t>
  </si>
  <si>
    <t>31.09.2020 г.</t>
  </si>
  <si>
    <t>Постановление администрации МО Шурышкарское от 06.03.2019 г. № 17 "О реализации проекта «Бюджетная инициатива граждан» на территории муниципального образования Шурышкарское"; решение собрания депутатов МО шурышкарское от 25.12.2020 г. № 129 "Об утверждении Положения о реализации инициативных проектов в муниципальном образовании Шурышкарское"</t>
  </si>
  <si>
    <t>http://adminshur.ru/budjetnaya_iniciativa_grajdan_2019; http://adminshur.ru/2020</t>
  </si>
  <si>
    <t>Администрация муниципального образования Шурышкарское</t>
  </si>
  <si>
    <t>население села Шурышкары</t>
  </si>
  <si>
    <t>протокол общественных обсуждений (http://adminshur.ru/f/protokol_obshchestvennyh_obsuzhdenij.pdf)</t>
  </si>
  <si>
    <t>протокол заседания (http://adminshur.ru/f/protokol_zasedaniya_konkursnoj_komissii_po_otboru_pobeditelya.pdf)</t>
  </si>
  <si>
    <t>http://adminshur.ru/budjetnaya_iniciativa_grajdan</t>
  </si>
  <si>
    <t xml:space="preserve">Проводились общественные обсуждения граждан. Публикация информации на сайте муниципального образования. </t>
  </si>
  <si>
    <t>Приуральский район</t>
  </si>
  <si>
    <t>Порядок проведения конкурсного отбора проектов 
инициативного бюджетирования «Бюджетная инициатива граждан» 
в муниципальном образовании Приуральский район</t>
  </si>
  <si>
    <t xml:space="preserve">1. Постановление Администрации муниципального образования Приуральский район от 07 марта 2019 года № 166 «О порядке проведения конкурсного отбора проектов инициативного бюджетирования «Бюджетная инициатива граждан» в муниципальном образовании Приуральский район» (в редакции постановления №213 от 27 марта 2019 года); 2. Постановление Администрации муниципального образования Приуральский район от 21 февраля 2020 года № 105 «О порядке проведения конкурсного отбора проектов инициативного бюджетирования «Бюджетная инициатива граждан» в муниципальном образовании Приуральский район» (в редакции постановлений: №541 от 19 августа 2020 года, №588 от 07 сентября 2020 года,№608 от 21 сентября 2020 года) </t>
  </si>
  <si>
    <t>http://приуральскийрайон.рф/legal-acts/the-orders-of-administration/?year=2020</t>
  </si>
  <si>
    <t>Департамент финансов Администрации муниципального образования Приуральский район</t>
  </si>
  <si>
    <t>Управление культуры, молодежной политики и спорта Администрации муниципального образования Приуральский район, управление образования Администрации муниципального образования Приуральский район</t>
  </si>
  <si>
    <t>МБУК "Приуральская межпоселенческая централизованная библиотечная система", МБУК "Приуральская централизовванная клубная система",  МУ "Районный спортивно-оздоровительный комплекс", МУ ДО "Центр детского творчества", все образовательные учреждения</t>
  </si>
  <si>
    <t>по данным Управления Федеральной службы государственной статистики по Тюменской области, Ханты-Мансийскому автономному округу – Югре и Ямало-Ненецкому автономному округу (Тюменьстат)</t>
  </si>
  <si>
    <t>портал Живем на Севере</t>
  </si>
  <si>
    <t>Протоколы собраний инициативных групп</t>
  </si>
  <si>
    <t>Протокол комиссии</t>
  </si>
  <si>
    <t>http://приуральскийрайон.рф/economy/initsiativnoe-byudzhetirovanie/</t>
  </si>
  <si>
    <t>Белоярское</t>
  </si>
  <si>
    <t xml:space="preserve"> Порядка проведения конкурсного отбора проектов инициативного бюджетирования «Бюджетная инициатива граждан» в муниципальном образовании Белоярское</t>
  </si>
  <si>
    <t xml:space="preserve">Постановление Администрации МО Белоярское "Об утверждении Порядка проведения конкурсного отбора проектов инициативного бюджетирования «Бюджетная инициатива граждан» в муниципальном образовании Белоярское" №79 от 01.04.2019 </t>
  </si>
  <si>
    <t xml:space="preserve">http://www.adminbelka.ru/documents/925.html </t>
  </si>
  <si>
    <t>Администрация МО Белоярское</t>
  </si>
  <si>
    <t>http://www.adminbelka.ru/tinybrowser/files/dokumenty/postanovleniya/2019/22/protokol.pdf</t>
  </si>
  <si>
    <t>http://www.adminbelka.ru/tinybrowser/files/bydjetnay_iniciativa_grajdan/2019/03/protokol.pdf</t>
  </si>
  <si>
    <t>http://www.adminbelka.ru/tinybrowser/files/bydjetnay_iniciativa_grajdan/2019/02/3_protokol_zasedaniya_konkursnoy_komissii_po_provedeniyu_konkursnogo_otbora_proektov_ot_18_06_2019.pdf</t>
  </si>
  <si>
    <t>http://www.adminbelka.ru/byudzhetnaya-iniciativa-grazhdan.html</t>
  </si>
  <si>
    <t>Муниципальное образование Ямальский район</t>
  </si>
  <si>
    <t>Бюджетная инициатива граждан (Уютный Ямал); школьное партисипаторное бюджетирование</t>
  </si>
  <si>
    <t xml:space="preserve">31 октября 2020 года; </t>
  </si>
  <si>
    <t>Постановление Администрации муниципального образования Ямальский район от 17.03.2020 года № 220 "Об утверждении Положения о реализации проекта «Бюджетная инициатива граждан» («Уютный Ямал») на территории муниципального образования Ямальский район на 2020-2021 годы; Постановление Администрации муниципальтного образования Ямальский район от 14.02.2020 №127  "Об утверждении Положения о школьном партисипаторном бюджетировании в общеобразовательных организациях муниципального образования Ямальский район"</t>
  </si>
  <si>
    <t>https://www.mo-yamal.ru/nb?page=48&amp;year=2020; https://www.mo-yamal.ru/nb?page=44&amp;year=2020</t>
  </si>
  <si>
    <t>Управление информационной политики Администрации муниципального образования Ямальский район; департамент финансов Администрации муниципального образования Ямальский район; Департамент образования Администрации муниципального образования Ямальский район</t>
  </si>
  <si>
    <t>департамент финансов Администрации муниципального образования Ямальский район, управление культуры и молодежной политики Администрации муниципального образования Ямальский район; Департамент образования Администрации муниципального образования Ямальский район</t>
  </si>
  <si>
    <t>Средства муниципального образования Ямальский район (субсидия, дотация)</t>
  </si>
  <si>
    <t>Администрация муниципального образования Яр-Салинское, управление культуры и молодежной политики Администрации муниципального образования Ямальский район, общеобразовательные организации</t>
  </si>
  <si>
    <t>Онлайн голосование на портале "ЖИВЁМ НА СЕВЕРЕ"; форма № ОО-1 "Сведения об организации, осуществляющей образовательную деятельность по образовательным программам начального общего, основного общего, среднего общего образования"</t>
  </si>
  <si>
    <t>https://cabinet.miccedu.ru/object/</t>
  </si>
  <si>
    <t>https://www.gks.ru/scripts/db_inet2/passport/table.aspx?opt=719284172020</t>
  </si>
  <si>
    <t>https://vk.com/molsovetyamal</t>
  </si>
  <si>
    <t>Участие фиксировалось путем подписи избирателей в бюллетенях</t>
  </si>
  <si>
    <t>www.живёмнасевере.ру</t>
  </si>
  <si>
    <t>https://vk.com/moi_yamalskiy_raion</t>
  </si>
  <si>
    <t>http://xn----8sbksfeggq8a6i6a.xn--p1ai/2020-god-shkol-noe-partisipatornoe-byudzhetirovanie.html; https://vk.com/uyt_yamal</t>
  </si>
  <si>
    <t>https://vk.com/yamaltv; https://vk.com/doyamal  хэштэги: #ШПБ
#мойямальскийрайон
#уютныйямал</t>
  </si>
  <si>
    <t>Рекламная кампания по сопровождению практики проводилась на официальном сайте департамента образования Администрации муниципального образования Ямальский район, официальных сайтах школ-интернатов, ТВ "Ямальское телевидение"</t>
  </si>
  <si>
    <t>Флаеры, флажки, шары</t>
  </si>
  <si>
    <t>Вебинары, очное обучение в НИФИ г.Москва; совещания в режиме ВКС, обучающеи тренинги для обучающихся и кураторов иннициативных групп, не менее 1 раза в месяц в течение 1 квартала</t>
  </si>
  <si>
    <t>Тазовский район</t>
  </si>
  <si>
    <t>28 июля 2019</t>
  </si>
  <si>
    <t>25 сентября 2020</t>
  </si>
  <si>
    <t>Постановление Администрации Тазовского района "О реализации проекта "Уютный Ямал" на территории муниципального образования Тазовский район" от 28.08.2019 № 819 ( в редакции № 161-п от 29.12.2020 г.), постановление Администрации тазовского района "О проведении конкурсного отбора проектов инициативного бюджетирования местных инициатив в рамках проекта "Уютный Ямал" на территории муниципального образования Тазовский район в 2020 году" от 27.02.2020 № 174
Постановление Администрации Тазовского района "О реализации проекта школьного партисипаторного бюджетирования на территории муниципального образования Тазовский район" от 25.12.2019 года № 1310</t>
  </si>
  <si>
    <t>https://tasu.ru/files/819.pdf, https://tasu.ru/files/documents/nko/174.pdf
https://tasu.ru/mestnoe-samoupravlenie/administratsiya/postanovleniya-administratsii-rayona/o-realizatsii-proekta-shkolnogo-partisipatornogo-byudzhetirovaniya-na-territorii-munitsipalnogo-obrazovaniya-tazovskiy-rayon/</t>
  </si>
  <si>
    <t>Администраци Тазовского района</t>
  </si>
  <si>
    <t>Управление культуры, физической культуры и спорта, молодежной политики и туризма
Департамент образования Администрации тазовского района</t>
  </si>
  <si>
    <t>Субсидии, гранты</t>
  </si>
  <si>
    <t xml:space="preserve">Образовательные организации, ЮЛ </t>
  </si>
  <si>
    <t>Численность населения п. Тазовский, численность обучающихся в образовательных учреждениях</t>
  </si>
  <si>
    <t>Письмо Управления федеральной службы государственной статистики по Тюменской области, ХМАО-ЮГРЕ и ЯНАО (Тюменьстат) от 24.04.2020 года № ЛС-74-08/267-МС</t>
  </si>
  <si>
    <t>Проектный офис "Уютный ямал" без образования юридического лица</t>
  </si>
  <si>
    <t>не финансируется</t>
  </si>
  <si>
    <t>В результате собрания было подано 7 заявок(идей)</t>
  </si>
  <si>
    <t xml:space="preserve">Информационный ресурс "Живем на Севере" </t>
  </si>
  <si>
    <t>на избирательных участках во время проведения выборов с 11 по 13 сентября 2020 г.</t>
  </si>
  <si>
    <t>https://tasu.ru/ekonomika-i-finansy/initsiativnoe-byudzhetirovanie/, https://живёмнасевере.рф/?discussions=1#all-projects</t>
  </si>
  <si>
    <t>https://vk.com/wall-189232207_7755</t>
  </si>
  <si>
    <t>Соцсети, наружная реклама, общественные обсуждения проектов https://tasu.ru/ekonomika-i-finansy/initsiativnoe-byudzhetirovanie/obshchestvennye-obsuzhdeniya-initsiativ/obshchestvennye-obsuzhdeniya-v-2020-godu/,  викторина "Уютный Ямал" https://tasu.ru/novosti/bolee-90-tsennykh-prizov-poluchat-tazovchane-pobediteli-viktoriny-uyutnyy-yamal/</t>
  </si>
  <si>
    <t>Пуровский район</t>
  </si>
  <si>
    <t>Проект по поддержке местных инициатив в Пуровском районе 
Проект «Школа идей» в Пуровском районе</t>
  </si>
  <si>
    <t>Уютный Ямал;
Школа идей</t>
  </si>
  <si>
    <t xml:space="preserve">постановление Администрации района от 12 ноября 2019 года № 333-ПА «О реализации проекта по поддержке местных инициатив в Пуровском районе»;
постановление Администрации района от 03 декабря 2019 года № 355-ПА «О реализации проекта «Школа идей» в Пуровском районе».
</t>
  </si>
  <si>
    <t>https://www.puradm.ru/one-doc/8044
https://www.puradm.ru/one-doc/8209</t>
  </si>
  <si>
    <t>Департамента финансов и казначейства Администрации Пуровского района</t>
  </si>
  <si>
    <t>Администрация Пуровского района, Департамент транспорта, связи и систем жизнеобеспечения Администрации Пуровского района, Управление культуры Администрации Пуровского района, Управление молодежной политики и туризма Администрации Пуровского района, Департамент образования Администрации Пуровского района, Управление по физической культуре и спорту Администрации Пуровского района</t>
  </si>
  <si>
    <t xml:space="preserve">Субсидии (гранты в форме субсидий), не подлежащие казначейскому сопровождению; иные межбюджетные трансферты; субсидии бюджетным учреждениям на иные цели; прочая закупка товаров, работ и услуг
</t>
  </si>
  <si>
    <t xml:space="preserve">Пуровская районная общественная организация ветеранов (пенсионеров) войны, труда, Вооруженных Сил и правоохранительных органов; МБУ "КСК "Уренгоец"; МКУ "УГХ"; МКУ "УМХ и ОДОМС"; МКУ МО Пуровское "УКХ Б и ТО"; МБУК "ЦКС Пуровского района"; МАУК "ПКО "СЕВЕРНЫЙ ОЧАГ"; Администрация МО д.Харампур; МБУ МЦ "Юность"; МАУ "РМЦ"; МБОУ "ШИООО" с.Халясавэй; МБОУ "ШИСОО" с.Самбург; МБОУ "ШИСОО" г.Тарко-Сале; МБОУ "ШИООО" д. Харампур; МБОУ "СОШ №1" г.Тарко-Сале; МБОУ "СОШ № 2" г.Тарко-Сале; МБОУ "СОШ №3" г.Тарко-Сале; МБОУ "СОШ № 1" п.г.т. Уренгой; МБОУ "СОШ №2"п.г.т.Уренгой; МБОУ "СОШ № 2" п.Пурпе; МБОУ "СОШ №3" п.Пурпе; МБОУ "СОШ № 1" п.Пуровск; МБОУ "СОШ №1 им.Ярослава Василенко" п.Пурпе; МБОУ "СОШ №1" п. Ханымей; МБОУ "ООШ № 2" п Ханымей; МБОУ "СОШ № 2" п. Сывдарма
</t>
  </si>
  <si>
    <t>использование строительных материалов, оборудования, инструмента, уборку мусора, осуществление собственными силами благоустройства и иное участие</t>
  </si>
  <si>
    <t>распространяется на всех жителей района</t>
  </si>
  <si>
    <t>скриншот</t>
  </si>
  <si>
    <t>http://dfik.ru/images/files/protokol_20052020.pdf</t>
  </si>
  <si>
    <t>http://dfik.ru/#iniciativa
http://dfik.ru/#school</t>
  </si>
  <si>
    <t>https://www.puradm.ru/novosti/10431/
https://www.puradm.ru/novosti/10958/
https://www.puradm.ru/novosti/10620/
https://www.puradm.ru/novosti/10318/
https://www.puradm.ru/novosti/10706/
https://www.puradm.ru/novosti/10365/
https://www.puradm.ru/novosti/10356/
https://www.puradm.ru/novosti/10303/
https://www.puradm.ru/novosti/11193/
https://www.puradm.ru/novosti/11888/
https://www.puradm.ru/novosti/11359/
https://www.puradm.ru/novosti/9833/
https://www.puradm.ru/novosti/11291/
https://trk-luch.ru/news/na-narodnye-idei-vydeleno-10-mln-rubley/?sphrase_id=66416
https://trk-luch.ru/news/v-okruge-provoditsya-viktorina-uyutnyy-yamal/?sphrase_id=66416
https://trk-luch.ru/news/for-the-best-ideas-to-vote-for-the-residents/?sphrase_id=66416
https://trk-luch.ru/news/for-social-projects-allocated-almost-10-million-roubles/?sphrase_id=59888
https://trk-luch.ru/news/support-the-initiative-of-polovcian/
https://trk-luch.ru/news/v-urengoe-sygrali-spektakl-po-motivam-drevneindiyskogo-eposa/?sphrase_id=64457
https://trk-luch.ru/news/v-khalyasavee-dlya-detey-gotovyat-umku/?sphrase_id=64462
https://trk-luch.ru/news/byudzhetnye-initsiativy-nashli-svoye-voploshchenie/?sphrase_id=66416
https://trk-luch.ru/news/muzeynaya-komnata-initsiativa-neravnodushnykh-purpeytsev/?sphrase_id=66416
https://trk-luch.ru/news/animacy-chose-for-the-improvement-of-the-walk-of-fame/?sphrase_id=66416
https://mysl.info/salyutu-byt.html
https://mysl.info/v-purovske-poyavilas-alleya-pamyati.html
https://mysl.info/na-initciativy-purovchan-vydeleno-pochti-10-millionov-rubley.html
https://mysl.info/proekt-uyutnyy-yamal-vyshel-na-mezhdunarodnyy-uroven.html
https://mysl.info/vyberi-svo-podderzhi-drugikh.html
https://mysl.info/khanymeytcy-vybrali-dlya-blagoustroystva-alleyu-slavy.html
https://sever-press.ru/2020/06/17/sochnaja-chernika-severnoe-sijanie-i-uprjazhka-olenej-ukrasjat-hanymej/</t>
  </si>
  <si>
    <t>В целях информирования населения и организаций Пуровского района о проекте по поддержке местных инициатив в Пуровском районе соответствующая информация  была размещены на официальном сайте Пуровского района и в Пуровской районной муниципальной общественно-политической газете "Северный луч", освещена на "ПТРК Луч". Информационные сообщения о  начале приема заявок для проведения конкурсного отбора инициатив  были размещены на официальном интернет-сайте Пуровского района.</t>
  </si>
  <si>
    <t>08 – 09 декабря 2020 года Департамент финансов Ямало-Ненецкого автономного округа совместно с Международным банком реконструкции и развития проведен межмуниципальный онлайн-семинар «Итоги реализации проекта «Бюджетная инициатива граждан» («Уютный Ямал») в 2020 году. Результаты оценки. Новации законодательства.»</t>
  </si>
  <si>
    <t>муниципальное образование поселок Уренгой</t>
  </si>
  <si>
    <t>проект «Бюджетная инициатива граждан» на территории муниципального образования поселок Уренгой</t>
  </si>
  <si>
    <t>постановление Администрации муниципального образования поселок Уренгой от 19 ноября 2019 года № 251-ПА «О реализации проекта по поддержке инициатив в рамках проекта «Бюджетная инициатива граждан» на территории муниципального образования поселок Уренгой»</t>
  </si>
  <si>
    <t>http://www.mo-urengoy.ru/index.php?option=com_content&amp;view=article&amp;id=4363</t>
  </si>
  <si>
    <t>Администрация муниципального образования поселок Уренгой</t>
  </si>
  <si>
    <t xml:space="preserve"> прочая закупка товаров, работ и услуг
</t>
  </si>
  <si>
    <t>Муниципальное казенное учреждение "Управление городского хозяйства"</t>
  </si>
  <si>
    <t>распространяется на всех жителей поселка</t>
  </si>
  <si>
    <t>http://www.mo-urengoy.ru/index.php?option=com_content&amp;view=article&amp;id=4613</t>
  </si>
  <si>
    <t>http://www.mo-urengoy.ru/bydinigra</t>
  </si>
  <si>
    <t>https://trk-luch.ru/news/the-urengoy-budget-for-next-year-amounted-to-almost-half-a-billion-rubles/
https://trk-luch.ru/news/ego-podvig-ne-zabyt/
https://mysl.info/urengoyskomu-geroyu-pamyat.html
https://www.puradm.ru/novosti/10346/</t>
  </si>
  <si>
    <t>Информация по бюджетным инициативам освещается на официальном сайте Администрации, в социальных сетях, в газете "Северный луч", освещена на "ПТРК Луч"</t>
  </si>
  <si>
    <t>муниципальное образование село Самбург</t>
  </si>
  <si>
    <t>проект «Бюджетная инициатива граждан» на территории муниципального образования поселок Самбург</t>
  </si>
  <si>
    <t>постановление Администрации муниципального образования село Самбург от 19 декабря 2019 года № 106-ПА «О реализации проекта по поддержке инициатив в рамках проекта «Бюджетная инициатива граждан» на территории муниципального образования село Самбург»</t>
  </si>
  <si>
    <t>http://xn--80acg8avcr.xn--p1ai/documents/914.html</t>
  </si>
  <si>
    <t>Администрация муниципального образования село Самбург</t>
  </si>
  <si>
    <t>http://xn--80acg8avcr.xn--p1ai/tinybrowser/files/budget/2020/01/protokol_-1.pdf</t>
  </si>
  <si>
    <t>http://xn--80acg8avcr.xn--p1ai/informaciya-o-proekte.html</t>
  </si>
  <si>
    <t>http://xn--80acg8avcr.xn--p1ai/ispolnenie-proekta.html</t>
  </si>
  <si>
    <t>поселок Ханымей</t>
  </si>
  <si>
    <t>проект "Бюджетная инициатива граждан" на территории муниципального образования поселок Ханымей"</t>
  </si>
  <si>
    <t>постановление Администрации муниципального образования поселок Ханымей от 05.12.2019 №203 О реализации проекта "Бюджетная инициатива граждан" на территории муниципального образования поселок Ханымей"</t>
  </si>
  <si>
    <t>http://hanimey.ru/documents/1455.html</t>
  </si>
  <si>
    <t>Администрация муниципального образования поселок Ханымей</t>
  </si>
  <si>
    <t xml:space="preserve">Субсидии бюджетным учреждениям на иные цели; прочая закупка товаров, работ и услуг
</t>
  </si>
  <si>
    <t>Администрация муниципального образования поселок Ханымей;  Муниципальное казенное учреждение "Управление муниципального хозяйства и обеспечения деятельности органов местного самоуправления"; 
Муниципальное бюджетное учреждение культуры "Ханымейский историко-краеведческий музей"</t>
  </si>
  <si>
    <t>http://hanimey.ru/tinybrowser/files/budgetnaya-iniciativa/2020/01/3_attach.pdf</t>
  </si>
  <si>
    <t>http://hanimey.ru/tinybrowser/files/budgetnaya-iniciativa/2020/01/2_attach.pdf</t>
  </si>
  <si>
    <t>http://hanimey.ru/</t>
  </si>
  <si>
    <t>https://trk-luch.ru/news/from-idea-to-implementation/?sphrase_id=66413
https://trk-luch.ru/news/khanymey-poluchil-million-rubley-na-realizatsiyu-budushchikh-proektov-zhiteley/?sphrase_id=66415</t>
  </si>
  <si>
    <t>новость на сайте Администрации поселка, на местном телевидении
http://hanimey.ru/realizovannye-iniciativy.html</t>
  </si>
  <si>
    <t>межмуниципальный семинар «Итоги реализации проекта «Бюджетная инициатива граждан» («Уютный Ямал») в 2020 году. Результаты оценки. Новации законодательства.» 08 – 09 декабря 2020 года</t>
  </si>
  <si>
    <t>поселок Пуровск</t>
  </si>
  <si>
    <t>проект по поддержке местных инициатив на территории муниципального образования Пуровское</t>
  </si>
  <si>
    <t>17 января 2020 г.</t>
  </si>
  <si>
    <t>20 марта 2020 г.</t>
  </si>
  <si>
    <t>Постановление Администрации муниципального образования Пуровское от 29.11.2019 г. № 115 "О реализации проекта по поддержке местных инициатив на территории муниципального образования Пуровское"</t>
  </si>
  <si>
    <t>http://www.purovskoe.ru/byudzhetnye-iniciativy.html</t>
  </si>
  <si>
    <t>Администрация муниципального образования Пуровское</t>
  </si>
  <si>
    <t xml:space="preserve">Гранты в форме субсидий бюджетным учреждениям, Прочая закупка товаров, работ и услуг
</t>
  </si>
  <si>
    <t>Муниципальное бюджетное учреждение Молодежный центр "Юность"                                                                                                 Муниципальное казенное учреждение "Управление коммунального хозяйства, благоустройства и технического обеспечение"</t>
  </si>
  <si>
    <t>http://www.purovskoe.ru/idei-obshcestvennikov-p-purovsk-budut-voploshceny-v-zhizn.html</t>
  </si>
  <si>
    <t>Протокол заседания комиссии по отбору местных инициатив в рамках проекта     «Бюджетная инициатива граждан» на территории                                                 муниципального образования Пуровское от 20.09.2020 г.</t>
  </si>
  <si>
    <t>http://www.purovskoe.ru/</t>
  </si>
  <si>
    <t>https://vk.com/purovskoe?w=wall-171792864_1132%2Fall
https://vk.com/purovskoe?w=wall-171792864_883%2Fall
https://vk.com/purovskoe?w=wall-171792864_732%2Fall
https://vk.com/purovskoe?w=wall-171792864_639%2Fall</t>
  </si>
  <si>
    <t>Новостные публикации в официальных аккаунтах социальных сетей Администрации п. Пуровск, на официальном сайте Администрации п. Пуровск                                                            http://www.purovskoe.ru/izveshcenie-o-nachale-priema-zayavok-konkursnogo-otbora-initciativ-v-ramkakh-proekta-byudzhetnaya-initciativa-grazhdan-na-territorii-munitcipal-nogo-obrazovaniya-purovskoe.html                            https://vk.com/purovskoe?w=wall-171792864_579%2Fall</t>
  </si>
  <si>
    <t>поселок Пурпе</t>
  </si>
  <si>
    <t>проект "Бюджетная инициатива граждан" на территории муниципального образования поселок Пурпе"</t>
  </si>
  <si>
    <t>15 июля 2020 г.</t>
  </si>
  <si>
    <t>постановление Администрации муниципального образования поселок Пурпе от 16.01.2020 № 7-П "О реализации проекта по поддержке инициатив в рамках проекта "Бюджетная инициатива граждан" на территории муниципального образования поселок Пурпе"</t>
  </si>
  <si>
    <t>http://purpe.info/component/jdownloads/summary/391-2020-god/18443-7-p-o-realizatsii-proekta-po-podderzhke-initsiativ-v-ramkakh-proekta-byudzhetnaya-initsiativa-grazhdan?Itemid=0</t>
  </si>
  <si>
    <t>Администрация муниципального образования поселок Пурпе</t>
  </si>
  <si>
    <t xml:space="preserve">Прочая закупка товаров, работ и услуг
</t>
  </si>
  <si>
    <t>Администрация муниципального образования поселок Пурпе;  Муниципальное казенное учреждение "Управление муниципального хозяйства и обеспечения деятельности органов местного самоуправления"</t>
  </si>
  <si>
    <t>распространяется на всех жителей в поселении Пурпе-1</t>
  </si>
  <si>
    <t>Размещение на портале "Живем на Севере" в блоке "Платформа"Решай"</t>
  </si>
  <si>
    <t>https://trk-luch.ru/news/idei-voploshchayutsya-zdes-i-seychas/?sphrase_id=66426</t>
  </si>
  <si>
    <t xml:space="preserve">репортаж в новостях на местном телевидении
</t>
  </si>
  <si>
    <t>село Халясавэй</t>
  </si>
  <si>
    <t>проект «Бюджетная инициатива граждан» на территории муниципального образования село Халясавэй</t>
  </si>
  <si>
    <t>постановление Администрации муниципального образования село Халясавэй от 26.04.2019 № 18-ПА «О реализации проекта «Бюджетная инициатива граждан» на территории муниципального образования село Халясавэй»</t>
  </si>
  <si>
    <t>http://xn--80aag2ah0bza3eo.xn--p1ai/npa-byudzhetnaya-initciativa.html</t>
  </si>
  <si>
    <t>Администрация муниципального образования село Халясавэй</t>
  </si>
  <si>
    <t>http://xn--80aag2ah0bza3eo.xn--p1ai/ob-yavleniya.html</t>
  </si>
  <si>
    <t>http://xn--80aag2ah0bza3eo.xn--p1ai/</t>
  </si>
  <si>
    <t>новость на сайте Администрации села</t>
  </si>
  <si>
    <t xml:space="preserve">деревня Харампур </t>
  </si>
  <si>
    <t>проект «Бюджетная инициатива граждан» на территории муниципального образования деревня Харампур</t>
  </si>
  <si>
    <t>постановление Администрации муниципального образования деревня Харампур от 18.03.2019 № 14-ПА «О реализации проекта «Бюджетная инициатива граждан» на территории муниципального образования деревня Харампур»</t>
  </si>
  <si>
    <t>http://harampur.ru/documents/891.html</t>
  </si>
  <si>
    <t xml:space="preserve">Администрация муниципального образования деревня Харампур </t>
  </si>
  <si>
    <t>распространяется на всех жителей деревни</t>
  </si>
  <si>
    <t>http://harampur.ru/planirovanie-byudzheta.html</t>
  </si>
  <si>
    <t>новость на сайте Администрации</t>
  </si>
  <si>
    <t>Подсчет дней</t>
  </si>
  <si>
    <t>Проверка суммы</t>
  </si>
  <si>
    <t>Разница</t>
  </si>
  <si>
    <t>Проверка</t>
  </si>
  <si>
    <t>Тип переменной</t>
  </si>
  <si>
    <t>Переменные</t>
  </si>
  <si>
    <t>Формат</t>
  </si>
  <si>
    <t>Субъекты РФ</t>
  </si>
  <si>
    <t>1</t>
  </si>
  <si>
    <t>АП</t>
  </si>
  <si>
    <t>Общие характеристики поступивших  ответов на запрос</t>
  </si>
  <si>
    <t>.</t>
  </si>
  <si>
    <t>1.1</t>
  </si>
  <si>
    <t>Субъекты, ответившие на запрос (получены письма и/или анкеты с сопроводительными материалами )</t>
  </si>
  <si>
    <t>да /  --</t>
  </si>
  <si>
    <t>не связано с массивом практик(!)</t>
  </si>
  <si>
    <t>1.2</t>
  </si>
  <si>
    <t>Субъекты, предоставившие анкеты, признанные релевантными для анализа данных за исследуемый период</t>
  </si>
  <si>
    <t>расчет</t>
  </si>
  <si>
    <t>1.3</t>
  </si>
  <si>
    <r>
      <rPr>
        <sz val="10"/>
        <color rgb="FFFF0000"/>
        <rFont val="Times New Roman"/>
        <family val="1"/>
        <charset val="204"/>
      </rPr>
      <t>Общее количество практик (ИБ и смежных)</t>
    </r>
    <r>
      <rPr>
        <sz val="10"/>
        <rFont val="Times New Roman"/>
        <family val="1"/>
        <charset val="204"/>
      </rPr>
      <t xml:space="preserve"> в субъекте, реализуемых на муниципальном и субъектовом уровнях</t>
    </r>
  </si>
  <si>
    <t>кол-во практик</t>
  </si>
  <si>
    <t>1.4</t>
  </si>
  <si>
    <r>
      <t xml:space="preserve">Субъекты, предоставившие анкеты </t>
    </r>
    <r>
      <rPr>
        <u/>
        <sz val="10"/>
        <rFont val="Times New Roman"/>
        <family val="1"/>
        <charset val="204"/>
      </rPr>
      <t>по практикам на субъектовом уровне</t>
    </r>
    <r>
      <rPr>
        <sz val="10"/>
        <rFont val="Times New Roman"/>
        <family val="1"/>
        <charset val="204"/>
      </rPr>
      <t xml:space="preserve">, признанные релевантными </t>
    </r>
  </si>
  <si>
    <t xml:space="preserve"> --</t>
  </si>
  <si>
    <t>1.5</t>
  </si>
  <si>
    <r>
      <t xml:space="preserve">Общее количество практик (ИБ и смежных) в субъекте, реализуемых </t>
    </r>
    <r>
      <rPr>
        <u/>
        <sz val="10"/>
        <rFont val="Times New Roman"/>
        <family val="1"/>
        <charset val="204"/>
      </rPr>
      <t>субъектовом</t>
    </r>
    <r>
      <rPr>
        <sz val="10"/>
        <rFont val="Times New Roman"/>
        <family val="1"/>
        <charset val="204"/>
      </rPr>
      <t xml:space="preserve"> уровнях</t>
    </r>
  </si>
  <si>
    <t>связано</t>
  </si>
  <si>
    <t>1.6</t>
  </si>
  <si>
    <r>
      <t xml:space="preserve">Субъекты, предоставившие анкеты </t>
    </r>
    <r>
      <rPr>
        <u/>
        <sz val="10"/>
        <rFont val="Times New Roman"/>
        <family val="1"/>
        <charset val="204"/>
      </rPr>
      <t>по практикам на муниципальном уровне</t>
    </r>
    <r>
      <rPr>
        <sz val="10"/>
        <rFont val="Times New Roman"/>
        <family val="1"/>
        <charset val="204"/>
      </rPr>
      <t xml:space="preserve">, признанные релевантными </t>
    </r>
  </si>
  <si>
    <t>1.7</t>
  </si>
  <si>
    <r>
      <t xml:space="preserve">Общее количество практик (ИБ и смежных) в субъекте, реализуемых на </t>
    </r>
    <r>
      <rPr>
        <u/>
        <sz val="10"/>
        <rFont val="Times New Roman"/>
        <family val="1"/>
        <charset val="204"/>
      </rPr>
      <t>муниципальном</t>
    </r>
    <r>
      <rPr>
        <sz val="10"/>
        <rFont val="Times New Roman"/>
        <family val="1"/>
        <charset val="204"/>
      </rPr>
      <t xml:space="preserve"> уровнях</t>
    </r>
  </si>
  <si>
    <t>2</t>
  </si>
  <si>
    <t>Типология практик в общем виде</t>
  </si>
  <si>
    <t>2.4</t>
  </si>
  <si>
    <r>
      <t xml:space="preserve">Количество практик </t>
    </r>
    <r>
      <rPr>
        <b/>
        <sz val="10"/>
        <color rgb="FFFF0000"/>
        <rFont val="Times New Roman"/>
        <family val="1"/>
        <charset val="204"/>
      </rPr>
      <t>СТРОГО инициативного бюджетирования</t>
    </r>
    <r>
      <rPr>
        <sz val="10"/>
        <color rgb="FF000000"/>
        <rFont val="Times New Roman"/>
        <family val="1"/>
        <charset val="204"/>
      </rPr>
      <t xml:space="preserve"> на муниципальном и субъектовом уровнях</t>
    </r>
  </si>
  <si>
    <t>2.5</t>
  </si>
  <si>
    <r>
      <t xml:space="preserve">Количество </t>
    </r>
    <r>
      <rPr>
        <b/>
        <sz val="10"/>
        <color rgb="FF000000"/>
        <rFont val="Times New Roman"/>
        <family val="1"/>
        <charset val="204"/>
      </rPr>
      <t>смежных практик</t>
    </r>
    <r>
      <rPr>
        <sz val="10"/>
        <color rgb="FF000000"/>
        <rFont val="Times New Roman"/>
        <family val="1"/>
        <charset val="204"/>
      </rPr>
      <t xml:space="preserve"> (ПП "Комфортная городская среда", гранты ФЦП Минсельхоза, самообложение,  конкурсы ТОС и НКО и проч.)</t>
    </r>
  </si>
  <si>
    <t>2.6</t>
  </si>
  <si>
    <t>техническая переменная: регионы, в которых имеется практика строго_ИБ</t>
  </si>
  <si>
    <t>2.7</t>
  </si>
  <si>
    <t>техническая переменная: регионы, в которых имеются смежные практики</t>
  </si>
  <si>
    <t>2.8</t>
  </si>
  <si>
    <t>техническая переменная: регионы, в которых одновременно имеются как ИБ практики, так и смежные практики</t>
  </si>
  <si>
    <t>Типология практик инициативного бюджетирования по источнику финансирования</t>
  </si>
  <si>
    <t>3.8</t>
  </si>
  <si>
    <t>Количество практик инициативного бюджетирования, финансируемых из бюджета субъекта РФ</t>
  </si>
  <si>
    <t>связано, на основе РАЗМЕТКИ</t>
  </si>
  <si>
    <t>3.9</t>
  </si>
  <si>
    <t>Количество практик инициативного бюджетирования, финансируемых из муниципального бюджета (без субъектовых бюджетных субсидий)</t>
  </si>
  <si>
    <t>3.10</t>
  </si>
  <si>
    <t>Количество практик инициативного бюджетирования, предусматривающих финансирование с федерального уровня</t>
  </si>
  <si>
    <t>4</t>
  </si>
  <si>
    <t>Наличие мероприятий ИБ в гос.программе</t>
  </si>
  <si>
    <t>4.13</t>
  </si>
  <si>
    <t>Наличие мероприятий ИБ в программе</t>
  </si>
  <si>
    <t>да / нет / ?</t>
  </si>
  <si>
    <t>связано, вручную</t>
  </si>
  <si>
    <t>4.14</t>
  </si>
  <si>
    <t xml:space="preserve">Доля субъектов, утвердивших программу (мероприятия) по развитию ИБ в составе государственных программ субъекта РФ, в общем количестве субъектов РФ (%)
</t>
  </si>
  <si>
    <t>5</t>
  </si>
  <si>
    <t>БП</t>
  </si>
  <si>
    <t>Продолжительность реализации</t>
  </si>
  <si>
    <t>5.11</t>
  </si>
  <si>
    <t>Год начала реализации ИБ в субъекте РФ</t>
  </si>
  <si>
    <t>связано, вручную; (выбирается наиболее ранняя дата)</t>
  </si>
  <si>
    <t>6</t>
  </si>
  <si>
    <t>Длительность цикла реализации практики</t>
  </si>
  <si>
    <t>6.12</t>
  </si>
  <si>
    <t>Средняя длительность цикла реализации практики (в днях)</t>
  </si>
  <si>
    <t>кол-во дней</t>
  </si>
  <si>
    <t>связано, расчет (сумма дней/кол-во практик)</t>
  </si>
  <si>
    <t>7</t>
  </si>
  <si>
    <t xml:space="preserve">Качество сопровождения процесса развития ИБ </t>
  </si>
  <si>
    <t>7.15</t>
  </si>
  <si>
    <r>
      <t xml:space="preserve">Наличие </t>
    </r>
    <r>
      <rPr>
        <b/>
        <sz val="10"/>
        <color rgb="FF000000"/>
        <rFont val="Times New Roman"/>
        <family val="1"/>
        <charset val="204"/>
      </rPr>
      <t>проектного центра</t>
    </r>
  </si>
  <si>
    <t>связано вручную</t>
  </si>
  <si>
    <t>7.16</t>
  </si>
  <si>
    <t>Количество вовлеченных в реализацию практик консультантов по вопросам инициативного бюджетирования / Общее количество вовлеченных консультантов (РФ)</t>
  </si>
  <si>
    <t>кол-во консультантов</t>
  </si>
  <si>
    <t>7.17</t>
  </si>
  <si>
    <r>
      <t xml:space="preserve">Среднее число вовлеченных консультантов </t>
    </r>
    <r>
      <rPr>
        <i/>
        <sz val="10"/>
        <color rgb="FF000000"/>
        <rFont val="Times New Roman"/>
        <family val="1"/>
        <charset val="204"/>
      </rPr>
      <t>(среди регионов, где есть консультанты)</t>
    </r>
  </si>
  <si>
    <t>7.18</t>
  </si>
  <si>
    <t>Количество вовлеченных в администрирование практик сотрудников органов власти / Общее количество вовлеченных сотрудников органов власти (РФ)</t>
  </si>
  <si>
    <t>кол-во сотрудников органов власти</t>
  </si>
  <si>
    <t>7.19</t>
  </si>
  <si>
    <r>
      <t xml:space="preserve">Среднее число вовлеченных сотрудников власти </t>
    </r>
    <r>
      <rPr>
        <i/>
        <sz val="10"/>
        <color rgb="FF000000"/>
        <rFont val="Times New Roman"/>
        <family val="1"/>
        <charset val="204"/>
      </rPr>
      <t>(среди регионов, где указали их вовлечение)</t>
    </r>
  </si>
  <si>
    <t>34.33</t>
  </si>
  <si>
    <r>
      <t xml:space="preserve">Имеются </t>
    </r>
    <r>
      <rPr>
        <b/>
        <sz val="10"/>
        <color rgb="FF000000"/>
        <rFont val="Times New Roman"/>
        <family val="1"/>
        <charset val="204"/>
      </rPr>
      <t xml:space="preserve">интернет-решения, </t>
    </r>
    <r>
      <rPr>
        <sz val="10"/>
        <color rgb="FF000000"/>
        <rFont val="Times New Roman"/>
        <family val="1"/>
        <charset val="204"/>
      </rPr>
      <t>используемые для управления практикой</t>
    </r>
  </si>
  <si>
    <t>да/нет</t>
  </si>
  <si>
    <t>34.34</t>
  </si>
  <si>
    <t>Доля субъектов, в которых имеются интернет-решения для управления практиками ИБ (среди субъектов, в которых реализовывается ИБ+смеж)</t>
  </si>
  <si>
    <t>30</t>
  </si>
  <si>
    <t>Процедуры конкурсного отбора</t>
  </si>
  <si>
    <t>30.26</t>
  </si>
  <si>
    <r>
      <t xml:space="preserve">Процедуры </t>
    </r>
    <r>
      <rPr>
        <b/>
        <sz val="10"/>
        <color rgb="FF000000"/>
        <rFont val="Times New Roman"/>
        <family val="1"/>
        <charset val="204"/>
      </rPr>
      <t>сбора проектных предложени</t>
    </r>
    <r>
      <rPr>
        <sz val="10"/>
        <color rgb="FF000000"/>
        <rFont val="Times New Roman"/>
        <family val="1"/>
        <charset val="204"/>
      </rPr>
      <t>й: Анкетирование</t>
    </r>
  </si>
  <si>
    <t>30.27</t>
  </si>
  <si>
    <t>Процедуры сбора проектных предложений: Очные встречи и обсуждения граждан</t>
  </si>
  <si>
    <t>30.28</t>
  </si>
  <si>
    <t>Процедуры сбора проектных предложений: Ящики для сбора идей</t>
  </si>
  <si>
    <t>30.29</t>
  </si>
  <si>
    <t>Процедуры сбора проектных предложений: Подача проектных идей (предложений) через интернет</t>
  </si>
  <si>
    <t>30.30</t>
  </si>
  <si>
    <t>Процедуры сбора проектных предложений: Общественные приемные</t>
  </si>
  <si>
    <t>30.31</t>
  </si>
  <si>
    <t>Процедуры сбора проектных предложений: Иной механизм</t>
  </si>
  <si>
    <t>30.32</t>
  </si>
  <si>
    <t>Число процедур сбора проектных предложений / Среднее</t>
  </si>
  <si>
    <t>кол-во механизмов</t>
  </si>
  <si>
    <t>31</t>
  </si>
  <si>
    <t>31.33</t>
  </si>
  <si>
    <r>
      <t xml:space="preserve">Число граждан, принявших </t>
    </r>
    <r>
      <rPr>
        <b/>
        <sz val="10"/>
        <color rgb="FF000000"/>
        <rFont val="Times New Roman"/>
        <family val="1"/>
        <charset val="204"/>
      </rPr>
      <t>участие в процедуре сбора проектных предложений</t>
    </r>
    <r>
      <rPr>
        <sz val="10"/>
        <color rgb="FF000000"/>
        <rFont val="Times New Roman"/>
        <family val="1"/>
        <charset val="204"/>
      </rPr>
      <t>: Анкетирование</t>
    </r>
  </si>
  <si>
    <t>человек</t>
  </si>
  <si>
    <t>31.34</t>
  </si>
  <si>
    <t>Число граждан, принявших участие в процедуре сбора проектных предложений:  Очные встречи и обсуждения граждан</t>
  </si>
  <si>
    <t>31.35</t>
  </si>
  <si>
    <t>Число граждан, принявших участие в процедуре сбора проектных предложений: Ящики для сбора идей</t>
  </si>
  <si>
    <t>31.36</t>
  </si>
  <si>
    <t>Число граждан, принявших участие в процедуре сбора проектных предложений: Подача проектных идей (предложений) через интернет</t>
  </si>
  <si>
    <t>31.37</t>
  </si>
  <si>
    <t>Число граждан, принявших участие в процедуре сбора проектных предложений: Общественные приемные</t>
  </si>
  <si>
    <t>31.38</t>
  </si>
  <si>
    <t>Число граждан, принявших участие в процедуре сбора проектных предложений: Иной механизм</t>
  </si>
  <si>
    <t>31.39</t>
  </si>
  <si>
    <t>Суммарное число граждан, принявших участие в процедурах сбора проектных предложений</t>
  </si>
  <si>
    <t>8</t>
  </si>
  <si>
    <t xml:space="preserve">Механизм отбора проектов </t>
  </si>
  <si>
    <t>8.18</t>
  </si>
  <si>
    <r>
      <rPr>
        <b/>
        <sz val="10"/>
        <color rgb="FF000000"/>
        <rFont val="Times New Roman"/>
        <family val="1"/>
        <charset val="204"/>
      </rPr>
      <t>Процедуры конкурсного отбора</t>
    </r>
    <r>
      <rPr>
        <sz val="10"/>
        <color rgb="FF000000"/>
        <rFont val="Times New Roman"/>
        <family val="1"/>
        <charset val="204"/>
      </rPr>
      <t>: Интернет-голосование за проекты</t>
    </r>
  </si>
  <si>
    <t>8.19</t>
  </si>
  <si>
    <t>Процедуры конкурсного отбора: Очное голосование на собраниях и встречах</t>
  </si>
  <si>
    <t>8.20</t>
  </si>
  <si>
    <t>Процедуры конкурсного отбора: Референдум</t>
  </si>
  <si>
    <t>8.21</t>
  </si>
  <si>
    <t>Процедуры конкурсного отбора: Комиссии граждан</t>
  </si>
  <si>
    <t>8.25</t>
  </si>
  <si>
    <t>Процедуры конкурсного отбора: Комиссии представителей власти</t>
  </si>
  <si>
    <t>8.22</t>
  </si>
  <si>
    <t xml:space="preserve">Процедуры конкурсного отбора: Автоматическая оценка проектов на основе формальных критериев 
</t>
  </si>
  <si>
    <t>8.23</t>
  </si>
  <si>
    <t xml:space="preserve">Процедуры конкурсного отбора: Иной механизм </t>
  </si>
  <si>
    <t>8.24</t>
  </si>
  <si>
    <t>Число механизмов отбора проектов / Среднее</t>
  </si>
  <si>
    <t>32</t>
  </si>
  <si>
    <t>32.25</t>
  </si>
  <si>
    <r>
      <rPr>
        <b/>
        <sz val="10"/>
        <color rgb="FF000000"/>
        <rFont val="Times New Roman"/>
        <family val="1"/>
        <charset val="204"/>
      </rPr>
      <t xml:space="preserve">Число граждан, участвовавших в процедуре конкурсного отбора: </t>
    </r>
    <r>
      <rPr>
        <sz val="10"/>
        <color rgb="FF000000"/>
        <rFont val="Times New Roman"/>
        <family val="1"/>
        <charset val="204"/>
      </rPr>
      <t>Интернет-голосование</t>
    </r>
  </si>
  <si>
    <t>32.26</t>
  </si>
  <si>
    <t>Число граждан, участвовавших в процедуре конкурсного отбора: Очное голосование на собраниях и встречах</t>
  </si>
  <si>
    <t>32.27</t>
  </si>
  <si>
    <t>Число граждан, участвовавших в процедуре конкурсного отбора: Референдум</t>
  </si>
  <si>
    <t>32.28</t>
  </si>
  <si>
    <t>Число граждан, участвовавших в процедуре конкурсного отбора: Комиссии граждан</t>
  </si>
  <si>
    <t>32.29</t>
  </si>
  <si>
    <t>Число граждан, участвовавших в процедуре конкурсного отбора: Комиссии представителей власти</t>
  </si>
  <si>
    <t>32.30</t>
  </si>
  <si>
    <r>
      <t xml:space="preserve">Число граждан, участвовавших в процедуре конкурсного отбора: Автоматическая оценка проектов на основе формальных критериев 
</t>
    </r>
    <r>
      <rPr>
        <i/>
        <sz val="10"/>
        <color rgb="FF000000"/>
        <rFont val="Times New Roman"/>
        <family val="1"/>
        <charset val="204"/>
      </rPr>
      <t>(2017: Независимая оценка проектов на основе заданных критериев на конкурсной основе)</t>
    </r>
  </si>
  <si>
    <t>32.31</t>
  </si>
  <si>
    <t xml:space="preserve">Число граждан, участвовавших в процедуре конкурсного отбора: Иной механизм </t>
  </si>
  <si>
    <t>32.32</t>
  </si>
  <si>
    <t>Суммарное число граждан, участвовавших в процедуре конкурсного отбора</t>
  </si>
  <si>
    <t>9</t>
  </si>
  <si>
    <t xml:space="preserve">Общая стоимость проектов </t>
  </si>
  <si>
    <t>9.25</t>
  </si>
  <si>
    <r>
      <t xml:space="preserve">Общий объем средств, направленных из </t>
    </r>
    <r>
      <rPr>
        <b/>
        <sz val="10"/>
        <color rgb="FF000000"/>
        <rFont val="Times New Roman"/>
        <family val="1"/>
        <charset val="204"/>
      </rPr>
      <t>различных источников</t>
    </r>
    <r>
      <rPr>
        <sz val="10"/>
        <color rgb="FF000000"/>
        <rFont val="Times New Roman"/>
        <family val="1"/>
        <charset val="204"/>
      </rPr>
      <t xml:space="preserve"> на реализацию проектов (млн. руб.)</t>
    </r>
  </si>
  <si>
    <t>млн. руб.</t>
  </si>
  <si>
    <t>9.26</t>
  </si>
  <si>
    <r>
      <t xml:space="preserve">Общий объем средств, направленных из различных источников на реализацию проектов </t>
    </r>
    <r>
      <rPr>
        <u/>
        <sz val="10"/>
        <color rgb="FF000000"/>
        <rFont val="Times New Roman"/>
        <family val="1"/>
        <charset val="204"/>
      </rPr>
      <t xml:space="preserve">для субъектовых практик </t>
    </r>
    <r>
      <rPr>
        <sz val="10"/>
        <color rgb="FF000000"/>
        <rFont val="Times New Roman"/>
        <family val="1"/>
        <charset val="204"/>
      </rPr>
      <t>(млн. руб.)</t>
    </r>
  </si>
  <si>
    <t>9.27</t>
  </si>
  <si>
    <r>
      <t xml:space="preserve">Общий объем средств, направленных из различных источников на реализацию проектов </t>
    </r>
    <r>
      <rPr>
        <u/>
        <sz val="10"/>
        <color rgb="FF000000"/>
        <rFont val="Times New Roman"/>
        <family val="1"/>
        <charset val="204"/>
      </rPr>
      <t xml:space="preserve">для муниципальных практик </t>
    </r>
    <r>
      <rPr>
        <sz val="10"/>
        <color rgb="FF000000"/>
        <rFont val="Times New Roman"/>
        <family val="1"/>
        <charset val="204"/>
      </rPr>
      <t>(млн. руб.)</t>
    </r>
  </si>
  <si>
    <t>10</t>
  </si>
  <si>
    <t>- бюджетные ассигнования на реализацию проектов из бюджета субъекта РФ</t>
  </si>
  <si>
    <t>10.26</t>
  </si>
  <si>
    <r>
      <t xml:space="preserve">Объем бюджетных ассигнований из бюджета </t>
    </r>
    <r>
      <rPr>
        <b/>
        <sz val="10"/>
        <color rgb="FF000000"/>
        <rFont val="Times New Roman"/>
        <family val="1"/>
        <charset val="204"/>
      </rPr>
      <t>субъекта</t>
    </r>
    <r>
      <rPr>
        <sz val="10"/>
        <color rgb="FF000000"/>
        <rFont val="Times New Roman"/>
        <family val="1"/>
        <charset val="204"/>
      </rPr>
      <t xml:space="preserve"> РФ на реализацию проектов (млн. руб.)</t>
    </r>
  </si>
  <si>
    <t>10.27</t>
  </si>
  <si>
    <t>расчет (не анкета!)</t>
  </si>
  <si>
    <t>11</t>
  </si>
  <si>
    <t>- бюджетные ассигнования из бюджетов муниципальных образований</t>
  </si>
  <si>
    <t>11.28</t>
  </si>
  <si>
    <r>
      <t xml:space="preserve">Объем бюджетных ассигнований из бюджетов </t>
    </r>
    <r>
      <rPr>
        <b/>
        <sz val="10"/>
        <color rgb="FF000000"/>
        <rFont val="Times New Roman"/>
        <family val="1"/>
        <charset val="204"/>
      </rPr>
      <t>муниципальных</t>
    </r>
    <r>
      <rPr>
        <sz val="10"/>
        <color rgb="FF000000"/>
        <rFont val="Times New Roman"/>
        <family val="1"/>
        <charset val="204"/>
      </rPr>
      <t xml:space="preserve"> образований на реализацию проектов (млн. руб.)</t>
    </r>
  </si>
  <si>
    <t>11.29</t>
  </si>
  <si>
    <t>12</t>
  </si>
  <si>
    <t>- софинансирование со стороны граждан</t>
  </si>
  <si>
    <t>12.30</t>
  </si>
  <si>
    <r>
      <t>Объем софинансирования со стороны</t>
    </r>
    <r>
      <rPr>
        <b/>
        <sz val="10"/>
        <color rgb="FF000000"/>
        <rFont val="Times New Roman"/>
        <family val="1"/>
        <charset val="204"/>
      </rPr>
      <t xml:space="preserve"> граждан</t>
    </r>
    <r>
      <rPr>
        <sz val="10"/>
        <color rgb="FF000000"/>
        <rFont val="Times New Roman"/>
        <family val="1"/>
        <charset val="204"/>
      </rPr>
      <t xml:space="preserve"> на реализацию проектов (млн. руб.)</t>
    </r>
  </si>
  <si>
    <t>12.31</t>
  </si>
  <si>
    <t>13</t>
  </si>
  <si>
    <t>- софинансирование со стороны индивидуальных предпринимателей и юридических лиц</t>
  </si>
  <si>
    <t>13.32</t>
  </si>
  <si>
    <r>
      <t>Объем софинансирования со стороны индивидуальных предпринимателей и ю</t>
    </r>
    <r>
      <rPr>
        <b/>
        <sz val="10"/>
        <color rgb="FF000000"/>
        <rFont val="Times New Roman"/>
        <family val="1"/>
        <charset val="204"/>
      </rPr>
      <t>ридических лиц</t>
    </r>
    <r>
      <rPr>
        <sz val="10"/>
        <color rgb="FF000000"/>
        <rFont val="Times New Roman"/>
        <family val="1"/>
        <charset val="204"/>
      </rPr>
      <t xml:space="preserve"> на реализацию проектов  (млн. руб.)</t>
    </r>
  </si>
  <si>
    <t>13.33</t>
  </si>
  <si>
    <t>14</t>
  </si>
  <si>
    <t xml:space="preserve"> - иные формы софинансирования</t>
  </si>
  <si>
    <t>14.34</t>
  </si>
  <si>
    <r>
      <t xml:space="preserve">Объем </t>
    </r>
    <r>
      <rPr>
        <b/>
        <sz val="10"/>
        <color rgb="FF000000"/>
        <rFont val="Times New Roman"/>
        <family val="1"/>
        <charset val="204"/>
      </rPr>
      <t>иных форм</t>
    </r>
    <r>
      <rPr>
        <sz val="10"/>
        <color rgb="FF000000"/>
        <rFont val="Times New Roman"/>
        <family val="1"/>
        <charset val="204"/>
      </rPr>
      <t xml:space="preserve"> софинансирования (фонды депутатов, гранты, благотворительные фонды и др.), если таковые были предусмотрены (млн. руб.)</t>
    </r>
  </si>
  <si>
    <t>14.35</t>
  </si>
  <si>
    <t>15</t>
  </si>
  <si>
    <t xml:space="preserve"> - общий объем софинансирования из внебюджетных источников</t>
  </si>
  <si>
    <t>15.36</t>
  </si>
  <si>
    <r>
      <t xml:space="preserve">Общий объем </t>
    </r>
    <r>
      <rPr>
        <b/>
        <sz val="10"/>
        <color rgb="FF000000"/>
        <rFont val="Times New Roman"/>
        <family val="1"/>
        <charset val="204"/>
      </rPr>
      <t>софинансирования из внебюджетных источников</t>
    </r>
    <r>
      <rPr>
        <sz val="10"/>
        <color rgb="FF000000"/>
        <rFont val="Times New Roman"/>
        <family val="1"/>
        <charset val="204"/>
      </rPr>
      <t xml:space="preserve"> (со стороны граждан, ИП и юрлиц, иных форм) (млн.руб.)</t>
    </r>
  </si>
  <si>
    <t>15.37</t>
  </si>
  <si>
    <t>16</t>
  </si>
  <si>
    <t>Внебюджетные средства на 1 руб. бюджета субъекта</t>
  </si>
  <si>
    <t>16.38</t>
  </si>
  <si>
    <t>Объем внебюджетных средств (софинансирование граждан, юрлиц и иных форм) на 1 руб. ассигнований из бюджета субъекта РФ</t>
  </si>
  <si>
    <t>руб.</t>
  </si>
  <si>
    <t>17</t>
  </si>
  <si>
    <t>- использование субсидий из федерального бюджета</t>
  </si>
  <si>
    <t>17.39</t>
  </si>
  <si>
    <r>
      <t xml:space="preserve">Объем субсидий из </t>
    </r>
    <r>
      <rPr>
        <b/>
        <sz val="10"/>
        <color rgb="FF000000"/>
        <rFont val="Times New Roman"/>
        <family val="1"/>
        <charset val="204"/>
      </rPr>
      <t>федерального</t>
    </r>
    <r>
      <rPr>
        <sz val="10"/>
        <color rgb="FF000000"/>
        <rFont val="Times New Roman"/>
        <family val="1"/>
        <charset val="204"/>
      </rPr>
      <t xml:space="preserve"> бюджета, направленных на финансирование проектов(млн. руб.)</t>
    </r>
  </si>
  <si>
    <t>17.40</t>
  </si>
  <si>
    <t>18</t>
  </si>
  <si>
    <t>Доля в бюджете субъекта РФ</t>
  </si>
  <si>
    <t>18.41</t>
  </si>
  <si>
    <t>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</si>
  <si>
    <t>н/д</t>
  </si>
  <si>
    <t>19</t>
  </si>
  <si>
    <t>Средний бюджет ИБ на 1 человека в субъекте РФ</t>
  </si>
  <si>
    <t>19.42</t>
  </si>
  <si>
    <r>
      <t xml:space="preserve">Средний бюджет ИБ+смеж  на 1 человека в субъекте РФ / в РФ </t>
    </r>
    <r>
      <rPr>
        <sz val="10"/>
        <color rgb="FFFF0000"/>
        <rFont val="Times New Roman"/>
        <family val="1"/>
        <charset val="204"/>
      </rPr>
      <t>(</t>
    </r>
    <r>
      <rPr>
        <i/>
        <sz val="10"/>
        <color rgb="FFFF0000"/>
        <rFont val="Times New Roman"/>
        <family val="1"/>
        <charset val="204"/>
      </rPr>
      <t>среди субъектов, где имеются практики ИБ+смежные)</t>
    </r>
  </si>
  <si>
    <t>Бюджетная поддержка из бюджета субъекта ИБ+смеж на 1 человека в субъекте РФ</t>
  </si>
  <si>
    <t xml:space="preserve">Средний бюджет ИБ на 1 человека в РФ </t>
  </si>
  <si>
    <t>19.43</t>
  </si>
  <si>
    <r>
      <t>Средний бюджет ИБ на 1 человека в РФ (</t>
    </r>
    <r>
      <rPr>
        <i/>
        <sz val="10"/>
        <color rgb="FF000000"/>
        <rFont val="Times New Roman"/>
        <family val="1"/>
        <charset val="204"/>
      </rPr>
      <t>в целом на все население РФ)</t>
    </r>
  </si>
  <si>
    <t>20</t>
  </si>
  <si>
    <t>Планы финансирования практики из бюджета субъекта РФ на следующий период</t>
  </si>
  <si>
    <t>20.44</t>
  </si>
  <si>
    <t>20.45</t>
  </si>
  <si>
    <t>Доля указанных бюджетных средств в общем объеме расходов бюджета субъекта РФ на 2020 год</t>
  </si>
  <si>
    <t>33.33</t>
  </si>
  <si>
    <r>
      <t xml:space="preserve">Предусмотрен </t>
    </r>
    <r>
      <rPr>
        <b/>
        <sz val="10"/>
        <color rgb="FF000000"/>
        <rFont val="Times New Roman"/>
        <family val="1"/>
        <charset val="204"/>
      </rPr>
      <t>нефинансовый (трудовой) вклад</t>
    </r>
    <r>
      <rPr>
        <sz val="10"/>
        <color rgb="FF000000"/>
        <rFont val="Times New Roman"/>
        <family val="1"/>
        <charset val="204"/>
      </rPr>
      <t xml:space="preserve"> со стороны населения, индивидуальных предпринимателей и юридических лиц</t>
    </r>
  </si>
  <si>
    <t>33.34</t>
  </si>
  <si>
    <t>Доля субъектов, в которых предусмотрен трудовой вклад (среди субъектов, в которых реализовывается ИБ+смеж)</t>
  </si>
  <si>
    <t>22</t>
  </si>
  <si>
    <t>Типология реализованных проектов</t>
  </si>
  <si>
    <t>22.52</t>
  </si>
  <si>
    <t>(1) Водоснабжение, водоотведение</t>
  </si>
  <si>
    <t>кол-во проектов</t>
  </si>
  <si>
    <t>22.53</t>
  </si>
  <si>
    <t>22.54</t>
  </si>
  <si>
    <t>(2) Автомобильные дороги</t>
  </si>
  <si>
    <t>22.55</t>
  </si>
  <si>
    <t>22.56</t>
  </si>
  <si>
    <t>(3) Уличное освещение</t>
  </si>
  <si>
    <t>22.57</t>
  </si>
  <si>
    <t>22.58</t>
  </si>
  <si>
    <t>(4) Пожарная безопасность</t>
  </si>
  <si>
    <t>22.59</t>
  </si>
  <si>
    <t>22.60</t>
  </si>
  <si>
    <t>(5) Обеспечение жителей услугами бытового обслуживания</t>
  </si>
  <si>
    <t>22.61</t>
  </si>
  <si>
    <t>22.62</t>
  </si>
  <si>
    <t>(6) Культурное наследие (памятники, музеи)</t>
  </si>
  <si>
    <t>22.63</t>
  </si>
  <si>
    <t>22.64</t>
  </si>
  <si>
    <t>(7) Образование</t>
  </si>
  <si>
    <t>22.65</t>
  </si>
  <si>
    <t>22.87</t>
  </si>
  <si>
    <t>22.88</t>
  </si>
  <si>
    <t>22.66</t>
  </si>
  <si>
    <t>(8) Физическая культура и массовый спорт</t>
  </si>
  <si>
    <t>22.67</t>
  </si>
  <si>
    <t>22.89</t>
  </si>
  <si>
    <t>Проекты комплексного благоустройства дворов</t>
  </si>
  <si>
    <t>22.90</t>
  </si>
  <si>
    <t>22.68</t>
  </si>
  <si>
    <t>(9) Детские игровые площадки</t>
  </si>
  <si>
    <t>22.69</t>
  </si>
  <si>
    <t>22.70</t>
  </si>
  <si>
    <t>(10) Места массового отдыха населения и объекты организации благоустройства</t>
  </si>
  <si>
    <t>22.71</t>
  </si>
  <si>
    <t>22.72</t>
  </si>
  <si>
    <t>(11) Места захоронений</t>
  </si>
  <si>
    <t>22.73</t>
  </si>
  <si>
    <t>22.74</t>
  </si>
  <si>
    <t>(12) Сбор твердых коммунальных/бытовых отходов и мусора</t>
  </si>
  <si>
    <t>22.75</t>
  </si>
  <si>
    <t>22.76</t>
  </si>
  <si>
    <t>(13) Событийные проекты (праздники, фестивали)</t>
  </si>
  <si>
    <t>22.77</t>
  </si>
  <si>
    <t>22.78</t>
  </si>
  <si>
    <t>(14) ЖКХ (ремонт фасадов и кровли), организация теплоснабжения, канализации, газопроводов</t>
  </si>
  <si>
    <t>22.79</t>
  </si>
  <si>
    <t>22.80</t>
  </si>
  <si>
    <t>(15) Крупные инфраструктурные проекты (мосты, плотины, благоустройство водоемов)</t>
  </si>
  <si>
    <t>22.81</t>
  </si>
  <si>
    <t>22.82</t>
  </si>
  <si>
    <t>(16) Приобретение оборудования, техники, транспорта</t>
  </si>
  <si>
    <t>22.83</t>
  </si>
  <si>
    <t>22.91</t>
  </si>
  <si>
    <t>22.92</t>
  </si>
  <si>
    <t>22.84</t>
  </si>
  <si>
    <t>(17) Другое (объединенный показатель)</t>
  </si>
  <si>
    <t>22.85</t>
  </si>
  <si>
    <t>23</t>
  </si>
  <si>
    <t>Общее количество реализованных проектов</t>
  </si>
  <si>
    <t>23.86</t>
  </si>
  <si>
    <r>
      <t xml:space="preserve">Общее количество реализованных проектов  </t>
    </r>
    <r>
      <rPr>
        <i/>
        <sz val="10"/>
        <color rgb="FF000000"/>
        <rFont val="Times New Roman"/>
        <family val="1"/>
        <charset val="204"/>
      </rPr>
      <t>(включая те, завершение которых было перенесено на 2020 г.)</t>
    </r>
  </si>
  <si>
    <t>24</t>
  </si>
  <si>
    <t>Средняя стоимость реализованного проекта</t>
  </si>
  <si>
    <t>24.87</t>
  </si>
  <si>
    <t>Средняя стоимость одного реализованного проекта (включая те, завершение которых перенесено на 2020 г.) (млн.руб.)</t>
  </si>
  <si>
    <t xml:space="preserve">расчет (Общая стоимость проектов / общее количество реализованных проектов (включая те, завершение которых было перенесено на следующий календарный период) </t>
  </si>
  <si>
    <t>25</t>
  </si>
  <si>
    <t>Объем бюджетной и внебюджетной (субъектовой) поддержки на один проект</t>
  </si>
  <si>
    <t>25.88</t>
  </si>
  <si>
    <t>Средний размер субсидии из бюджета субъекта на один реализованный проект (млн.руб.)</t>
  </si>
  <si>
    <t>расчет (размер рег.бюджетной субсидии / количество реализованных проектов, включая отложенные на 2018 г.)</t>
  </si>
  <si>
    <t>25.89</t>
  </si>
  <si>
    <t>Средний размер внебюджетной поддержки на один реализованный проект (млн.руб.)</t>
  </si>
  <si>
    <t>расчет (граждане+юрлица+иное / количество реализованных проектов, включая отложенные на 2018 г.)</t>
  </si>
  <si>
    <t>26</t>
  </si>
  <si>
    <t xml:space="preserve">Типология практик по обеспеченности возможности выбора типа проекта </t>
  </si>
  <si>
    <t>26.90</t>
  </si>
  <si>
    <r>
      <t xml:space="preserve">Практики </t>
    </r>
    <r>
      <rPr>
        <b/>
        <sz val="10"/>
        <color rgb="FF000000"/>
        <rFont val="Times New Roman"/>
        <family val="1"/>
        <charset val="204"/>
      </rPr>
      <t>широкого спектра</t>
    </r>
    <r>
      <rPr>
        <sz val="10"/>
        <color rgb="FF000000"/>
        <rFont val="Times New Roman"/>
        <family val="1"/>
        <charset val="204"/>
      </rPr>
      <t xml:space="preserve"> (обеспечена возможность выбора из широкого перечня возможных проектов (вопросы местного значения))</t>
    </r>
  </si>
  <si>
    <t>26.91</t>
  </si>
  <si>
    <t>Практики узкого спектра (обеспечена возможность выбора из ограниченного перечня возможных проектов (2-3 типа проектов))</t>
  </si>
  <si>
    <t>26.92</t>
  </si>
  <si>
    <t>Специализированные практики (без возможности выбора из разных типов проектов (предусматривающая 1 тип проектов))</t>
  </si>
  <si>
    <t>Конкурсность</t>
  </si>
  <si>
    <t>27.96</t>
  </si>
  <si>
    <r>
      <t xml:space="preserve">(9.1.) Количество </t>
    </r>
    <r>
      <rPr>
        <b/>
        <sz val="10"/>
        <color rgb="FF000000"/>
        <rFont val="Times New Roman"/>
        <family val="1"/>
        <charset val="204"/>
      </rPr>
      <t>проектных идей (предложений)</t>
    </r>
  </si>
  <si>
    <t>27.93</t>
  </si>
  <si>
    <t xml:space="preserve">(9.2.) Количество одобренных гражданами проектных заявок, прошедших технический анализ и зарегистрированных для участия в конкурсных процедурах </t>
  </si>
  <si>
    <t>кол-во заявок</t>
  </si>
  <si>
    <t>27.94</t>
  </si>
  <si>
    <t>(9.3.) Количество заявок-победителей, которые прошли конкурсный отбор</t>
  </si>
  <si>
    <t>27.97</t>
  </si>
  <si>
    <t>Доля зарегиистрированных заявок от общего количества проектных идей (предложений) (9.2. / 9.1.)</t>
  </si>
  <si>
    <t>27.95</t>
  </si>
  <si>
    <t>Доля заявок-победителей от количества зарегистрированных заявок (9.3. / 9.2.)</t>
  </si>
  <si>
    <t>27.98</t>
  </si>
  <si>
    <t>Доля заявок-победителей от количества проектных идей (предложений) (9.3. / 9.1.)</t>
  </si>
  <si>
    <t>Количество благополучателей реализованных проектов</t>
  </si>
  <si>
    <t>28.96</t>
  </si>
  <si>
    <r>
      <t xml:space="preserve">Количество </t>
    </r>
    <r>
      <rPr>
        <b/>
        <sz val="10"/>
        <color rgb="FF000000"/>
        <rFont val="Times New Roman"/>
        <family val="1"/>
        <charset val="204"/>
      </rPr>
      <t>благополучателей</t>
    </r>
  </si>
  <si>
    <t>тыс. чел.</t>
  </si>
  <si>
    <t>28.97</t>
  </si>
  <si>
    <r>
      <t>Доля благополучателей от общего количества граждан, проживающих в субъекте РФ (%)  / Средняя доля благополучателей среди субъектов РФ</t>
    </r>
    <r>
      <rPr>
        <sz val="10"/>
        <color rgb="FFFF0000"/>
        <rFont val="Times New Roman"/>
        <family val="1"/>
        <charset val="204"/>
      </rPr>
      <t xml:space="preserve"> (</t>
    </r>
    <r>
      <rPr>
        <i/>
        <sz val="10"/>
        <color rgb="FFFF0000"/>
        <rFont val="Times New Roman"/>
        <family val="1"/>
        <charset val="204"/>
      </rPr>
      <t>где имеются ИБ+смежные практики)</t>
    </r>
  </si>
  <si>
    <t>.97</t>
  </si>
  <si>
    <r>
      <t>Средняя доля благополучателей</t>
    </r>
    <r>
      <rPr>
        <sz val="10"/>
        <color rgb="FFFF0000"/>
        <rFont val="Times New Roman"/>
        <family val="1"/>
        <charset val="204"/>
      </rPr>
      <t xml:space="preserve"> для населения РФ в целом</t>
    </r>
  </si>
  <si>
    <t>29</t>
  </si>
  <si>
    <t>Население субъектов РФ</t>
  </si>
  <si>
    <t>29.98</t>
  </si>
  <si>
    <t>Росстат</t>
  </si>
  <si>
    <t>NEW</t>
  </si>
  <si>
    <r>
      <t xml:space="preserve">Техническая переменная: РФ в целом (2020г., в среднем, Росстат)
</t>
    </r>
    <r>
      <rPr>
        <i/>
        <sz val="10"/>
        <color rgb="FFFF0000"/>
        <rFont val="Times New Roman"/>
        <family val="1"/>
        <charset val="204"/>
      </rPr>
      <t>(СЧИТАЕТСЯ ВСЕ НАСЕЛЕНИЕ В ВОЗРАСТЕ 0+)</t>
    </r>
  </si>
  <si>
    <t>ДЛЯ СУБЪЕКТОВЫХ ПРАКТИК</t>
  </si>
  <si>
    <t>С10</t>
  </si>
  <si>
    <t>С10.26</t>
  </si>
  <si>
    <t>Суб.: Объем бюджетных ассигнований из бюджета субъекта РФ на реализацию проектов (млн. руб.)</t>
  </si>
  <si>
    <t>С10.27</t>
  </si>
  <si>
    <t>Суб.: Доля этих средств в общей стоимости проектов</t>
  </si>
  <si>
    <t>С11</t>
  </si>
  <si>
    <t>С11.28</t>
  </si>
  <si>
    <t>Суб.: Объем бюджетных ассигнований из бюджетов муниципальных образований на реализацию проектов (млн. руб.)</t>
  </si>
  <si>
    <t>С11.29</t>
  </si>
  <si>
    <t>С12</t>
  </si>
  <si>
    <t>С12.30</t>
  </si>
  <si>
    <t>Суб.: Объем софинансирования со стороны граждан на реализацию проектов (млн. руб.)</t>
  </si>
  <si>
    <t>С12.31</t>
  </si>
  <si>
    <t>С13</t>
  </si>
  <si>
    <t>С13.32</t>
  </si>
  <si>
    <t>Суб.: Объем софинансирования со стороны индивидуальных предпринимателей и юридических лиц на реализацию проектов  (млн. руб.)</t>
  </si>
  <si>
    <t>С13.33</t>
  </si>
  <si>
    <t>С14</t>
  </si>
  <si>
    <t>С14.34</t>
  </si>
  <si>
    <t>Суб.: Объем иных форм софинансирования (фонды депутатов, гранты, благотворительные фонды и др.), если таковые были предусмотрены (млн. руб.)</t>
  </si>
  <si>
    <t>С14.35</t>
  </si>
  <si>
    <t>С15</t>
  </si>
  <si>
    <t>С15.36</t>
  </si>
  <si>
    <t>Суб.: Общий объем софинансирования из внебюджетных источников (со стороны граждан, ИП и юрлиц, иных форм) (млн.руб.)</t>
  </si>
  <si>
    <t>С15.37</t>
  </si>
  <si>
    <t>С16</t>
  </si>
  <si>
    <t>С16.38</t>
  </si>
  <si>
    <t>Суб.: Объем внебюджетных средств (софинансирование граждан, юрлиц и иных форм) на 1 руб. ассигнований из бюджета субъекта РФ</t>
  </si>
  <si>
    <t>С17</t>
  </si>
  <si>
    <t>С17.39</t>
  </si>
  <si>
    <t>Суб.: Объем субсидий из федерального бюджета, направленных на финансирование проектов(млн. руб.)</t>
  </si>
  <si>
    <t>С17.40</t>
  </si>
  <si>
    <t>С18</t>
  </si>
  <si>
    <t>С18.41</t>
  </si>
  <si>
    <t>Суб.: Доля бюджетных ассигнований из бюджета субъекта РФ, направленных на реализацию проектов в общем объеме расходов бюджета субъекта РФ в исследуемом периоде</t>
  </si>
  <si>
    <t>С19</t>
  </si>
  <si>
    <t>С19.42</t>
  </si>
  <si>
    <t>Суб.: Средний бюджет ИБ+смеж на 1 человека в субъекте РФ / В РФ (среди субъектов, где имеются практики ИБ+смежные)</t>
  </si>
  <si>
    <t>С19.43</t>
  </si>
  <si>
    <t>Средний бюджет ИБ на 1 человека в РФ (в целом на все население РФ)</t>
  </si>
  <si>
    <t>С22</t>
  </si>
  <si>
    <t>С22.52</t>
  </si>
  <si>
    <t>С22.53</t>
  </si>
  <si>
    <t>С22.54</t>
  </si>
  <si>
    <t>С22.55</t>
  </si>
  <si>
    <t>С22.56</t>
  </si>
  <si>
    <t>С22.57</t>
  </si>
  <si>
    <t>С22.58</t>
  </si>
  <si>
    <t>С22.59</t>
  </si>
  <si>
    <t>С22.60</t>
  </si>
  <si>
    <t>С22.61</t>
  </si>
  <si>
    <t>С22.62</t>
  </si>
  <si>
    <t>С22.63</t>
  </si>
  <si>
    <t>С22.64</t>
  </si>
  <si>
    <t>С22.65</t>
  </si>
  <si>
    <t>С22.87</t>
  </si>
  <si>
    <t>С22.88</t>
  </si>
  <si>
    <t>С22.66</t>
  </si>
  <si>
    <t>С22.67</t>
  </si>
  <si>
    <t>С22.89</t>
  </si>
  <si>
    <t>С22.90</t>
  </si>
  <si>
    <t>С22.68</t>
  </si>
  <si>
    <t>С22.69</t>
  </si>
  <si>
    <t>С22.70</t>
  </si>
  <si>
    <t>С22.71</t>
  </si>
  <si>
    <t>С22.72</t>
  </si>
  <si>
    <t>С22.73</t>
  </si>
  <si>
    <t>С22.74</t>
  </si>
  <si>
    <t>С22.75</t>
  </si>
  <si>
    <t>С22.76</t>
  </si>
  <si>
    <t>С22.77</t>
  </si>
  <si>
    <t>С22.78</t>
  </si>
  <si>
    <t>С22.79</t>
  </si>
  <si>
    <t>С22.80</t>
  </si>
  <si>
    <t>С22.81</t>
  </si>
  <si>
    <t>С22.82</t>
  </si>
  <si>
    <t>С22.83</t>
  </si>
  <si>
    <t>С22.91</t>
  </si>
  <si>
    <t>С22.92</t>
  </si>
  <si>
    <t>С22.84</t>
  </si>
  <si>
    <t>С22.85</t>
  </si>
  <si>
    <t>С23</t>
  </si>
  <si>
    <t>С23.86</t>
  </si>
  <si>
    <t>Суб.: Общее количество реализованных проектов  (включая те, завершение которых было перенесено на 2019 г.)</t>
  </si>
  <si>
    <t>С24</t>
  </si>
  <si>
    <t>С24.87</t>
  </si>
  <si>
    <t>Суб.: Средняя стоимость одного реализованного проекта (включая те, завершение которых перенесено на 2018 г.) (млн.руб.)</t>
  </si>
  <si>
    <t>С25</t>
  </si>
  <si>
    <t>С25.88</t>
  </si>
  <si>
    <t>Суб.: Средний размер субсидии из бюджета субъекта на один реализованный проект (млн.руб.)</t>
  </si>
  <si>
    <t>С25.89</t>
  </si>
  <si>
    <t>Суб.: Средний размер внебюджетной поддержки на один реализованный проект (млн.руб.)</t>
  </si>
  <si>
    <t>ДЛЯ МУНИЦИПАЛЬНЫХ ПРАКТИК</t>
  </si>
  <si>
    <t>Мун.: Объем бюджетных ассигнований из бюджета субъекта РФ на реализацию проектов (млн. руб.)</t>
  </si>
  <si>
    <t>Мун.: Доля этих средств в общей стоимости проектов</t>
  </si>
  <si>
    <t>Мун.: Объем бюджетных ассигнований из бюджетов муниципальных образований на реализацию проектов (млн. руб.)</t>
  </si>
  <si>
    <t>Мун.: Объем софинансирования со стороны граждан на реализацию проектов (млн. руб.)</t>
  </si>
  <si>
    <t>Мун.: Объем софинансирования со стороны индивидуальных предпринимателей и юридических лиц на реализацию проектов  (млн. руб.)</t>
  </si>
  <si>
    <t>Мун.: Объем иных форм софинансирования (фонды депутатов, гранты, благотворительные фонды и др.), если таковые были предусмотрены (млн. руб.)</t>
  </si>
  <si>
    <t>Мун.: Общий объем софинансирования из внебюджетных источников (со стороны граждан, ИП и юрлиц, иных форм) (млн.руб.)</t>
  </si>
  <si>
    <t>Мун.: Объем внебюджетных средств (софинансирование граждан, юрлиц и иных форм) на 1 руб. ассигнований из муниципального бюджета субъекта РФ</t>
  </si>
  <si>
    <t>Мун.: Объем субсидий из федерального бюджета, направленных на финансирование проектов(млн. руб.)</t>
  </si>
  <si>
    <t>Мун.: Доля бюджетных ассигнований из муниципального бюджета, направленных на реализацию проектов, в общем объеме расходов муниципального бюджета в исследуемом периоде</t>
  </si>
  <si>
    <t>Мун.: Средний бюджет ИБ+смеж на 1 человека в субъекте РФ / В РФ (среди субъектов, где имеются практики ИБ+смежные)</t>
  </si>
  <si>
    <t>Мун.: Общее количество реализованных проектов  (включая те, завершение которых было перенесено на 2019 г.)</t>
  </si>
  <si>
    <t>Мун.: Средняя стоимость одного реализованного проекта (включая те, завершение которых перенесено на 2018 г.) (млн.руб.)</t>
  </si>
  <si>
    <t>Мун.: Средний размер субсидии из муниципального субъекта на один реализованный проект (млн.руб.)</t>
  </si>
  <si>
    <t>Мун.: Средний размер внебюджетной поддержки на один реализованный проект (млн.руб.)</t>
  </si>
  <si>
    <t>Алтай, республика</t>
  </si>
  <si>
    <t>суб/мун</t>
  </si>
  <si>
    <t>суб</t>
  </si>
  <si>
    <t>мун</t>
  </si>
  <si>
    <t>Параметры</t>
  </si>
  <si>
    <t>Общая стоимость проектов ИБ, в том числе:</t>
  </si>
  <si>
    <t>– Объем расходов на реализацию проектов ИБ, направленных из бюджетов субъектов РФ</t>
  </si>
  <si>
    <t>– Общий объем софинансирования из всех источников, в том числе:</t>
  </si>
  <si>
    <t xml:space="preserve">     – объем расходов на реализацию проектов ИБ, направленных из федерального бюджета</t>
  </si>
  <si>
    <t xml:space="preserve">     – объем расходов на реализацию проектов ИБ, направленных из бюджетов муниципалитетов</t>
  </si>
  <si>
    <t xml:space="preserve">     – объем средств софинансирования, привлеченных на реализацию проектов ИБ со стороны населения</t>
  </si>
  <si>
    <t xml:space="preserve">     – объем средств софинансирования, привлеченных на реализацию проектов ИБ со стороны юридических лиц</t>
  </si>
  <si>
    <t xml:space="preserve">     – иные формы софинансирования</t>
  </si>
  <si>
    <t>Общий объем финансирования из бюджетов всех уровней, в том числе:</t>
  </si>
  <si>
    <t>– объем расходов на реализацию проектов ИБ, направленных из федерального бюджета</t>
  </si>
  <si>
    <t>– объем расходов на реализацию проектов ИБ, направленных из бюджетов субъектов РФ</t>
  </si>
  <si>
    <t>– объем расходов на реализацию проектов ИБ, направленных из бюджетов муниципалитетов</t>
  </si>
  <si>
    <t>Общий объем внебюджетного софинансирования из прочих источников, в том числе:</t>
  </si>
  <si>
    <t>– объем средств софинансирования, привлеченных на реализацию проектов ИБ со стороны населения</t>
  </si>
  <si>
    <t>– объем средств софинансирования, привлеченных на реализацию проектов ИБ со стороны юридических лиц</t>
  </si>
  <si>
    <t>– иные формы софинансирования</t>
  </si>
  <si>
    <t>Типы проектов ИБ</t>
  </si>
  <si>
    <t>2017 г.</t>
  </si>
  <si>
    <t>2018 г.</t>
  </si>
  <si>
    <t>Обеспечение жителей услугами бытового обслуживания</t>
  </si>
  <si>
    <t>Проекты в сфере культуры, библиотечного дела, ремонт домов культуры (до 2017 г. - здесь же: "образовательные учреждения")</t>
  </si>
  <si>
    <t>Сбор твердых коммунальных / бытовых отходов и мусора</t>
  </si>
  <si>
    <t>ЖКХ (ремонт фасадов и кровли), организация теплоснабжения, канализации, газопроводов</t>
  </si>
  <si>
    <t>Крупные инфраструктурные проекты (мосты, плотины, благоустройство водоемов)</t>
  </si>
  <si>
    <t>Иные объекты</t>
  </si>
  <si>
    <t>Всего проектов:</t>
  </si>
  <si>
    <t>Количество проектных идей-предложений</t>
  </si>
  <si>
    <t>Количество поданных заявок (одобренных гражданами проектных заявок, прошедших технический анализ и зарегистрированных для участия в конкурсных процедурах)</t>
  </si>
  <si>
    <t>Количество проектов-победителей, которые прошли конкурсный отбор</t>
  </si>
  <si>
    <t>Количество реализованных проектов (для 2017 и 2018: включая проекты, реализация которых перенесена на 2019 год)</t>
  </si>
  <si>
    <t>Проекты, завершаемые в следующий год</t>
  </si>
  <si>
    <t xml:space="preserve">  - Средний размер субсидии из бюджета субъекта на один реализованный проект (млн.руб.)</t>
  </si>
  <si>
    <t xml:space="preserve">  - Средний размер субсидии из муниципального бюджета на один реализованный проект (млн.руб.)</t>
  </si>
  <si>
    <t>2020 г.</t>
  </si>
  <si>
    <t>Параметры 1-го уровня</t>
  </si>
  <si>
    <t>Параметры 2-го уровня</t>
  </si>
  <si>
    <t>Субъект РФ, муниципальное образование</t>
  </si>
  <si>
    <t>0.2.</t>
  </si>
  <si>
    <r>
      <t xml:space="preserve">Название </t>
    </r>
    <r>
      <rPr>
        <b/>
        <sz val="12"/>
        <color rgb="FFC00000"/>
        <rFont val="Times New Roman"/>
        <family val="1"/>
        <charset val="204"/>
      </rPr>
      <t>МУНИЦИПАЛЬНОЙ</t>
    </r>
    <r>
      <rPr>
        <sz val="12"/>
        <rFont val="Times New Roman"/>
        <family val="1"/>
        <charset val="204"/>
      </rPr>
      <t xml:space="preserve"> практики</t>
    </r>
  </si>
  <si>
    <t>В официальных документах (распоряжениях и постановлениях местных органов власти, и иных нормативно-правовых актах)</t>
  </si>
  <si>
    <t>Год, с которого было начато финансирование практики в муниципальном образовании</t>
  </si>
  <si>
    <t>2019 (проект "Бюджет твоих возможностей")
2020 (школьный проект "Большая перемена")</t>
  </si>
  <si>
    <t>Даты начала и завершения мероприятий по выбору и реализации проектов, которые были профинансированы в 2020 году</t>
  </si>
  <si>
    <t>15 апреля 2019 года (дата начала приема заявок на участие по проекту "Бюджет твоих возможностей")
2 марта 2020 года (дата начала приема заявок на участие по проекту "Большая перемена")</t>
  </si>
  <si>
    <t>28 сентября 2020 года (реализация и торжественное открытие последней из 4 инициатив по проекту "Бюджет твоих возможностей")
28 декабря 2020 года (реализация и торжественное открытие последней из 3 инициатив по проекту "Большая перемена")</t>
  </si>
  <si>
    <t>* Объем ассигнований за счет средств бюджета муниципального образования на финансирование проектов в 2020 году составил 7,436 млн руб., из них:</t>
  </si>
  <si>
    <t>- Комитет городского хозяйства администрации городского округа "Город Калининград" (МКУ "КР МКД") - 6,436 млн руб.;</t>
  </si>
  <si>
    <t>Местный орган исполнительной власти, ответственный за реализацию практики в муниципальном образовании</t>
  </si>
  <si>
    <t>- Комитет развитие дорожно - транспортной инфроструктуры администрации городского округа "Город Калининград" (МКУ "ГДСР") - 1,000 млн руб.</t>
  </si>
  <si>
    <t>Главный распорядитель бюджетных средств на проекты</t>
  </si>
  <si>
    <t xml:space="preserve">** Предусмотренный  в бюджете ГО "Город Калининград" на 2021 год объем бюджетных ассигнований составляет 15,689 млн руб., из них 5,089 млн руб. предусмотрено в связи с возвратом платежа на счет  МКУ "КР МКД" за выполненные работы в рамках реализации инициативных проектов 2020 года  (допущена ошибка в реквизитах при оплате счета). </t>
  </si>
  <si>
    <t xml:space="preserve">Непосредственный получатель / получатели бюджетных ассигнований </t>
  </si>
  <si>
    <t>Общая стоимость проектов ИБ, инициативных проектов в 2020 году</t>
  </si>
  <si>
    <t xml:space="preserve">Общий объем средств, направленных из различных источников на финансирование проектов </t>
  </si>
  <si>
    <t>кассовый расход</t>
  </si>
  <si>
    <t>0,167</t>
  </si>
  <si>
    <t>бюджетные ассигнования на реализацию проектов из бюджета муниципального образования</t>
  </si>
  <si>
    <t xml:space="preserve">Объем ассигнований из бюджета муниципального образования на финансирование проектов в 2020 году </t>
  </si>
  <si>
    <t>0,011471</t>
  </si>
  <si>
    <t>роспись исполнено</t>
  </si>
  <si>
    <t>бюджет города исполнено</t>
  </si>
  <si>
    <t>0,005529</t>
  </si>
  <si>
    <t>исполнено роспись 12759432314,21</t>
  </si>
  <si>
    <t>средства софинансирования со стороны юридических лиц и индивидуальных предпринимателей, включая инициативные платежи</t>
  </si>
  <si>
    <t>Объем софинансирования со стороны юридических лиц и индивидуальных предпринимателей на финансовое обеспечение проектов в 2020 году всего 9,601 млн.рублей,в том числе средства индивидуальных предпринимателей -7,579 млн.рублей; средства фонда - 2,022 млн.рублей.</t>
  </si>
  <si>
    <t>0.260951</t>
  </si>
  <si>
    <t xml:space="preserve">Стоимость работ, услуг, материалов в общей стоимости проектов, если это учитывалось </t>
  </si>
  <si>
    <t>Оценка нефинансового вклада не производилась, в связи с отсуствием принятой методики</t>
  </si>
  <si>
    <t>0,270</t>
  </si>
  <si>
    <t>Планы финансирования практики из бюджета муниципального образования на 2021 год</t>
  </si>
  <si>
    <t>Объем бюджетных ассигнований из бюджета муниципального образования, которые запланированы в рамках практики на реализацию проектов в 2021 году</t>
  </si>
  <si>
    <t>** Пояснения к п. 8  таблицы:  в связи с вступлением в силу с 01.01.2021 положений 131-ФЗ, осуществление проекта с 2021 года прекращается. Запланированная к реализации в 2021 году инициатива "Создание универсальной детско-спортивной площадки ( МОУ СОШ № 40, г. Магнитогорск, ул. Калмыкова, д. 2) является конечной  в проекте "Я планирую бюджет".</t>
  </si>
  <si>
    <t>Доля указанных бюджетных средств в общем объеме расходов бюджета муниципального образования на 2021 год</t>
  </si>
  <si>
    <t>план роспись 15225433570,66</t>
  </si>
  <si>
    <t>113 (по проекту "Бюджет твоих возможностей")
68 (по школьному проекту "Большая перемена")</t>
  </si>
  <si>
    <t>10   Статистика не велась</t>
  </si>
  <si>
    <t>20 (по проекту "Бюджет твоих возможностей")
22 (по школьному проекту "Большая перемена")</t>
  </si>
  <si>
    <t>4 (по проекту "Бюджет твоих возможностей")
3 (по школьному проекту "Большая перемена")</t>
  </si>
  <si>
    <t>Комплексное благоустройства дворов</t>
  </si>
  <si>
    <t>Проекты ЖКХ, ремонт многоквартирных домов</t>
  </si>
  <si>
    <t>Крупные инфраструктурные проекты (мосты, плотины, водоемы)</t>
  </si>
  <si>
    <t>Другое (опишите _________________ )</t>
  </si>
  <si>
    <r>
      <t xml:space="preserve">Итого: </t>
    </r>
    <r>
      <rPr>
        <i/>
        <sz val="12"/>
        <rFont val="Times New Roman"/>
        <family val="1"/>
        <charset val="204"/>
      </rPr>
      <t>(считается автоматически)</t>
    </r>
  </si>
  <si>
    <t>число; сумма ячеек Е31:Е51</t>
  </si>
  <si>
    <t>Количество граждан, на удовлетворение потребностей которых направлены проекты, профинансированные в 2019 году</t>
  </si>
  <si>
    <t>Доля благополучателей от общего количества жителей муниципального образования. Указать источник статистиски о количестве жителей</t>
  </si>
  <si>
    <t xml:space="preserve">https://www.arhcity.ru/?page=31/2 </t>
  </si>
  <si>
    <t>Общее количество граждан, проживавших в муниципальном образовании на 1 января 2020 года, или средняя численность за год. Указать источник статистики о количестве жителей</t>
  </si>
  <si>
    <t>Организация сопровождения практики ИБ</t>
  </si>
  <si>
    <t>12.4</t>
  </si>
  <si>
    <t>Если проектного центра нет, указать количество администрирующих реализацию практики сотрудников</t>
  </si>
  <si>
    <t xml:space="preserve">Процедуры сбора и выдвижения проектных идей от граждан и количество граждан, принявших в них участие </t>
  </si>
  <si>
    <t>Ящики для сбора идей</t>
  </si>
  <si>
    <t>Наличие интернет-решения, используемого для управления практикой ИБ</t>
  </si>
  <si>
    <t>Ссылки на иные официальные и неофициальные информационные ресурсы, в том числе в социальных сетях</t>
  </si>
  <si>
    <t>19.4.</t>
  </si>
  <si>
    <t>Описание того, каким образом и в каких масштабах проводилась рекламная кампания ИБ в муниципальном образовании (ТВ, радио, наружная реклама, социальные сети и др.). Ссылки на примеры, обеспечившие самый большой охват населения</t>
  </si>
  <si>
    <t>19.5.</t>
  </si>
  <si>
    <t>Указать формат, периодичность и состав участников</t>
  </si>
  <si>
    <t xml:space="preserve">Контактное лицо от финансового органа субъекта РФ </t>
  </si>
  <si>
    <t>ИБ/смеж</t>
  </si>
  <si>
    <t>Дагестан, республика</t>
  </si>
  <si>
    <t>01.03.2020</t>
  </si>
  <si>
    <t>«Поощрение проектов, реализуемых в рамках территориального общественного самоуправления в муниципальных образованиях Воронежской области»</t>
  </si>
  <si>
    <t>ТОСы Воронежской области</t>
  </si>
  <si>
    <t>Постановление правительства Воронежской области от 23.07.2015 №614 «О внесении изменений в постановление правительства Воронежской области от 09.12.2013 № 1072»</t>
  </si>
  <si>
    <t>https://pravo.govvrn.ru/?q=node/4592</t>
  </si>
  <si>
    <t>1. Постановление правительства Воронежской области от 29.05.2019 № 531 "Об утверждении государственной программы Воронежской области «Содействие развитию муниципальных образований и местного самоуправления» срок действия 2026 год                        
2.Закон Воронежской области от 20.12.2018 N 168-ОЗ (ред. от 23.12.2019) "О Стратегии социально-экономического развития Воронежской области на период до 2035 года".
3.Постановление Правительства Воронежской обл. от 29.12.2018 N 1242 (ред. от 15.02.2021) "О плане мероприятий по реализации Стратегии социально-экономического развития Воронежской области на период до 2035 года"</t>
  </si>
  <si>
    <t>Постановление правительства Воронежской области от 02.07.2015 № 545 «Об утверждении Порядка предоставления субсидии из областного бюджета некоммерческой организации - Ассоциация «Совет муниципальных образований Воронежской области» на поощрение проектов, реализуемых в рамках территориального общественного самоуправления в муниципальных образованиях Воронежской области, в рамках подпрограммы «Реализация государственной политики в сфере социально-экономического развития муниципальных образований» государственной программы Воронежской области «Содействие развитию муниципальных образований и местного самоуправления»</t>
  </si>
  <si>
    <t>https://pravo.govvrn.ru/?q=node/4481</t>
  </si>
  <si>
    <t xml:space="preserve"> субсидия  из областного бюджета некоммерческой организации </t>
  </si>
  <si>
    <t>Ассоциация «Совет муниципальных образований Воронежской области»</t>
  </si>
  <si>
    <t>В каждой заявке,поданной ТОС на участие в конкурсе, содержится информация по количеству участников ТОС и количеству благополучатей-жителей в границах ТОС</t>
  </si>
  <si>
    <t>https://voronezhstat.gks.ru/storage/mediabank/Dq8NAWVY/Численность%20населения%20Воронежской%20области%20в%20разрезе%20муниципальных%20образований%20на%2001.01.2021г..pdf</t>
  </si>
  <si>
    <t>некоммерческая организация - Ассоциация «Совет муниципальных образований Воронежской области»</t>
  </si>
  <si>
    <t>бюджет Воронежской области</t>
  </si>
  <si>
    <t>не фиксировалось</t>
  </si>
  <si>
    <t>http://www.tosvrn.ru/files/docs/2021/polozhenie_o_konkurse_obwestvenno_poleznyh_proektov_tos_2021_1.docx</t>
  </si>
  <si>
    <t xml:space="preserve">он-лайн защита проектов ТОС </t>
  </si>
  <si>
    <t xml:space="preserve">   http://www.tosvrn.ru/</t>
  </si>
  <si>
    <t xml:space="preserve">https://smovrn.ru/;      https://vk.com/;    https://www.govvrn.ru/ </t>
  </si>
  <si>
    <t>http://www.tosvrn.ru/</t>
  </si>
  <si>
    <t>ТВ, официальный сайт, портал правительства Воронежской области, социальные сети, наружная реклама. http://www.tosvrn.ru/</t>
  </si>
  <si>
    <t xml:space="preserve">Методические материалы: пошаговая инструкция, презентации разного уровня, каталог лучших проектов ТОС, бланки и анкеты для ТОС и т.д. http://www.tosvrn.ru/docs/metodicheskie-materialy/ </t>
  </si>
  <si>
    <t>Встречи, вебинары, видео-семинары, он-лайн конференции, конкурсы между активистами ТОС, с периодичностью - ежемесячно в течение года, основной состав участников - 7 человек</t>
  </si>
  <si>
    <t>Государственная программа Красноярского края "Содействие развитию местного самоуправления" подпрограмма "Поддержка местных инициатив"</t>
  </si>
  <si>
    <t>Постановление Правительства Красноярского края от 30.09.2013 № 517-п "Об утверждении государственной программы Красноярского края "Содействие развитию местного самоуправления"</t>
  </si>
  <si>
    <t>http://zakon.krskstate.ru/0/doc/15433</t>
  </si>
  <si>
    <t>Закон Красноярского края от 07.07.2016 №10-4831 "О государственной поддержке развития местного самоуправления Красноярского края"</t>
  </si>
  <si>
    <t>http://zakon.krskstate.ru/0/doc/34007</t>
  </si>
  <si>
    <t>Постановление Правительства Красноярского края от 31.12.2019 № 793-п "Об утверждении Порядка предоставления и распределения субсидий бюджетам муниципальных образований Красноярского края на осуществление расходов, направленных на реализацию мероприятий по поддержке местных инициатив территорий городских и сельских поселений"</t>
  </si>
  <si>
    <t>министерство финансов Красноярского края</t>
  </si>
  <si>
    <t>бюджеты муниципальных районов</t>
  </si>
  <si>
    <t xml:space="preserve">Неоплачиваемый вклад населения, юридических лиц и индивидуальных предпринимателей в реализацию проекта, включает использование строительных материалов, оборудования, инструмента, уборку мусора, благоустройство и пр. с указанием объемов и формы предоставления неоплачиваемого вклада, а также лиц и организаций, которые планируют внести такой вклад
</t>
  </si>
  <si>
    <t>Способ (-ы) расчета количества благополучателей: Оценивается охват проекта (все население населенного пункта, либо население разделяется на отдельные категории).
Отдельные категории граждан оцениваются исходя из статистических данных, либо показателей мощности учреждений. Заявка на участие в конкурсном отборе содержит пояснения по подсчету благополучателей, в зависимости от типологии проекта.</t>
  </si>
  <si>
    <t xml:space="preserve">https://krasstat.gks.ru/folder/32970 </t>
  </si>
  <si>
    <t>Функции проектного офиса инициативного бюджетирования Красноярского края
выполняют:
Министерство финансов Красноярского края и Красноярское краевое государственное бюджетное учреждение дополнительного профессионального образования "Институт государственного и муниципального управления при Правительстве Красноярского края" (ИГМУ)</t>
  </si>
  <si>
    <t>бюджет Красноярского края</t>
  </si>
  <si>
    <t>чаще всего фиксация участия не производится, в отдельных случаях осуществляется фотографирование, заполнение ведомостей, указание сведений об участнике анкетирования в самой анкете (опросном листе); при подомовом (поквартирном) обходе (сборе подписей) способ фиксации - ведомость  с указанием населенного пунта где проводится обход, даты проведения обхода, ФИО, места проживания участника подомового, поквартирного обхода. Также ведомость содержит графы/строки, в которых участник обхода может отметить свое предложение.</t>
  </si>
  <si>
    <t>протокол собрания (встречи), лист регистрации участников собрания (встречи), фотографии собрания (встречи), видео итогового собрания</t>
  </si>
  <si>
    <t>подача предложений происходит через социальные сети, в комментариях к соответствующему посту, фиксация участия - скриншот страницы социальной сети</t>
  </si>
  <si>
    <t>прямое голосование участников очных собраний, результаты итогового собрания фиксируются в протоколе собрания граждан, участие граждан подтверждается фото и видеоматериалами, листами регистрации граждан</t>
  </si>
  <si>
    <t>Решение о победителях конкурса, на основании сформированного министерством финансов Красноярского края рейтинга, принимает Совет по развитию местного самоуправления в Красноярском крае с учетом рейтинга проектов, набравших наибольшее количество баллов.  Совет создан в соответствии со статьей 4 Закона Красноярского края от 07.07.2016 " 10-4831 "О государственной поддержке развития местного самоуправления Красноярского края"  в целях координации деятельности органов государственной власти Красноярского края по государственной поддержке, организации эффективного контроля за результативностью мер по оказанию государственной поддержки, а также осуществления взаимодействия органов государственной власти Красноярского края и органов местного самоуправления.  Совет формируется сроком на пять лет на паритетных началах Законодательным Собранием Красноярского края и Губернатором Красноярского края в составе 14 членов Совета. Председателем Совета является первый заместитель Губернатора края - председатель Правительства края.</t>
  </si>
  <si>
    <t>возможность участия предусмотрена для 270 городских и сельских поселений (48 % от общего количества муниципальных образований Красноярского края)</t>
  </si>
  <si>
    <t>Проект реализуется в пилотном режиме, муниципальные образования – участники конкурсного отбора определяются членами комиссии по вопросам социально-экономического развития Красноярского края и по бюджетным проектировкам на очередной финансовый год и плановый период, с учетом предложений от муниципальных образований.</t>
  </si>
  <si>
    <t>www.ppmi24.ru  - системой предусмотрены подача заявки, работа с заявкой, информация о проектах победителях, размещение фотографий результатов  реализации проекта; так же в системе размещена информация об условиях участия в программе, типовые документы, разъяснения по различным вопросам подготовки и реализации проектов, интересные факты, относящиеся к реализации ППМИ</t>
  </si>
  <si>
    <t>www.ppmi24.ru</t>
  </si>
  <si>
    <t>https://drive.google.com/drive/folders/1boy3Fv6JORmGQxQLSwv_VLKQ-LjOcM1M?usp=sharing</t>
  </si>
  <si>
    <t>Полная информация по данному пункту в приложении по ссылке:
https://drive.google.com/file/d/1xY6AfDlDaFBcq6uw10L6DbF8YgAVK1-P/view?usp=sharing</t>
  </si>
  <si>
    <t>город Красноярск</t>
  </si>
  <si>
    <t>Инициативное бюджетирование в городе Красноярске</t>
  </si>
  <si>
    <t>Реализация проектов ИБ в 2020 году осуществлялась на основе следующих нормативно-правовых актов:
 - постановление администрации г. Красноярска от 25.05.2018 № 357 "Об инициативном бюджетировании в городе Красноярске". Документ отражает порядок реализации ИБ в городе, в том числе порядок проведения конкурсного отбора проектов, порядок организации и проведения общественного обсуждения в форме рейтингового голосования по проектам ИБ. Согласно порядку, проекты отбираются конкурсной комиссией на 2 года и на стадии предварительного отбора проходят этап общественных обсуждений в форме рейтингового голосования среди жителей; 
- распоряжение администрации г. Красноярска от 01.11.2017 № 313-р "О создании межведомственной консультативной комиссии по вопросам реализации инициативного бюджетирования в городе Красноярске". Документ утверждает  состав и положение о вышеуказанной комиссии. Комиссия оказывает консультативную помощь инициативным группам по вопросам формирования проектов ИБ и дальнейшей их реализации;
 - распоряжение администрации г. Красноярска от 28.05.2018 № 206-р "О проведении конкурсного отбора проектов инициативного бюджетирования в городе Красноярске, реализация которых будет осуществляться в 2019–2020 годах". Распоряжением устанавливаются: дата конкурсного отбора, объем финансирования, состав конкурсной комиссии, форма подаваемой для участия в конкурсе документации от инициативных групп, критерии оценки проектов ИБ;
 -  распоряжение администрации г. Красноярска от 20.08.2018 № 308-р
"О проведении общественного обсуждения в форме рейтингового голосования по проектам инициативного бюджетирования в городе Красноярске в 2018 году". Документом определяются даты и место для проведения голосования;
  - постановление администрации г. Красноярска от 01.11.2017 № 718
"Об утверждении муниципальной программы "Повышение эффективности деятельности городского самоуправления по формированию современной городской среды" на 2018 - 2024 годы". Расходы на реализацию проектов ИБ включены в данную муниципальную программу, являются программными расходами</t>
  </si>
  <si>
    <t>Справочная правовая система "КонсультантПлюс":
http://www.consultant.ru/</t>
  </si>
  <si>
    <t>Департамент финансов администрации города Красноярска</t>
  </si>
  <si>
    <t>Администрации районов в городе Красноярске</t>
  </si>
  <si>
    <t>Бюджетные ассигнования на закупку товаров, работ, услуг для обеспечения государственных (муниципальных) нужд</t>
  </si>
  <si>
    <t>Поставщики (подрядчики, исполнители) по муниципальным контрактам, определенные в порядке, предусмотренном Федеральным законом от 05.04.2013 № 44-ФЗ "О контрактной системе в сфере закупок товаров, работ, услуг для обеспечения государственных и муниципальных нужд"</t>
  </si>
  <si>
    <t>Трудовое участие: уборка территории, дополнительная посадка деревьев и цветов, организация праздников на объектах и др.</t>
  </si>
  <si>
    <t>Определить количество граждан, на удовлетворение потребностей которых направлены проекты ИБ 2019 года в г. Красноярске, не представляется возможным. Отмечаем, что 9 проектов ИБ были реализованы в 3 районах в городе, в том числе один проект направлен на создание тренажерного зала под открытым небом в сквере на набережной р. Кача</t>
  </si>
  <si>
    <t xml:space="preserve">http://xn----7sbiew6aadnema7p.xn--p1ai/sity_id.php?id=14 </t>
  </si>
  <si>
    <t>Предварительное обсуждение жителями идей и предложений на собраниях. 
Затем инициативные группы, образованные из физических лиц, индивидуальных предпринимателей, юридических лиц, направляют свои предложения в администрации районов в городе Красноярске</t>
  </si>
  <si>
    <t>Статистика не велась</t>
  </si>
  <si>
    <t>Представители инициативных групп осуществляли подомовой обход с целью сбора подписных листов в поддержку проекта ИБ</t>
  </si>
  <si>
    <t xml:space="preserve">Отбор проектов ИБ конкурсной комиссией проходил в 2 этапа:
1 этап - принятие решения конкурсной комиссией о допуске (об отказе в допуске) заявок инициативных групп для участия в конкурсном отборе;
2 этап - конкурсный отбор проектов ИБ:
а) проведение общественного обсуждения в форме рейтингового голосования жителей города по проектам ИБ в целях определения востребованности проектов ИБ, допущенных к конкурсному отбору;
б) очная презентация проектов ИБ конкурсной комиссии представителем инициативной группы;
в) оценка проектов ИБ конкурсной комиссией в соответствии с критериями оценки проектов ИБ по балльной системе. 
Формирование конкурсной комиссией рейтинга (перечня) проектов ИБ путем присвоения порядкового номера. 
Отбор проектов ИБ, занявших первое и последующие в порядке убывания места в рейтинге, общая сумма стоимости реализации которых за счет средств бюджета города не превышает объем средств бюджета города, предусмотренный распоряжением администрации г. Красноярска от 28.05.2018 № 206-р "О проведении конкурсного отбора проектов инициативного бюджетирования в городе Красноярске, реализация которых будет осуществляться в 2019–2020 годах" 
</t>
  </si>
  <si>
    <t>http://budget.admkrsk.ru/budgeting/Pages/memo.aspx</t>
  </si>
  <si>
    <t xml:space="preserve">С целью информирования были использованы следующие механизмы:
- публикации в газете города "Городские новости";
- публикации на сайте администрации города Красноярска, страницах социальных сетей </t>
  </si>
  <si>
    <t>Департаментом финансов администрации города Красноярска была подготовлена памятка "Как инициативной группе из Красноярска реализовать свою идею через проекты инициативного бюджетирования". 
Она отражала этапы реализации проектов ИБ в городе и была размещена на сайте Открытый бюджет города Красноярска в разделе Инициативное бюджетирование/ Памятка для населения (http://budget.admkrsk.ru/budgeting/Pages/memo.aspx). В настоящее время на сайте размещена памятка по реализации инициативных проектов в 2021 году</t>
  </si>
  <si>
    <r>
      <t xml:space="preserve">Техническая переменная: Население субъектов РФ, </t>
    </r>
    <r>
      <rPr>
        <i/>
        <sz val="10"/>
        <color rgb="FFFF0000"/>
        <rFont val="Times New Roman"/>
        <family val="1"/>
        <charset val="204"/>
      </rPr>
      <t>где имеются ИБ+смежные практики</t>
    </r>
    <r>
      <rPr>
        <i/>
        <sz val="10"/>
        <color rgb="FF000000"/>
        <rFont val="Times New Roman"/>
        <family val="1"/>
        <charset val="204"/>
      </rPr>
      <t xml:space="preserve"> (2020г., в среднем, Росстат)</t>
    </r>
  </si>
  <si>
    <t>--</t>
  </si>
  <si>
    <t>http://www.statdata.ru/naselenie/astrahanskoi-oblasti</t>
  </si>
  <si>
    <t>МО "Красноярский район"</t>
  </si>
  <si>
    <t>Постановление администрации муниципального образования "Красноярский район" от 30.11.2017 № 1407 "Об утверждении муниципальной программы "Формирование комфортной среды на териитории МО "Красноярский район" на 2018-2022гг".</t>
  </si>
  <si>
    <t>Ежегодный конкурс на лучший проект ТОС МО "Красноярский  район"</t>
  </si>
  <si>
    <t>Постановление об утверждени положения об ежегодном конкурсе на лучший проект ТОС МО "Красноярский район" от 14.02.2020 № 95</t>
  </si>
  <si>
    <t>https://krasniyar.ru/upload/documents/20663/0095%20%D0%BE%D1%82%2014.02.2020%20%D0%9E%D0%B1%20%D1%83%D1%82%D0%B2%D0%B5%D1%80%D0%B6%D0%B4%D0%B5%D0%BD%D0%B8%D0%B8%20%D0%BF%D0%BE%D0%BB%D0%BE%D0%B6%D0%B5%D0%BD%D0%B8%D1%8F%20%D0%BE%D0%B1%20%D0%B5%D0%B6%D0%B5%D</t>
  </si>
  <si>
    <t xml:space="preserve"> МО "Бузанский сельсовет", МО "Байбекский сельсовет", МО "Ватаженский сельсовет"</t>
  </si>
  <si>
    <t>Финансовый отдел администрации муниципального образования "Красноярский район" Астраханской области</t>
  </si>
  <si>
    <t>По возрастному ограничению</t>
  </si>
  <si>
    <t>по данным похозяйственного учета</t>
  </si>
  <si>
    <t>Собрание инициативной группы</t>
  </si>
  <si>
    <t>п.Алча МО "Байбекский сельсовет" -67 ; п.Бузан МО "Бузанский сельсовет" - 93; с.Бакланье МО "Ватаженский сельсовет" - 56.</t>
  </si>
  <si>
    <t>МО "Харабалинский район"</t>
  </si>
  <si>
    <t>Постановление администрации МО «Харабалинский район» от 06.03.2020 № 209 «Об утверждении Порядка проведения конкурсного отбора проектов инициативного бюджетирования на территории МО «Харабалинский район»</t>
  </si>
  <si>
    <t>19.02.2020</t>
  </si>
  <si>
    <t>31.12.2020</t>
  </si>
  <si>
    <t>https://harabaly.astrobl.ru/normativno-pravovoy-akt/postanovlenie-ot-12032020-no</t>
  </si>
  <si>
    <t>Администрация МО "Харабалинский район"</t>
  </si>
  <si>
    <t>Финансовое управление администрации МО "Харабалинский район"</t>
  </si>
  <si>
    <t>иные, путем перечисления средств ООО «ПРОМДОРСТРОЙ»</t>
  </si>
  <si>
    <t>ООО «ПРОМДОРСТРОЙ»</t>
  </si>
  <si>
    <t>Объем бюджетных ассигнований из бюджета субъекта РФ, которые запланированы на реализацию проектов в следующем году (в 2021 г.)</t>
  </si>
  <si>
    <t>Общий объем внебюджетного софинансирования из прочих источников</t>
  </si>
  <si>
    <t>Общий объем финансирования из бюджетов всех уровней</t>
  </si>
  <si>
    <t>Средняя стоимость одного реализованного проекта (включая те, завершение которых было перенесено на следующий год)</t>
  </si>
  <si>
    <t>Средний размер совокупных бюджетных субсидий (суб.+мун.+фед.) на один реализованный проект</t>
  </si>
  <si>
    <t>Средний размер субсидии из бюджета субъекта на один реализованный проект</t>
  </si>
  <si>
    <t>Средний размер субсидии из муниципального бюджета на один реализованный проект</t>
  </si>
  <si>
    <t>Средний размер внебюджетной поддержки на один реализованный проект</t>
  </si>
  <si>
    <t>Минсельхоз</t>
  </si>
  <si>
    <t>Минстрой</t>
  </si>
  <si>
    <t>другое</t>
  </si>
  <si>
    <t>дороги</t>
  </si>
  <si>
    <t>НКО/ЮЛ</t>
  </si>
  <si>
    <t>наказы депутатам</t>
  </si>
  <si>
    <t>Решение вопросов местного значения, осуществляемое с привлечением средств самообложения граждан</t>
  </si>
  <si>
    <t>Самообложение граждан</t>
  </si>
  <si>
    <t>непрограммные мероприятия</t>
  </si>
  <si>
    <t>Постановление Кабинета Министров Республики Татарстан от 22 ноября 2013 №909 "«Об утверждении Порядка предоставления из бюджета Республики Татарстан иных межбюджетных трансфертов бюджетам муниципальных образований Республики Татарстан на решение вопросов местного значения, осуществляемое с привлечением средств самообложения граждан»</t>
  </si>
  <si>
    <t>http://pravo.tatarstan.ru/rus/npa_kabmin/post?npa_id=283319</t>
  </si>
  <si>
    <t>Закон Республики Татарстан от 30 ноября 2019 №92-ЗРТ  "О бюджете Республики Татарстан на 2020 год и на плановый период 2021 и 2022 годов"</t>
  </si>
  <si>
    <t>https://minfin.tatarstan.ru/byudzhet-2020.htm?pub_id=2654386</t>
  </si>
  <si>
    <t>Министерство финансов Республики Татарстан</t>
  </si>
  <si>
    <t>43 муниципальных района республики</t>
  </si>
  <si>
    <t>Развитие территориального общественного самоуправления Архангельской области</t>
  </si>
  <si>
    <t>Развитие ТОС Архангельской области</t>
  </si>
  <si>
    <t>01.01.2020 года</t>
  </si>
  <si>
    <t>31.12.2020 года</t>
  </si>
  <si>
    <t xml:space="preserve">Государственная программа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
подпрограмма № 3  "Развитие территориального общественного самоуправления в Архангельской области"
 </t>
  </si>
  <si>
    <t>Постановление Правительства Архангельской области от 10.10.2019 N 548-пп (ред. от 19.02.2021) "Об утверждении государственной программы Архангельской области "Совершенствование государственного управления и местного самоуправления, развитие институтов гражданского общества в Архангельской области"</t>
  </si>
  <si>
    <t>http://publication.pravo.gov.ru/Document/View/2900201910180011</t>
  </si>
  <si>
    <t>Областной закон от 22 февраля 2013 года № 613-37-ОЗ «О государственной поддержке территориального общественного самоуправления в Архангельской области»</t>
  </si>
  <si>
    <t>Концепция развития территориального общественного самоуправления в Архангельской области до 2020 года, утвержденная постановлением Правительства Архангельской области от 22 июля 2014 года № 291-пп</t>
  </si>
  <si>
    <t xml:space="preserve">http://portal.dvinaland.ru/docs/pub/a16eece709bc76b71bf44543d9de3cd7/613-37-oz.doc </t>
  </si>
  <si>
    <t xml:space="preserve">Департамент по внутренней политике и местному самоуправлению администрации Губернатора Архангельской области и Правительства Архангельской области </t>
  </si>
  <si>
    <t>Администрация Губернатора Архангельской области и Правительства Архангельской области</t>
  </si>
  <si>
    <t>Местные бюджеты муниципальных районов и городских округов</t>
  </si>
  <si>
    <t>Трудовое участие, финансовый и нефинансовый вклад индивидуальных предпринимателей и юридических лиц, НКО</t>
  </si>
  <si>
    <t>Статистика благополучателей не ведется</t>
  </si>
  <si>
    <t>Отсутствует методика расчета благополучателей</t>
  </si>
  <si>
    <t>Учет проектов ведется на уровне муниципальных образований</t>
  </si>
  <si>
    <t>да, 100 %</t>
  </si>
  <si>
    <t>https://tos29.ru</t>
  </si>
  <si>
    <t xml:space="preserve">https://vk.com/club82210903 </t>
  </si>
  <si>
    <t>Новости по телевидению, в областных и районных печатных средствах массовой информации, на интернет-портале www.dvinanews.ru</t>
  </si>
  <si>
    <t>Межмуниципальные однодневные проектные семинары по подготовке проектов ТОС</t>
  </si>
  <si>
    <t>54.881</t>
  </si>
  <si>
    <t>13,628</t>
  </si>
  <si>
    <t>26,6</t>
  </si>
  <si>
    <t>федеральная целевая программа</t>
  </si>
  <si>
    <t>ФЦП</t>
  </si>
  <si>
    <t>федеральный орган исполнительной власти</t>
  </si>
  <si>
    <t>ФОИВ</t>
  </si>
  <si>
    <t>территориальное общественное самоуправление</t>
  </si>
  <si>
    <t>средства массовой информации</t>
  </si>
  <si>
    <t>СМИ</t>
  </si>
  <si>
    <t>региональные органы исполнительной власти</t>
  </si>
  <si>
    <t>РОИВ</t>
  </si>
  <si>
    <t>нормативный правовой акт</t>
  </si>
  <si>
    <t>НПА</t>
  </si>
  <si>
    <t>некоммерческая организация</t>
  </si>
  <si>
    <t>НКО</t>
  </si>
  <si>
    <t>многоквартирные дома</t>
  </si>
  <si>
    <t>МКД</t>
  </si>
  <si>
    <t>закрытое административно-территориальное образование</t>
  </si>
  <si>
    <t>ЗАТО</t>
  </si>
  <si>
    <t>жилищно-коммунальное хозяйство</t>
  </si>
  <si>
    <t>ЖКХ</t>
  </si>
  <si>
    <t>главный распорядитель бюджетных средств</t>
  </si>
  <si>
    <t xml:space="preserve">ГРБС </t>
  </si>
  <si>
    <t xml:space="preserve">ОБОЗНАЧЕНИЯ И СОКРАЩЕНИЯ </t>
  </si>
  <si>
    <t>Организация, учреждение или подразделение органа государственной власти субъекта Российской Федерации или органа местного самоуправления, осуществляющее реализацию практики инициативного бюджетирования или выполняющая методологическую, исследовательскую, аналитическую, мониторинговую, образовательную, консультационную деятельность и / или иные функции в рамках ее реализации</t>
  </si>
  <si>
    <t>ПРОЕКТНЫЙ ЦЕНТР</t>
  </si>
  <si>
    <t>Граждане, которые становятся пользователями результатов и услуг, появившихся вследствии реализованных проектов инициативного бюджетирования, инициативных проектов</t>
  </si>
  <si>
    <t>БЛАГОПОЛУЧАТЕЛИ</t>
  </si>
  <si>
    <t>Группа граждан, объединившихся с целью определения и обсуждения проектных идей для внесения в местные или региональные органы публичной власти проектов ИБ, инициативных проектов, направленных на решение конкретных вопросов регионального и/или местного значения</t>
  </si>
  <si>
    <t>ИНИЦИАТИВНАЯ ГРУППА ГРАЖДАН</t>
  </si>
  <si>
    <t>Способ участия граждан в проектах ИБ, предусматривающий трудовые, материальные, организационные формы поддержки проекта гражданами, индивидуальными предпринимателями и юридическими лицами</t>
  </si>
  <si>
    <t xml:space="preserve">ИНЫЕ ФОРМЫ УЧАСТИЯ, НЕФИНАНСОВЫЙ ВКЛАД </t>
  </si>
  <si>
    <t>Форма софинансирования проектов инициативного бюджетирования, предусматривающая, что денежные средства граждан, индивидуальных предпринимателей и юридических лиц, уплачиваемые на добровольной основе, зачисляются в соответствии с Бюджетным кодексом Российской Федерации в местный бюджет в целях реализации конкретных проектов ИБ, инициативных проектов</t>
  </si>
  <si>
    <t xml:space="preserve">ИНИЦИАТИВНЫЕ ПЛАТЕЖИ </t>
  </si>
  <si>
    <t>Внебюджетные источники финансовой поддержки проектов инициативного бюджетирования гражданами, индивидуальными предпринимателями и юридическими лицами, безвозмездно перечисляемые в бюджет муниципального образования на основании норм Гражданского кодекса Российской Федерации</t>
  </si>
  <si>
    <t>СОФИНАНСИРОВАНИЕ</t>
  </si>
  <si>
    <t>Предложение граждан, внесенное и оформленное в установленном нормативным правовым актом порядке в целях реализации мероприятий, имеющих приоритетное значение для жителей муниципального образования, или его части, по решению вопросов местного значения или иных вопросов, право решения которых предоставлено органам местного самоуправления</t>
  </si>
  <si>
    <t>ПРОЕКТ ИНИЦИАТИВНОГО БЮДЖЕТИРОВАНИЯ, ИНИЦИАТИВНЫЙ ПРОЕКТ</t>
  </si>
  <si>
    <t>Поддержанная гражданами проектная идея, прошедшая технический анализ и зарегистрированная для участия в конкурсных процедурах</t>
  </si>
  <si>
    <t>ПРОЕКТНАЯ ЗАЯВКА</t>
  </si>
  <si>
    <t>Предложение гражданина, индивидуального предпринимателя или юридического лица по реализации мероприятий, направленных на решение проблем, имеющих приоритетное значение для жителей региона, муниципального образования или его части, которое было выдвинуто в ходе первичных встреч, анкетирования, через интернет или другим способом</t>
  </si>
  <si>
    <t>ПРОЕКТНАЯ ИДЕЯ</t>
  </si>
  <si>
    <t>Практика инициативного бюджетирования регионального уровня, регулирование которой осуществляется в соответствии с законами и (или) нормативными правовыми актами субъекта Российской Федерации, а управление и конкурсный отбор инициативных проектов организуются органами государственной власти субъекта Российской Федерации. Региональная практика реализуется на территории субъекта Российской Федерации с привлечением средств бюджета субъекта Российской Федерации, а также иных источников финансового обеспечения проектов, и распространяется на территорию одного и более муниципальных образований</t>
  </si>
  <si>
    <t>РЕГИОНАЛЬНАЯ ПРАКТИКА (ПРАКТИКА СУБЪЕКТА РФ)</t>
  </si>
  <si>
    <t>Комплекс взаимоувязанных мероприятий, реализуемых органами государственной власти субъекта Российской Федерации и (или) органами местного самоуправления по развитию инициативного бюджетирования и обучению механизмам участия граждан Российской Федерации в решении вопросов социально-экономического развития соответствующих территорий на основе инициативного бюджетирования</t>
  </si>
  <si>
    <t xml:space="preserve">ПРОГРАММА ИНИЦИАТИВНОГО БЮДЖЕТИРОВАНИЯ </t>
  </si>
  <si>
    <t>Реализуемая в рамках одного субъекта Российской Федерации или муниципального образования модель инициативного бюджетирования, направленная на вовлечение граждан в бюджетный процесс и участие граждан в принятии бюджетных решений. Практика подразумевает регулярное планирование и выделение бюджетных ассигнований на реализацию проектов</t>
  </si>
  <si>
    <t>ПРАКТИКА ИНИЦИАТИВНОГО БЮДЖЕТИРОВАНИЯ</t>
  </si>
  <si>
    <t>Совокупность процедур организации участия граждан в инициативном бюджетировании на региональном, федеральном или муниципальном уровнях, определенная нормами законодательства Российской Федерации и нормативными правовыми актами субъектов РФ. Модель ИБ включает следующие обязательные процедуры: выдвижение, обсуждение и отбор проектов гражданами; участие граждан в реализации проектов и иные формы участия. Примеры: Программа поддержки местных инициатив (ППМИ), практика бюджетных комиссий (партиципаторное бюджетирование ЕУСПб), практика инициативных проектов, школьное инициативное бюджетирование (ШКИБ) и др.</t>
  </si>
  <si>
    <t>МОДЕЛЬ ИНИЦИАТИВНОГО БЮДЖЕТИРОВАНИЯ</t>
  </si>
  <si>
    <t xml:space="preserve">Общее название, используемое для обозначения совокупности практик вовлечения граждан в бюджетный процесс в Российской Федерации, объединенных идеологией гражданского участия, а также сфера государственного и муниципального регулирования участия населения в определении и выборе проектов, финансируемых за счет средств соответствующих бюджетов и последующем контроле за реализацией отобранных проектов со стороны граждан. </t>
  </si>
  <si>
    <t xml:space="preserve">ИНИЦИАТИВНОЕ БЮДЖЕТИРОВАНИЕ  </t>
  </si>
  <si>
    <t>КЛЮЧЕВЫЕ ПОНЯТИЯ, ИСПОЛЬЗУЕМЫЕ В АНКЕТЕ</t>
  </si>
  <si>
    <r>
      <t xml:space="preserve">Итого: </t>
    </r>
    <r>
      <rPr>
        <i/>
        <sz val="12"/>
        <color theme="1"/>
        <rFont val="Times New Roman"/>
        <family val="1"/>
        <charset val="204"/>
      </rPr>
      <t>(считается автоматически)</t>
    </r>
  </si>
  <si>
    <r>
      <t xml:space="preserve">Название практики </t>
    </r>
    <r>
      <rPr>
        <b/>
        <sz val="12"/>
        <color rgb="FFC00000"/>
        <rFont val="Times New Roman"/>
        <family val="1"/>
        <charset val="204"/>
      </rPr>
      <t>СУБЪЕКТА РФ</t>
    </r>
  </si>
  <si>
    <t>Ответ</t>
  </si>
  <si>
    <t>Приложение 1 к Порядку взаимодействия Министерства финансов Российской Федерации и финансовых органов субъектов Российской Федерации по формированию Доклада о лучших практиках развития инициативного бюджетирования в субъектах Российской Федерации и муниципальных образованиях, утвержденному Председателем Рабочей группы по развитию проекта «Бюджет для граждан»</t>
  </si>
  <si>
    <t>Названия нормативно-правовых актов, которые регулируют практику инициативного бюджетирования на территории муниципального образования. Ссылки</t>
  </si>
  <si>
    <r>
      <t xml:space="preserve">Название  </t>
    </r>
    <r>
      <rPr>
        <b/>
        <sz val="12"/>
        <color rgb="FFC00000"/>
        <rFont val="Times New Roman"/>
        <family val="1"/>
        <charset val="204"/>
      </rPr>
      <t xml:space="preserve">МУНИЦИПАЛЬНОЙ </t>
    </r>
    <r>
      <rPr>
        <sz val="12"/>
        <color theme="1"/>
        <rFont val="Times New Roman"/>
        <family val="1"/>
        <charset val="204"/>
      </rPr>
      <t>практики</t>
    </r>
  </si>
  <si>
    <t>Муниципальное образование</t>
  </si>
  <si>
    <t xml:space="preserve">Ответ </t>
  </si>
  <si>
    <t>Приложение 2 к Порядку взаимодействия Министерства финансов Российской Федерации и финансовых органов субъектов Российской Федерации по формированию Доклада о лучшей практике развития инициативного бюджетирования в субъектах Российской Федерации и муниципальных образованиях, утвержденному Председателем Рабочей группы по развитию проекта «Бюджет для граждан»</t>
  </si>
  <si>
    <t>Таблица. Динамика  показателей бюджетного и внебюджетного финансирования ИБ в 2015-2020 гг., млн руб.</t>
  </si>
  <si>
    <r>
      <t xml:space="preserve">Таблица. Динамика  </t>
    </r>
    <r>
      <rPr>
        <b/>
        <u/>
        <sz val="14"/>
        <color rgb="FF000000"/>
        <rFont val="Times New Roman"/>
        <family val="1"/>
      </rPr>
      <t>долевого соотношени</t>
    </r>
    <r>
      <rPr>
        <b/>
        <sz val="14"/>
        <color rgb="FF000000"/>
        <rFont val="Times New Roman"/>
        <family val="1"/>
      </rPr>
      <t>я бюджетного и внебюджетного финансирования ИБ в 2015-2020 гг., млн руб.</t>
    </r>
  </si>
  <si>
    <t xml:space="preserve">Таблица Типология реализованных проектов инициативного бюджетирования в субъектах Российской Федерации </t>
  </si>
  <si>
    <t>Таблица. Количество проектов, реализованных во всех субъектах РФ в 2015–2020 гг.</t>
  </si>
  <si>
    <t>Таблица 1. Динамика финансовых показателей ИБ в 2015-2020 гг., млн руб.</t>
  </si>
  <si>
    <t>Таблица 2. Динамика долевого соотношения финансовых показателей ИБ в 2015-2020 гг.</t>
  </si>
  <si>
    <t>Таблица 7. Динамика показателей реализации проектов  2016-2020 гг.</t>
  </si>
  <si>
    <r>
      <rPr>
        <b/>
        <sz val="12"/>
        <rFont val="Times New Roman"/>
        <family val="1"/>
      </rPr>
      <t>"</t>
    </r>
    <r>
      <rPr>
        <sz val="12"/>
        <rFont val="Times New Roman"/>
        <family val="1"/>
      </rPr>
      <t xml:space="preserve">Я планирую бюджет"      </t>
    </r>
  </si>
  <si>
    <r>
      <t>1. Постановление администрации муниципального образования "Гвардейский городской округ" от 29.01.2020 г. № 91 "Об утверждении Положения о реализации инициативных проектов
 на территории муниципального образования  "Гвардейский городской округ".
 2. Решение Совета депутатов муниципального образования "Гвардейский городской округ" от 18.02.2021 № 52 "О реализации инициативных проектов на территории муниципального образования "Гвардейский городской округ</t>
    </r>
    <r>
      <rPr>
        <b/>
        <sz val="12"/>
        <rFont val="Times New Roman"/>
        <family val="1"/>
      </rPr>
      <t>"</t>
    </r>
    <r>
      <rPr>
        <sz val="12"/>
        <rFont val="Times New Roman"/>
        <family val="1"/>
      </rPr>
      <t xml:space="preserve"> </t>
    </r>
  </si>
  <si>
    <r>
      <t xml:space="preserve">Решение Городской Думы г. Калуги от 05.12.2018 N 262 "О реализации инициативного бюджетирования в муниципальном образовании "Город Калуга"; Постановление Городской Управы г. Калуги от 26.12.2018 N 458-п "Об утверждении Порядка проведения конкурсного отбора проектов инициативного бюджетирования в муниципальном образовании "Город Калуга"; </t>
    </r>
    <r>
      <rPr>
        <sz val="12"/>
        <rFont val="Times New Roman"/>
        <family val="1"/>
      </rPr>
      <t>Постановление Городской Управы города Калуги «О проведении конкурсного отбора проектов инициативного бюджетирования в муниципальном образовании «Город Калуга» в 2020 году» от 30.09.2019 № 10123-пи</t>
    </r>
  </si>
  <si>
    <r>
      <t>Муниципальная программа "Развитие топливно-энергетического комплекса", подпрограмма "Газификация Кавказского сельского поселения Кавказского района на 2015-2022 годы", утверждена постановлением администрации Кавказского сельского поселения Кавказского района от 13.11.2014 № 482; 
Решение Совета Кавказского сельского поселения Кавказского района от 14.02.2020 года № 3 "О передаче Кавказскому сельскому поселению К</t>
    </r>
    <r>
      <rPr>
        <sz val="12"/>
        <color theme="1"/>
        <rFont val="Times New Roman"/>
        <family val="1"/>
      </rPr>
      <t>авказского района права граждан на недостроенный объект газификации";
Решение Совета Кавказского сельского поселения Кавказского района от 30.01.2020 года № 3 "О передаче Кавказскому сельскому поселению Кавказского района проектной документации"</t>
    </r>
  </si>
  <si>
    <r>
      <t>1.https://old.kaluga-gov.ru/?q=%D0%B8%D0%BD%D1%84%D0%BE%D1%80%D0%BC%D0%B0%D1%86%D0%B8%D1%8F-%D0%BE%D1%82-%D0%BF%D0%BE%D0%B4%D1%80%D0%B0%D0%B7%D0%B4%D0%B5%D0%BB%D0%B5%D0%BD%D0%B8%D1%8F/%D0%B8%D0%BD%D0%B8%D1%86%D0%B8%D0%B0%D1%82%D0%B8%D0%B2%D0%BD%D0%BE%D0%B5-%D0%B1%D1%8E%D0%B4%D0%B6%D0%B5%D1%82%D0%B8%D1%80%D0%BE%D0%B2%D0%B0%D0%BD%D0%B8%D0%B5-2020-%D0%BF%D1%80%D0%BE%D0%B4%D0%BE%D0%BB%D0%B6%D0%B0%D0%B5%D1%82%D1%81%D1%8F_2053353787</t>
    </r>
    <r>
      <rPr>
        <sz val="12"/>
        <color rgb="FF0000FF"/>
        <rFont val="Times New Roman"/>
        <family val="1"/>
      </rPr>
      <t xml:space="preserve"> </t>
    </r>
    <r>
      <rPr>
        <b/>
        <sz val="12"/>
        <color rgb="FF000000"/>
        <rFont val="Times New Roman"/>
        <family val="1"/>
      </rPr>
      <t>2</t>
    </r>
    <r>
      <rPr>
        <sz val="12"/>
        <color rgb="FF0000FF"/>
        <rFont val="Times New Roman"/>
        <family val="1"/>
      </rPr>
      <t>.</t>
    </r>
    <r>
      <rPr>
        <sz val="12"/>
        <color rgb="FF000000"/>
        <rFont val="Times New Roman"/>
        <family val="1"/>
      </rPr>
      <t xml:space="preserve">http://duma.kaluga.ru/upload/iblock/f71/-262.rar ;  
</t>
    </r>
    <r>
      <rPr>
        <b/>
        <sz val="12"/>
        <color rgb="FF000000"/>
        <rFont val="Times New Roman"/>
        <family val="1"/>
      </rPr>
      <t>3.</t>
    </r>
    <r>
      <rPr>
        <sz val="12"/>
        <color rgb="FF000000"/>
        <rFont val="Times New Roman"/>
        <family val="1"/>
      </rPr>
      <t>https://old.kaluga-gov.ru/?q=%D0%B4%D0%BE%D0%BA%D1%83%D0%BC%D0%B5%D0%BD%D1%82/%D0%BF%D0%BE%D1%81%D1%82%D0%B0%D0%BD%D0%BE%D0%B2%D0%BB%D0%B5%D0%BD%D0%B8%D0%B5-%D0%B3%D0%BE%D1%80%D0%BE%D0%B4%D1%81%D0%BA%D0%BE%D0%B9-%D1%83%D0%BF%D1%80%D0%B0%D0%B2%D1%8B-%D0%B3%D0%BE%D1%80%D0%BE%D0%B4%D0%B0-%D0%BA%D0%B0%D0%BB%D1%83%D0%B3%D0%B8-%D0%BE%D1%82-26122018-%E2%84%96-458-%D0%BF_2081989924</t>
    </r>
  </si>
  <si>
    <r>
      <rPr>
        <sz val="12"/>
        <rFont val="Times New Roman"/>
        <family val="1"/>
      </rPr>
      <t xml:space="preserve">Постановление Администрации города Муравленко от 23.04.2018 № 256 "О реализации проекта "Бюджетная инициатива граждан" на территории города Муравленко        </t>
    </r>
    <r>
      <rPr>
        <sz val="12"/>
        <color theme="10"/>
        <rFont val="Times New Roman"/>
        <family val="1"/>
      </rPr>
      <t xml:space="preserve">http://muravlenko.yanao.ru/ekonomika-i-zhkh/municipalnye-finansy/bjudzhetnaya-iniciativa-grazhdan/dokumenty-bjudzhetnaya-iniciativa-grazhdan/49980-postanovlenie-o-realizacii-proekta-byudzhetnaya-iniciativa-grazhdan-na-territorii-goroda-muravlenko.html ,  </t>
    </r>
    <r>
      <rPr>
        <sz val="12"/>
        <rFont val="Times New Roman"/>
        <family val="1"/>
      </rPr>
      <t xml:space="preserve"> Постановление Администрации города Муравленко от 29 декабря 2018 года № 916 "О внесении изменений в приложения №№ 1-3, утвержденные постановлением Администрации города Муравленко от 23.04.2018 № 256" </t>
    </r>
    <r>
      <rPr>
        <sz val="12"/>
        <color theme="10"/>
        <rFont val="Times New Roman"/>
        <family val="1"/>
      </rPr>
      <t xml:space="preserve">                    http://muravlenko.yanao.ru/administraciya-goroda/normativno-pravovye-akty/postanovleniya-administracii-goroda/postanovleniya-administracii-za-2018-g/53296-postanovlenie-ot-29-dekabrya-2018-goda-916.html                </t>
    </r>
    <r>
      <rPr>
        <sz val="12"/>
        <rFont val="Times New Roman"/>
        <family val="1"/>
      </rPr>
      <t xml:space="preserve"> Постановление Администрации города Муравленко от 27 января 2020 года № 40 "О внесении изменений в Порядок проведения конкурса по отбору местных инициатив в рамках проекта «Бюджетная инициатива граждан» на территории города Муравленко" </t>
    </r>
    <r>
      <rPr>
        <sz val="12"/>
        <color theme="10"/>
        <rFont val="Times New Roman"/>
        <family val="1"/>
      </rPr>
      <t xml:space="preserve">    http://muravlenko.yanao.ru/ekonomika-i-zhkh/municipalnye-finansy/bjudzhetnaya-iniciativa-grazhdan/dokumenty-bjudzhetnaya-iniciativa-grazhdan/58994-postanovlenie-administracii-goroda-muravlenko-ot-27-yanvarya-2020-goda-40.html
</t>
    </r>
  </si>
  <si>
    <r>
      <rPr>
        <sz val="12"/>
        <color indexed="8"/>
        <rFont val="Times New Roman"/>
        <family val="1"/>
      </rPr>
      <t xml:space="preserve">
 </t>
    </r>
    <r>
      <rPr>
        <b/>
        <sz val="12"/>
        <color indexed="8"/>
        <rFont val="Times New Roman"/>
        <family val="1"/>
      </rPr>
      <t xml:space="preserve">71,084
</t>
    </r>
  </si>
  <si>
    <r>
      <t xml:space="preserve">На основании исходных данных для расчета распределения дотации  на выравнивание бюджетной обеспеченности муниципальных районов (городских округов)  и поселений, входящих в состав муниципального района на 2021 год и на плановый период 2022 и 2023 годов, предоставленных Департаментом финансов Ханты-Мансийского автономного округа - Югры </t>
    </r>
    <r>
      <rPr>
        <u/>
        <sz val="12"/>
        <rFont val="Times New Roman"/>
        <family val="1"/>
      </rPr>
      <t xml:space="preserve">https://depfin.admhmao.ru/otkrytyy-byudzhet/mezhbyudzhetnye-otnosheniya/mezhbyudzhetnye-transferty-munitsipalnym-obrazovaniyam-avtonomnogo-okruga/proekt-byudzheta-avtonomnogo-okruga-na-2021-god-i-na-planovyy-period-2022-i-2023-godov/4528710/pokazateli-iskhodnykh-dannykh-v-razreze-munitsipalnykh-obrazovaniy-avtonomnogo-okruga </t>
    </r>
  </si>
  <si>
    <r>
      <rPr>
        <sz val="12"/>
        <color theme="10"/>
        <rFont val="Times New Roman"/>
        <family val="1"/>
      </rPr>
      <t xml:space="preserve">голосования за проекты посредством портала «Госуслуги»  </t>
    </r>
    <r>
      <rPr>
        <u/>
        <sz val="12"/>
        <color theme="10"/>
        <rFont val="Times New Roman"/>
        <family val="1"/>
      </rPr>
      <t xml:space="preserve"> https://www.n-vartovsk.ru/ibudget/</t>
    </r>
  </si>
  <si>
    <r>
      <t xml:space="preserve">http://adm.samza.ru/initsiativnoe-byudzhetirovanie/, https://m.vk.com/wall-112563761_11929#actions, https://m.vk.com/wall-112563761_12034#actions, https://m.vk.com/wall-112563761_12059#actions, https://m.vk.com/wall-112563761_12264#actions , https://m.vk.com/wall-186787093_1423#actions, </t>
    </r>
    <r>
      <rPr>
        <u/>
        <sz val="12"/>
        <color indexed="12"/>
        <rFont val="Times New Roman"/>
        <family val="1"/>
      </rPr>
      <t xml:space="preserve"> https://m.vk.com/wall-186787093_1471#actions, https://m.vk.com/wall-186787093_1570#actions, https://m.vk.com/wall-186787093_1692#actions.</t>
    </r>
  </si>
  <si>
    <t xml:space="preserve">https://www.instagram.com/p/CGZI4jwDlr_/?igshid=1eynu22a8rj5f 
https://www.instagram.com/p/CGC5s2wjDmN/?igshid=1st3urgrpl615
https://www.instagram.com/p/CF9PD7yDTG1/?igshid=1gw9v1dc60tf2
https://www.instagram.com/p/CDdYYPKqB4J/?igshid=o1symmck1snn
https://ok.ru/profile/557783840256/statuses/154015424448512
https://ok.ru/profile/557783840256/statuses/153428157270016
</t>
  </si>
  <si>
    <r>
      <t>Информационные материалы размещались в следующих СМИ:</t>
    </r>
    <r>
      <rPr>
        <sz val="12"/>
        <color indexed="8"/>
        <rFont val="Times New Roman"/>
        <family val="1"/>
      </rPr>
      <t xml:space="preserve">  официальный сайт администрации города Ульяновска; официальные аккаунты администрации города в социальных сетях;   радиопроект «Губерния в эфире» (5 радиостанций); газета «Сити» ; газета «Ульяновск сегодня»; новостной портал ultoday73.ru; информационный портал ulpressa.ru. </t>
    </r>
  </si>
  <si>
    <r>
      <t xml:space="preserve">в сети "Интернет" (https://vk.com/cib_86 (публикация от 25.03.2020),
</t>
    </r>
    <r>
      <rPr>
        <sz val="12"/>
        <color theme="1"/>
        <rFont val="Times New Roman"/>
        <family val="1"/>
      </rPr>
      <t>https://vk.com/wall-116767900_6138, https://pronyagan.ru/vse-novosti/pro-gorod/5098-eto-tvoy-vybor.html);</t>
    </r>
    <r>
      <rPr>
        <sz val="12"/>
        <rFont val="Times New Roman"/>
        <family val="1"/>
      </rPr>
      <t xml:space="preserve">
в газете "Вестник Приобья" (</t>
    </r>
    <r>
      <rPr>
        <sz val="12"/>
        <color theme="1"/>
        <rFont val="Times New Roman"/>
        <family val="1"/>
      </rPr>
      <t>http://www.admnyagan.ru/smi/vp/archiv/07_05_2020.pdf (страница газеты 22 (14 лист)</t>
    </r>
    <r>
      <rPr>
        <sz val="12"/>
        <rFont val="Times New Roman"/>
        <family val="1"/>
      </rPr>
      <t xml:space="preserve">;
в эфире "Няганского ТелеКанала", телеканал "Югория" (http://ugoria.tv/news/video/38492/?sphrase_id=76072);
в эфире "Радио 7 на семи холмах".
</t>
    </r>
  </si>
  <si>
    <r>
      <rPr>
        <sz val="12"/>
        <color theme="10"/>
        <rFont val="Times New Roman"/>
        <family val="1"/>
      </rPr>
      <t xml:space="preserve">Путем размещения информации в социальных сетях (вконтакте, одноклассники) </t>
    </r>
    <r>
      <rPr>
        <u/>
        <sz val="12"/>
        <color theme="10"/>
        <rFont val="Times New Roman"/>
        <family val="1"/>
      </rPr>
      <t>https://ok.ru/group/60701864427563/topic/152131261537067 https://ok.ru/group/60701864427563/topic/151407664339755 https://vk.com/@-183840176-na-territorii-gorodskogo-poseleniya-lugovoi-realizuetsya-5-p</t>
    </r>
  </si>
  <si>
    <r>
      <t xml:space="preserve">Публикации на официальном сайте Администации, в СМИ (репортажи "Лабытнанги-ТВ") и социальных сетях Вконтакте и Инстаграм                                                                                                                  https://vk.com/uolbt?w=wall-170882750_4149
https://lbt.yanao.ru/activity/730/
https://vk.com/lbttv?w=wall-64952690_11652
https://vk.com/lbttv?w=wall-64952690_11769
https://vk.com/lbttv?w=wall-64952690_13651
https://ks-yanao.ru/obshchestvo/labytnangtsy-gotovy-vlozhit-sobstvennye-sredstva-v-veryevochnyy-park.html
https://vk.com/lbtinfo?w=wall-76723711_772771                                                                                                                                                                                                                                                                                            </t>
    </r>
    <r>
      <rPr>
        <sz val="12"/>
        <color theme="9" tint="-0.499984740745262"/>
        <rFont val="Times New Roman"/>
        <family val="1"/>
      </rPr>
      <t xml:space="preserve">      https://ks-yanao.ru/obshchestvo/v-labytnangi-otkryli-mechtu-detstva-i-dva-verevochnykh-parka.html
https://www.instagram.com/p/CE_mU9-hofC/?igshid=1mwfjlmoq0nah
https://www.instagram.com/p/CEYGX1RHsvK/?igshid=4cn0hk2t75vl
https://m.vk.com/wall-76723711_883744
https://youtu.be/em6yDkPfgII
</t>
    </r>
  </si>
  <si>
    <r>
      <rPr>
        <i/>
        <u/>
        <sz val="10"/>
        <color rgb="FF000000"/>
        <rFont val="Times New Roman"/>
        <family val="1"/>
      </rPr>
      <t xml:space="preserve">государственная программа Воронежской области </t>
    </r>
    <r>
      <rPr>
        <sz val="10"/>
        <color rgb="FF000000"/>
        <rFont val="Times New Roman"/>
        <family val="1"/>
      </rPr>
      <t xml:space="preserve">«Содействие развитию муниципальных образований и местного самоуправления» 
</t>
    </r>
    <r>
      <rPr>
        <i/>
        <u/>
        <sz val="10"/>
        <color rgb="FF000000"/>
        <rFont val="Times New Roman"/>
        <family val="1"/>
      </rPr>
      <t>подпрограмма 1</t>
    </r>
    <r>
      <rPr>
        <sz val="10"/>
        <color rgb="FF000000"/>
        <rFont val="Times New Roman"/>
        <family val="1"/>
      </rPr>
      <t xml:space="preserve"> «Реализация государственной политики в сфере социально-экономического развития муниципальных образований»
</t>
    </r>
    <r>
      <rPr>
        <i/>
        <u/>
        <sz val="10"/>
        <color rgb="FF000000"/>
        <rFont val="Times New Roman"/>
        <family val="1"/>
      </rPr>
      <t>основное мероприятие 1.3</t>
    </r>
    <r>
      <rPr>
        <sz val="10"/>
        <color rgb="FF000000"/>
        <rFont val="Times New Roman"/>
        <family val="1"/>
      </rPr>
      <t xml:space="preserve">. «Развитие института гражданских инициатив в рамках проекта «Решаем вместе.vrn» 
</t>
    </r>
    <r>
      <rPr>
        <i/>
        <u/>
        <sz val="10"/>
        <color rgb="FF000000"/>
        <rFont val="Times New Roman"/>
        <family val="1"/>
      </rPr>
      <t>мероприятие 1.3.4</t>
    </r>
    <r>
      <rPr>
        <sz val="10"/>
        <color rgb="FF000000"/>
        <rFont val="Times New Roman"/>
        <family val="1"/>
      </rPr>
      <t xml:space="preserve"> «Поощрение проектов, реализуемых в рамках территориального общественного самоуправления в муниципальных образованиях Воронежской области»</t>
    </r>
  </si>
  <si>
    <r>
      <t>1. Постановление администрации муниципального образования "Гвардейский городской округ" от 29.01.2020 г. № 91 "Об утверждении Положения о реализации инициативных проектов
 на территории муниципального образования  "Гвардейский городской округ".
 2. Решение Совета депутатов муниципального образования "Гвардейский городской округ" от 18.02.2021 № 52 "О реализации инициативных проектов на территории муниципального образования "Гвардейский городской округ</t>
    </r>
    <r>
      <rPr>
        <b/>
        <sz val="10"/>
        <rFont val="Times New Roman"/>
        <family val="1"/>
      </rPr>
      <t>"</t>
    </r>
    <r>
      <rPr>
        <sz val="10"/>
        <rFont val="Times New Roman"/>
        <family val="1"/>
      </rPr>
      <t xml:space="preserve"> </t>
    </r>
  </si>
  <si>
    <r>
      <t xml:space="preserve">Решение Городской Думы г. Калуги от 05.12.2018 N 262 "О реализации инициативного бюджетирования в муниципальном образовании "Город Калуга"; Постановление Городской Управы г. Калуги от 26.12.2018 N 458-п "Об утверждении Порядка проведения конкурсного отбора проектов инициативного бюджетирования в муниципальном образовании "Город Калуга"; </t>
    </r>
    <r>
      <rPr>
        <sz val="10"/>
        <rFont val="Times New Roman"/>
        <family val="1"/>
      </rPr>
      <t>Постановление Городской Управы города Калуги «О проведении конкурсного отбора проектов инициативного бюджетирования в муниципальном образовании «Город Калуга» в 2020 году» от 30.09.2019 № 10123-пи</t>
    </r>
  </si>
  <si>
    <r>
      <t>1.https://old.kaluga-gov.ru/?q=%D0%B8%D0%BD%D1%84%D0%BE%D1%80%D0%BC%D0%B0%D1%86%D0%B8%D1%8F-%D0%BE%D1%82-%D0%BF%D0%BE%D0%B4%D1%80%D0%B0%D0%B7%D0%B4%D0%B5%D0%BB%D0%B5%D0%BD%D0%B8%D1%8F/%D0%B8%D0%BD%D0%B8%D1%86%D0%B8%D0%B0%D1%82%D0%B8%D0%B2%D0%BD%D0%BE%D0%B5-%D0%B1%D1%8E%D0%B4%D0%B6%D0%B5%D1%82%D0%B8%D1%80%D0%BE%D0%B2%D0%B0%D0%BD%D0%B8%D0%B5-2020-%D0%BF%D1%80%D0%BE%D0%B4%D0%BE%D0%BB%D0%B6%D0%B0%D0%B5%D1%82%D1%81%D1%8F_2053353787</t>
    </r>
    <r>
      <rPr>
        <sz val="10"/>
        <color rgb="FF0000FF"/>
        <rFont val="Times New Roman"/>
        <family val="1"/>
      </rPr>
      <t xml:space="preserve"> </t>
    </r>
    <r>
      <rPr>
        <b/>
        <sz val="10"/>
        <color rgb="FF000000"/>
        <rFont val="Times New Roman"/>
        <family val="1"/>
      </rPr>
      <t>2</t>
    </r>
    <r>
      <rPr>
        <sz val="10"/>
        <color rgb="FF0000FF"/>
        <rFont val="Times New Roman"/>
        <family val="1"/>
      </rPr>
      <t>.</t>
    </r>
    <r>
      <rPr>
        <sz val="10"/>
        <color rgb="FF000000"/>
        <rFont val="Times New Roman"/>
        <family val="1"/>
      </rPr>
      <t xml:space="preserve">http://duma.kaluga.ru/upload/iblock/f71/-262.rar ;  
</t>
    </r>
    <r>
      <rPr>
        <b/>
        <sz val="10"/>
        <color rgb="FF000000"/>
        <rFont val="Times New Roman"/>
        <family val="1"/>
      </rPr>
      <t>3.</t>
    </r>
    <r>
      <rPr>
        <sz val="10"/>
        <color rgb="FF000000"/>
        <rFont val="Times New Roman"/>
        <family val="1"/>
      </rPr>
      <t>https://old.kaluga-gov.ru/?q=%D0%B4%D0%BE%D0%BA%D1%83%D0%BC%D0%B5%D0%BD%D1%82/%D0%BF%D0%BE%D1%81%D1%82%D0%B0%D0%BD%D0%BE%D0%B2%D0%BB%D0%B5%D0%BD%D0%B8%D0%B5-%D0%B3%D0%BE%D1%80%D0%BE%D0%B4%D1%81%D0%BA%D0%BE%D0%B9-%D1%83%D0%BF%D1%80%D0%B0%D0%B2%D1%8B-%D0%B3%D0%BE%D1%80%D0%BE%D0%B4%D0%B0-%D0%BA%D0%B0%D0%BB%D1%83%D0%B3%D0%B8-%D0%BE%D1%82-26122018-%E2%84%96-458-%D0%BF_2081989924</t>
    </r>
  </si>
  <si>
    <r>
      <t>Муниципальная программа "Развитие топливно-энергетического комплекса", подпрограмма "Газификация Кавказского сельского поселения Кавказского района на 2015-2022 годы", утверждена постановлением администрации Кавказского сельского поселения Кавказского района от 13.11.2014 № 482; 
Решение Совета Кавказского сельского поселения Кавказского района от 14.02.2020 года № 3 "О передаче Кавказскому сельскому поселению К</t>
    </r>
    <r>
      <rPr>
        <sz val="10"/>
        <color theme="1"/>
        <rFont val="Times New Roman"/>
        <family val="1"/>
      </rPr>
      <t>авказского района права граждан на недостроенный объект газификации";
Решение Совета Кавказского сельского поселения Кавказского района от 30.01.2020 года № 3 "О передаче Кавказскому сельскому поселению Кавказского района проектной документации"</t>
    </r>
  </si>
  <si>
    <r>
      <t xml:space="preserve">
группа Facebook в  "Инициативное бюджетировнаие в Красноярском крае" https://www.facebook.com/groups/ppmi24/      
Группа в Вконтакте "Инициативное бюджетирование в Красноярском крае" https://vk.com/ppmi24    
Группа в Одноклассники "Инициативное бюджетирование в Красноярском крае     https://ok.ru/vkrasnoya     
</t>
    </r>
    <r>
      <rPr>
        <sz val="10"/>
        <rFont val="Times New Roman"/>
        <family val="1"/>
      </rPr>
      <t>Примеры официальных и неофициальных информационных ресурсов муниципалитетов- участников ППМИ приведены по ссылке 
https://drive.google.com/file/d/1HL6lbDsxIMGs7LRF5OTagH8U6TTYVAAa/view?usp=sharing</t>
    </r>
    <r>
      <rPr>
        <sz val="10"/>
        <color theme="1"/>
        <rFont val="Times New Roman"/>
        <family val="1"/>
      </rPr>
      <t xml:space="preserve">
</t>
    </r>
  </si>
  <si>
    <r>
      <rPr>
        <sz val="10"/>
        <rFont val="Times New Roman"/>
        <family val="1"/>
      </rPr>
      <t xml:space="preserve">Полная информация по данному пункту в приложении по ссылке: 
</t>
    </r>
    <r>
      <rPr>
        <u/>
        <sz val="10"/>
        <color rgb="FF1155CC"/>
        <rFont val="Times New Roman"/>
        <family val="1"/>
      </rPr>
      <t>https://drive.google.com/drive/folders/1DE9chLlpWEIxXzAEP29bRuiaM75OjS7X?usp=sharing</t>
    </r>
  </si>
  <si>
    <r>
      <rPr>
        <sz val="10"/>
        <rFont val="Times New Roman"/>
        <family val="1"/>
      </rPr>
      <t xml:space="preserve">Виды использованных информационных, раздаточных материалов, инфографики представлены по ссылке  
</t>
    </r>
    <r>
      <rPr>
        <u/>
        <sz val="10"/>
        <color rgb="FF1155CC"/>
        <rFont val="Times New Roman"/>
        <family val="1"/>
      </rPr>
      <t>https://drive.google.com/drive/folders/1br92umljQK8zz6VbQ0F7_ZPfWFIoDt6_?usp=sharing</t>
    </r>
    <r>
      <rPr>
        <sz val="10"/>
        <rFont val="Times New Roman"/>
        <family val="1"/>
      </rPr>
      <t xml:space="preserve">
</t>
    </r>
  </si>
  <si>
    <r>
      <rPr>
        <sz val="10"/>
        <color indexed="8"/>
        <rFont val="Times New Roman"/>
        <family val="1"/>
      </rPr>
      <t xml:space="preserve">
 </t>
    </r>
    <r>
      <rPr>
        <b/>
        <sz val="10"/>
        <color indexed="8"/>
        <rFont val="Times New Roman"/>
        <family val="1"/>
      </rPr>
      <t xml:space="preserve">71,084
</t>
    </r>
  </si>
  <si>
    <r>
      <t>Информационные материалы размещались в следующих СМИ:</t>
    </r>
    <r>
      <rPr>
        <sz val="10"/>
        <color indexed="8"/>
        <rFont val="Times New Roman"/>
        <family val="1"/>
      </rPr>
      <t xml:space="preserve">  официальный сайт администрации города Ульяновска; официальные аккаунты администрации города в социальных сетях;   радиопроект «Губерния в эфире» (5 радиостанций); газета «Сити» ; газета «Ульяновск сегодня»; новостной портал ultoday73.ru; информационный портал ulpressa.ru. </t>
    </r>
  </si>
  <si>
    <r>
      <rPr>
        <sz val="10"/>
        <color theme="10"/>
        <rFont val="Times New Roman"/>
        <family val="1"/>
      </rPr>
      <t xml:space="preserve">голосования за проекты посредством портала «Госуслуги»  </t>
    </r>
    <r>
      <rPr>
        <u/>
        <sz val="10"/>
        <color theme="10"/>
        <rFont val="Times New Roman"/>
        <family val="1"/>
      </rPr>
      <t xml:space="preserve"> https://www.n-vartovsk.ru/ibudget/</t>
    </r>
  </si>
  <si>
    <r>
      <t xml:space="preserve">в сети "Интернет" (https://vk.com/cib_86 (публикация от 25.03.2020),
</t>
    </r>
    <r>
      <rPr>
        <sz val="10"/>
        <color theme="1"/>
        <rFont val="Times New Roman"/>
        <family val="1"/>
      </rPr>
      <t>https://vk.com/wall-116767900_6138, https://pronyagan.ru/vse-novosti/pro-gorod/5098-eto-tvoy-vybor.html);</t>
    </r>
    <r>
      <rPr>
        <sz val="10"/>
        <rFont val="Times New Roman"/>
        <family val="1"/>
      </rPr>
      <t xml:space="preserve">
в газете "Вестник Приобья" (</t>
    </r>
    <r>
      <rPr>
        <sz val="10"/>
        <color theme="1"/>
        <rFont val="Times New Roman"/>
        <family val="1"/>
      </rPr>
      <t>http://www.admnyagan.ru/smi/vp/archiv/07_05_2020.pdf (страница газеты 22 (14 лист)</t>
    </r>
    <r>
      <rPr>
        <sz val="10"/>
        <rFont val="Times New Roman"/>
        <family val="1"/>
      </rPr>
      <t xml:space="preserve">;
в эфире "Няганского ТелеКанала", телеканал "Югория" (http://ugoria.tv/news/video/38492/?sphrase_id=76072);
в эфире "Радио 7 на семи холмах".
</t>
    </r>
  </si>
  <si>
    <r>
      <t xml:space="preserve">На основании исходных данных для расчета распределения дотации  на выравнивание бюджетной обеспеченности муниципальных районов (городских округов)  и поселений, входящих в состав муниципального района на 2021 год и на плановый период 2022 и 2023 годов, предоставленных Департаментом финансов Ханты-Мансийского автономного округа - Югры </t>
    </r>
    <r>
      <rPr>
        <u/>
        <sz val="10"/>
        <rFont val="Times New Roman"/>
        <family val="1"/>
      </rPr>
      <t xml:space="preserve">https://depfin.admhmao.ru/otkrytyy-byudzhet/mezhbyudzhetnye-otnosheniya/mezhbyudzhetnye-transferty-munitsipalnym-obrazovaniyam-avtonomnogo-okruga/proekt-byudzheta-avtonomnogo-okruga-na-2021-god-i-na-planovyy-period-2022-i-2023-godov/4528710/pokazateli-iskhodnykh-dannykh-v-razreze-munitsipalnykh-obrazovaniy-avtonomnogo-okruga </t>
    </r>
  </si>
  <si>
    <r>
      <t xml:space="preserve">http://adm.samza.ru/initsiativnoe-byudzhetirovanie/, https://m.vk.com/wall-112563761_11929#actions, https://m.vk.com/wall-112563761_12034#actions, https://m.vk.com/wall-112563761_12059#actions, https://m.vk.com/wall-112563761_12264#actions , https://m.vk.com/wall-186787093_1423#actions, </t>
    </r>
    <r>
      <rPr>
        <u/>
        <sz val="10"/>
        <color indexed="12"/>
        <rFont val="Times New Roman"/>
        <family val="1"/>
      </rPr>
      <t xml:space="preserve"> https://m.vk.com/wall-186787093_1471#actions, https://m.vk.com/wall-186787093_1570#actions, https://m.vk.com/wall-186787093_1692#actions.</t>
    </r>
  </si>
  <si>
    <r>
      <rPr>
        <sz val="10"/>
        <color theme="10"/>
        <rFont val="Times New Roman"/>
        <family val="1"/>
      </rPr>
      <t xml:space="preserve">Путем размещения информации в социальных сетях (вконтакте, одноклассники) </t>
    </r>
    <r>
      <rPr>
        <u/>
        <sz val="10"/>
        <color theme="10"/>
        <rFont val="Times New Roman"/>
        <family val="1"/>
      </rPr>
      <t>https://ok.ru/group/60701864427563/topic/152131261537067 https://ok.ru/group/60701864427563/topic/151407664339755 https://vk.com/@-183840176-na-territorii-gorodskogo-poseleniya-lugovoi-realizuetsya-5-p</t>
    </r>
  </si>
  <si>
    <r>
      <rPr>
        <b/>
        <sz val="10"/>
        <rFont val="Times New Roman"/>
        <family val="1"/>
      </rPr>
      <t>"</t>
    </r>
    <r>
      <rPr>
        <sz val="10"/>
        <rFont val="Times New Roman"/>
        <family val="1"/>
      </rPr>
      <t xml:space="preserve">Я планирую бюджет"      </t>
    </r>
  </si>
  <si>
    <r>
      <t xml:space="preserve">Публикации на официальном сайте Администации, в СМИ (репортажи "Лабытнанги-ТВ") и социальных сетях Вконтакте и Инстаграм                                                                                                                  https://vk.com/uolbt?w=wall-170882750_4149
https://lbt.yanao.ru/activity/730/
https://vk.com/lbttv?w=wall-64952690_11652
https://vk.com/lbttv?w=wall-64952690_11769
https://vk.com/lbttv?w=wall-64952690_13651
https://ks-yanao.ru/obshchestvo/labytnangtsy-gotovy-vlozhit-sobstvennye-sredstva-v-veryevochnyy-park.html
https://vk.com/lbtinfo?w=wall-76723711_772771                                                                                                                                                                                                                                                                                            </t>
    </r>
    <r>
      <rPr>
        <sz val="10"/>
        <color theme="9" tint="-0.499984740745262"/>
        <rFont val="Times New Roman"/>
        <family val="1"/>
      </rPr>
      <t xml:space="preserve">      https://ks-yanao.ru/obshchestvo/v-labytnangi-otkryli-mechtu-detstva-i-dva-verevochnykh-parka.html
https://www.instagram.com/p/CE_mU9-hofC/?igshid=1mwfjlmoq0nah
https://www.instagram.com/p/CEYGX1RHsvK/?igshid=4cn0hk2t75vl
https://m.vk.com/wall-76723711_883744
https://youtu.be/em6yDkPfgII
</t>
    </r>
  </si>
  <si>
    <r>
      <rPr>
        <sz val="10"/>
        <rFont val="Times New Roman"/>
        <family val="1"/>
      </rPr>
      <t xml:space="preserve">Постановление Администрации города Муравленко от 23.04.2018 № 256 "О реализации проекта "Бюджетная инициатива граждан" на территории города Муравленко        </t>
    </r>
    <r>
      <rPr>
        <sz val="10"/>
        <color theme="10"/>
        <rFont val="Times New Roman"/>
        <family val="1"/>
      </rPr>
      <t xml:space="preserve">http://muravlenko.yanao.ru/ekonomika-i-zhkh/municipalnye-finansy/bjudzhetnaya-iniciativa-grazhdan/dokumenty-bjudzhetnaya-iniciativa-grazhdan/49980-postanovlenie-o-realizacii-proekta-byudzhetnaya-iniciativa-grazhdan-na-territorii-goroda-muravlenko.html ,  </t>
    </r>
    <r>
      <rPr>
        <sz val="10"/>
        <rFont val="Times New Roman"/>
        <family val="1"/>
      </rPr>
      <t xml:space="preserve"> Постановление Администрации города Муравленко от 29 декабря 2018 года № 916 "О внесении изменений в приложения №№ 1-3, утвержденные постановлением Администрации города Муравленко от 23.04.2018 № 256" </t>
    </r>
    <r>
      <rPr>
        <sz val="10"/>
        <color theme="10"/>
        <rFont val="Times New Roman"/>
        <family val="1"/>
      </rPr>
      <t xml:space="preserve">                    http://muravlenko.yanao.ru/administraciya-goroda/normativno-pravovye-akty/postanovleniya-administracii-goroda/postanovleniya-administracii-za-2018-g/53296-postanovlenie-ot-29-dekabrya-2018-goda-916.html                </t>
    </r>
    <r>
      <rPr>
        <sz val="10"/>
        <rFont val="Times New Roman"/>
        <family val="1"/>
      </rPr>
      <t xml:space="preserve"> Постановление Администрации города Муравленко от 27 января 2020 года № 40 "О внесении изменений в Порядок проведения конкурса по отбору местных инициатив в рамках проекта «Бюджетная инициатива граждан» на территории города Муравленко" </t>
    </r>
    <r>
      <rPr>
        <sz val="10"/>
        <color theme="10"/>
        <rFont val="Times New Roman"/>
        <family val="1"/>
      </rPr>
      <t xml:space="preserve">    http://muravlenko.yanao.ru/ekonomika-i-zhkh/municipalnye-finansy/bjudzhetnaya-iniciativa-grazhdan/dokumenty-bjudzhetnaya-iniciativa-grazhdan/58994-postanovlenie-administracii-goroda-muravlenko-ot-27-yanvarya-2020-goda-40.html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</si>
</sst>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0.00\ &quot;₽&quot;_-;\-* #,##0.00\ &quot;₽&quot;_-;_-* &quot;-&quot;??\ &quot;₽&quot;_-;_-@_-"/>
    <numFmt numFmtId="164" formatCode="_-* #,##0.00_-;\-* #,##0.00_-;_-* &quot;-&quot;??_-;_-@_-"/>
    <numFmt numFmtId="165" formatCode="[$-FC19]dd\ mmmm\ yyyy\ \г\.;@"/>
    <numFmt numFmtId="166" formatCode="#,##0.000"/>
    <numFmt numFmtId="167" formatCode="#,##0.0"/>
    <numFmt numFmtId="168" formatCode="0.000"/>
    <numFmt numFmtId="169" formatCode="0.000%"/>
    <numFmt numFmtId="170" formatCode="0.0"/>
    <numFmt numFmtId="171" formatCode="dd\ mmmm\ yyyy&quot; г.&quot;;@"/>
    <numFmt numFmtId="172" formatCode="0.00000"/>
    <numFmt numFmtId="173" formatCode="dd/mm/yy;@"/>
    <numFmt numFmtId="174" formatCode="0.0%"/>
    <numFmt numFmtId="175" formatCode="0.000;[Red]0.000"/>
    <numFmt numFmtId="176" formatCode="#,##0;[Red]#,##0"/>
    <numFmt numFmtId="177" formatCode="0.0000%"/>
    <numFmt numFmtId="178" formatCode="0.0000"/>
    <numFmt numFmtId="179" formatCode="[$-FC19]dd\ mmmm\ yyyy&quot; г.&quot;;@"/>
    <numFmt numFmtId="180" formatCode="#,##0.0000"/>
    <numFmt numFmtId="181" formatCode="0.00000%"/>
    <numFmt numFmtId="182" formatCode="dd\ mmmm\ yyyy&quot; г&quot;/;@"/>
    <numFmt numFmtId="183" formatCode="#"/>
    <numFmt numFmtId="184" formatCode="#.000"/>
    <numFmt numFmtId="185" formatCode="[$-FC19]dd\ mmmm\ yyyy\ \г\."/>
    <numFmt numFmtId="186" formatCode="[$-419]General"/>
    <numFmt numFmtId="187" formatCode="dd&quot; &quot;mmmm&quot; &quot;yyyy&quot; г.&quot;"/>
    <numFmt numFmtId="188" formatCode="[$-419]0"/>
    <numFmt numFmtId="189" formatCode="[$-419]0.00%"/>
    <numFmt numFmtId="190" formatCode="[$-419]#,##0"/>
    <numFmt numFmtId="191" formatCode="#,##0.000_ ;\-#,##0.000\ "/>
    <numFmt numFmtId="192" formatCode="#,##0.000000"/>
    <numFmt numFmtId="193" formatCode="0.00000;[Red]0.00000"/>
    <numFmt numFmtId="194" formatCode="#,##0.00000;[Red]#,##0.00000"/>
  </numFmts>
  <fonts count="114" x14ac:knownFonts="1">
    <font>
      <sz val="11"/>
      <color theme="1"/>
      <name val="Calibri"/>
      <family val="2"/>
      <charset val="204"/>
      <scheme val="minor"/>
    </font>
    <font>
      <sz val="9"/>
      <color indexed="81"/>
      <name val="Tahoma"/>
      <family val="2"/>
      <charset val="204"/>
    </font>
    <font>
      <b/>
      <sz val="9"/>
      <color indexed="81"/>
      <name val="Tahoma"/>
      <family val="2"/>
      <charset val="204"/>
    </font>
    <font>
      <sz val="10"/>
      <color rgb="FF000000"/>
      <name val="Times New Roman"/>
      <family val="1"/>
      <charset val="204"/>
    </font>
    <font>
      <u/>
      <sz val="11"/>
      <color theme="10"/>
      <name val="Calibri"/>
      <family val="2"/>
      <charset val="204"/>
      <scheme val="minor"/>
    </font>
    <font>
      <sz val="11"/>
      <color theme="1"/>
      <name val="Calibri"/>
      <family val="2"/>
      <charset val="204"/>
      <scheme val="minor"/>
    </font>
    <font>
      <b/>
      <sz val="9"/>
      <color rgb="FF000000"/>
      <name val="Tahoma"/>
      <family val="2"/>
      <charset val="204"/>
    </font>
    <font>
      <sz val="9"/>
      <color rgb="FF000000"/>
      <name val="Tahoma"/>
      <family val="2"/>
      <charset val="204"/>
    </font>
    <font>
      <b/>
      <sz val="10"/>
      <color theme="0"/>
      <name val="Times New Roman"/>
      <family val="1"/>
    </font>
    <font>
      <sz val="10"/>
      <color rgb="FF000000"/>
      <name val="Times New Roman"/>
      <family val="1"/>
    </font>
    <font>
      <sz val="10"/>
      <name val="Times New Roman"/>
      <family val="1"/>
    </font>
    <font>
      <u/>
      <sz val="10"/>
      <color theme="10"/>
      <name val="Times New Roman"/>
      <family val="1"/>
    </font>
    <font>
      <b/>
      <sz val="10"/>
      <name val="Times New Roman"/>
      <family val="1"/>
    </font>
    <font>
      <sz val="10"/>
      <color theme="1"/>
      <name val="Times New Roman"/>
      <family val="1"/>
    </font>
    <font>
      <b/>
      <sz val="10"/>
      <color theme="1"/>
      <name val="Times New Roman"/>
      <family val="1"/>
    </font>
    <font>
      <u/>
      <sz val="10"/>
      <color theme="1"/>
      <name val="Times New Roman"/>
      <family val="1"/>
    </font>
    <font>
      <sz val="10"/>
      <color theme="10"/>
      <name val="Times New Roman"/>
      <family val="1"/>
    </font>
    <font>
      <b/>
      <sz val="10"/>
      <color rgb="FF000000"/>
      <name val="Times New Roman"/>
      <family val="1"/>
    </font>
    <font>
      <u/>
      <sz val="10"/>
      <name val="Times New Roman"/>
      <family val="1"/>
    </font>
    <font>
      <sz val="10"/>
      <color theme="1"/>
      <name val="Calibri"/>
      <family val="2"/>
      <charset val="204"/>
      <scheme val="minor"/>
    </font>
    <font>
      <b/>
      <sz val="10"/>
      <color rgb="FF000000"/>
      <name val="Times New Roman"/>
      <family val="1"/>
      <charset val="204"/>
    </font>
    <font>
      <sz val="10"/>
      <color theme="1"/>
      <name val="Times New Roman"/>
      <family val="1"/>
      <charset val="204"/>
    </font>
    <font>
      <u/>
      <sz val="10"/>
      <name val="Times New Roman"/>
      <family val="1"/>
      <charset val="204"/>
    </font>
    <font>
      <sz val="10"/>
      <name val="Times New Roman"/>
      <family val="1"/>
      <charset val="204"/>
    </font>
    <font>
      <sz val="10"/>
      <color rgb="FFFF0000"/>
      <name val="Times New Roman"/>
      <family val="1"/>
      <charset val="204"/>
    </font>
    <font>
      <b/>
      <sz val="10"/>
      <name val="Times New Roman"/>
      <family val="1"/>
      <charset val="204"/>
    </font>
    <font>
      <b/>
      <sz val="9"/>
      <color rgb="FF000000"/>
      <name val="Tahoma"/>
      <family val="2"/>
    </font>
    <font>
      <sz val="9"/>
      <color rgb="FF000000"/>
      <name val="Tahoma"/>
      <family val="2"/>
    </font>
    <font>
      <sz val="10"/>
      <color theme="2" tint="-0.89999084444715716"/>
      <name val="Times New Roman"/>
      <family val="1"/>
    </font>
    <font>
      <sz val="10"/>
      <color theme="4" tint="-0.249977111117893"/>
      <name val="Times New Roman"/>
      <family val="1"/>
    </font>
    <font>
      <b/>
      <sz val="12"/>
      <color rgb="FF3F3F3F"/>
      <name val="Calibri"/>
      <family val="2"/>
      <charset val="204"/>
      <scheme val="minor"/>
    </font>
    <font>
      <sz val="12"/>
      <color rgb="FF000000"/>
      <name val="Times New Roman"/>
      <family val="1"/>
      <charset val="204"/>
    </font>
    <font>
      <sz val="12"/>
      <name val="Times New Roman"/>
      <family val="1"/>
      <charset val="204"/>
    </font>
    <font>
      <u/>
      <sz val="11"/>
      <color theme="10"/>
      <name val="Calibri"/>
      <family val="2"/>
      <charset val="204"/>
    </font>
    <font>
      <b/>
      <sz val="12"/>
      <name val="Times New Roman"/>
      <family val="1"/>
      <charset val="204"/>
    </font>
    <font>
      <i/>
      <sz val="10"/>
      <name val="Times New Roman"/>
      <family val="1"/>
    </font>
    <font>
      <i/>
      <u/>
      <sz val="10"/>
      <name val="Times New Roman"/>
      <family val="1"/>
    </font>
    <font>
      <sz val="10"/>
      <color indexed="8"/>
      <name val="Times New Roman"/>
      <family val="1"/>
    </font>
    <font>
      <sz val="10"/>
      <color rgb="FFFF0000"/>
      <name val="Times New Roman"/>
      <family val="1"/>
    </font>
    <font>
      <sz val="10"/>
      <color rgb="FF00B050"/>
      <name val="Times New Roman"/>
      <family val="1"/>
    </font>
    <font>
      <i/>
      <sz val="10"/>
      <color rgb="FF000000"/>
      <name val="Times New Roman"/>
      <family val="1"/>
    </font>
    <font>
      <u/>
      <sz val="10"/>
      <color rgb="FF0000FF"/>
      <name val="Times New Roman"/>
      <family val="1"/>
    </font>
    <font>
      <sz val="10"/>
      <color rgb="FF444444"/>
      <name val="Times New Roman"/>
      <family val="1"/>
    </font>
    <font>
      <u/>
      <sz val="10"/>
      <color theme="4" tint="-0.249977111117893"/>
      <name val="Times New Roman"/>
      <family val="1"/>
    </font>
    <font>
      <u/>
      <sz val="10"/>
      <color rgb="FF0563C1"/>
      <name val="Times New Roman"/>
      <family val="1"/>
    </font>
    <font>
      <sz val="10"/>
      <color rgb="FF0000FF"/>
      <name val="Times New Roman"/>
      <family val="1"/>
    </font>
    <font>
      <i/>
      <sz val="10"/>
      <color theme="1"/>
      <name val="Times New Roman"/>
      <family val="1"/>
    </font>
    <font>
      <sz val="10"/>
      <color theme="0"/>
      <name val="Times New Roman"/>
      <family val="1"/>
    </font>
    <font>
      <b/>
      <sz val="10"/>
      <color rgb="FFC00000"/>
      <name val="Times New Roman"/>
      <family val="1"/>
    </font>
    <font>
      <sz val="8"/>
      <name val="Calibri"/>
      <family val="2"/>
      <charset val="204"/>
      <scheme val="minor"/>
    </font>
    <font>
      <sz val="11"/>
      <color theme="1"/>
      <name val="Times New Roman"/>
      <family val="1"/>
      <charset val="204"/>
    </font>
    <font>
      <i/>
      <sz val="10"/>
      <name val="Times New Roman"/>
      <family val="1"/>
      <charset val="204"/>
    </font>
    <font>
      <sz val="12"/>
      <color theme="1"/>
      <name val="Times New Roman"/>
      <family val="1"/>
      <charset val="204"/>
    </font>
    <font>
      <u/>
      <sz val="8.25"/>
      <color theme="10"/>
      <name val="Calibri"/>
      <family val="2"/>
      <charset val="204"/>
    </font>
    <font>
      <sz val="11"/>
      <color rgb="FF000000"/>
      <name val="Calibri"/>
      <family val="2"/>
      <charset val="204"/>
    </font>
    <font>
      <u/>
      <sz val="11"/>
      <color indexed="30"/>
      <name val="Calibri"/>
      <family val="2"/>
      <charset val="204"/>
    </font>
    <font>
      <sz val="14"/>
      <color rgb="FF000000"/>
      <name val="Times New Roman"/>
      <family val="1"/>
      <charset val="204"/>
    </font>
    <font>
      <i/>
      <sz val="10"/>
      <color rgb="FF000000"/>
      <name val="Times New Roman"/>
      <family val="1"/>
      <charset val="204"/>
    </font>
    <font>
      <i/>
      <sz val="10"/>
      <color rgb="FFFF0000"/>
      <name val="Times New Roman"/>
      <family val="1"/>
      <charset val="204"/>
    </font>
    <font>
      <b/>
      <sz val="10"/>
      <color rgb="FFFF0000"/>
      <name val="Times New Roman"/>
      <family val="1"/>
      <charset val="204"/>
    </font>
    <font>
      <u/>
      <sz val="10"/>
      <color rgb="FF000000"/>
      <name val="Times New Roman"/>
      <family val="1"/>
      <charset val="204"/>
    </font>
    <font>
      <b/>
      <i/>
      <sz val="11"/>
      <color theme="1"/>
      <name val="Calibri"/>
      <family val="2"/>
      <scheme val="minor"/>
    </font>
    <font>
      <sz val="14"/>
      <color theme="1"/>
      <name val="Times New Roman"/>
      <family val="1"/>
    </font>
    <font>
      <b/>
      <sz val="14"/>
      <color theme="1"/>
      <name val="Times New Roman"/>
      <family val="1"/>
    </font>
    <font>
      <b/>
      <sz val="14"/>
      <color rgb="FF000000"/>
      <name val="Times New Roman"/>
      <family val="1"/>
    </font>
    <font>
      <sz val="14"/>
      <color rgb="FF000000"/>
      <name val="Times New Roman"/>
      <family val="1"/>
    </font>
    <font>
      <b/>
      <u/>
      <sz val="14"/>
      <color rgb="FF000000"/>
      <name val="Times New Roman"/>
      <family val="1"/>
    </font>
    <font>
      <b/>
      <sz val="12"/>
      <color theme="0"/>
      <name val="Times New Roman"/>
      <family val="1"/>
      <charset val="204"/>
    </font>
    <font>
      <sz val="12"/>
      <color theme="0"/>
      <name val="Times New Roman"/>
      <family val="1"/>
      <charset val="204"/>
    </font>
    <font>
      <i/>
      <sz val="12"/>
      <name val="Times New Roman"/>
      <family val="1"/>
      <charset val="204"/>
    </font>
    <font>
      <b/>
      <sz val="12"/>
      <color rgb="FFC00000"/>
      <name val="Times New Roman"/>
      <family val="1"/>
      <charset val="204"/>
    </font>
    <font>
      <i/>
      <u/>
      <sz val="12"/>
      <name val="Times New Roman"/>
      <family val="1"/>
      <charset val="204"/>
    </font>
    <font>
      <b/>
      <sz val="11"/>
      <color rgb="FF3F3F3F"/>
      <name val="Calibri"/>
      <family val="2"/>
      <charset val="204"/>
      <scheme val="minor"/>
    </font>
    <font>
      <sz val="14"/>
      <color theme="1"/>
      <name val="Times New Roman"/>
      <family val="1"/>
      <charset val="204"/>
    </font>
    <font>
      <i/>
      <sz val="12"/>
      <color theme="1"/>
      <name val="Times New Roman"/>
      <family val="1"/>
      <charset val="204"/>
    </font>
    <font>
      <b/>
      <sz val="22"/>
      <color rgb="FF000000"/>
      <name val="Times New Roman"/>
      <family val="1"/>
    </font>
    <font>
      <b/>
      <sz val="22"/>
      <color theme="1"/>
      <name val="Calibri"/>
      <family val="2"/>
      <scheme val="minor"/>
    </font>
    <font>
      <sz val="22"/>
      <color theme="1"/>
      <name val="Calibri"/>
      <family val="2"/>
      <scheme val="minor"/>
    </font>
    <font>
      <sz val="12"/>
      <color rgb="FF222222"/>
      <name val="Times New Roman"/>
      <family val="1"/>
      <charset val="204"/>
    </font>
    <font>
      <i/>
      <sz val="10"/>
      <color theme="1"/>
      <name val="Times New Roman"/>
      <family val="1"/>
      <charset val="204"/>
    </font>
    <font>
      <i/>
      <u/>
      <sz val="10"/>
      <color theme="1"/>
      <name val="Times New Roman"/>
      <family val="1"/>
      <charset val="204"/>
    </font>
    <font>
      <b/>
      <sz val="12"/>
      <color theme="1"/>
      <name val="Times New Roman"/>
      <family val="1"/>
      <charset val="204"/>
    </font>
    <font>
      <b/>
      <sz val="12"/>
      <color theme="0"/>
      <name val="Times New Roman"/>
      <family val="1"/>
    </font>
    <font>
      <sz val="12"/>
      <color theme="0"/>
      <name val="Times New Roman"/>
      <family val="1"/>
    </font>
    <font>
      <sz val="12"/>
      <color rgb="FF000000"/>
      <name val="Times New Roman"/>
      <family val="1"/>
    </font>
    <font>
      <sz val="12"/>
      <color theme="1"/>
      <name val="Times New Roman"/>
      <family val="1"/>
    </font>
    <font>
      <sz val="12"/>
      <name val="Times New Roman"/>
      <family val="1"/>
    </font>
    <font>
      <sz val="12"/>
      <color indexed="8"/>
      <name val="Times New Roman"/>
      <family val="1"/>
    </font>
    <font>
      <b/>
      <sz val="12"/>
      <name val="Times New Roman"/>
      <family val="1"/>
    </font>
    <font>
      <i/>
      <sz val="12"/>
      <name val="Times New Roman"/>
      <family val="1"/>
    </font>
    <font>
      <b/>
      <sz val="12"/>
      <color rgb="FF000000"/>
      <name val="Times New Roman"/>
      <family val="1"/>
    </font>
    <font>
      <u/>
      <sz val="12"/>
      <color theme="10"/>
      <name val="Times New Roman"/>
      <family val="1"/>
    </font>
    <font>
      <sz val="12"/>
      <color rgb="FF0000FF"/>
      <name val="Times New Roman"/>
      <family val="1"/>
    </font>
    <font>
      <u/>
      <sz val="12"/>
      <name val="Times New Roman"/>
      <family val="1"/>
    </font>
    <font>
      <u/>
      <sz val="12"/>
      <color indexed="30"/>
      <name val="Times New Roman"/>
      <family val="1"/>
    </font>
    <font>
      <u/>
      <sz val="12"/>
      <color indexed="12"/>
      <name val="Times New Roman"/>
      <family val="1"/>
    </font>
    <font>
      <sz val="12"/>
      <color theme="10"/>
      <name val="Times New Roman"/>
      <family val="1"/>
    </font>
    <font>
      <u/>
      <sz val="12"/>
      <color theme="1"/>
      <name val="Times New Roman"/>
      <family val="1"/>
    </font>
    <font>
      <i/>
      <u/>
      <sz val="12"/>
      <name val="Times New Roman"/>
      <family val="1"/>
    </font>
    <font>
      <b/>
      <sz val="12"/>
      <color indexed="8"/>
      <name val="Times New Roman"/>
      <family val="1"/>
    </font>
    <font>
      <b/>
      <sz val="12"/>
      <color rgb="FF3F3F3F"/>
      <name val="Times New Roman"/>
      <family val="1"/>
    </font>
    <font>
      <sz val="12"/>
      <color rgb="FF000099"/>
      <name val="Times New Roman"/>
      <family val="1"/>
    </font>
    <font>
      <sz val="12"/>
      <color rgb="FFFF0000"/>
      <name val="Times New Roman"/>
      <family val="1"/>
    </font>
    <font>
      <u/>
      <sz val="12"/>
      <color rgb="FF0563C1"/>
      <name val="Times New Roman"/>
      <family val="1"/>
    </font>
    <font>
      <sz val="12"/>
      <color theme="9" tint="-0.499984740745262"/>
      <name val="Times New Roman"/>
      <family val="1"/>
    </font>
    <font>
      <sz val="10"/>
      <color rgb="FF202124"/>
      <name val="Times New Roman"/>
      <family val="1"/>
    </font>
    <font>
      <u/>
      <sz val="10"/>
      <color indexed="12"/>
      <name val="Times New Roman"/>
      <family val="1"/>
    </font>
    <font>
      <i/>
      <u/>
      <sz val="10"/>
      <color rgb="FF000000"/>
      <name val="Times New Roman"/>
      <family val="1"/>
    </font>
    <font>
      <u/>
      <sz val="10"/>
      <color rgb="FF1155CC"/>
      <name val="Times New Roman"/>
      <family val="1"/>
    </font>
    <font>
      <b/>
      <sz val="10"/>
      <color rgb="FF3F3F3F"/>
      <name val="Times New Roman"/>
      <family val="1"/>
    </font>
    <font>
      <b/>
      <sz val="10"/>
      <color indexed="8"/>
      <name val="Times New Roman"/>
      <family val="1"/>
    </font>
    <font>
      <u/>
      <sz val="10"/>
      <color indexed="30"/>
      <name val="Times New Roman"/>
      <family val="1"/>
    </font>
    <font>
      <sz val="10"/>
      <color rgb="FF000099"/>
      <name val="Times New Roman"/>
      <family val="1"/>
    </font>
    <font>
      <sz val="10"/>
      <color theme="9" tint="-0.499984740745262"/>
      <name val="Times New Roman"/>
      <family val="1"/>
    </font>
  </fonts>
  <fills count="51">
    <fill>
      <patternFill patternType="none"/>
    </fill>
    <fill>
      <patternFill patternType="gray125"/>
    </fill>
    <fill>
      <patternFill patternType="lightGray">
        <bgColor rgb="FF3E6695"/>
      </patternFill>
    </fill>
    <fill>
      <patternFill patternType="solid">
        <fgColor theme="4" tint="0.79998168889431442"/>
        <bgColor indexed="64"/>
      </patternFill>
    </fill>
    <fill>
      <patternFill patternType="solid">
        <fgColor rgb="FFDDEBF7"/>
        <bgColor rgb="FF000000"/>
      </patternFill>
    </fill>
    <fill>
      <patternFill patternType="solid">
        <fgColor theme="4" tint="0.79998168889431442"/>
        <bgColor rgb="FFCCFFFF"/>
      </patternFill>
    </fill>
    <fill>
      <patternFill patternType="solid">
        <fgColor theme="4" tint="0.79998168889431442"/>
        <bgColor rgb="FFC00000"/>
      </patternFill>
    </fill>
    <fill>
      <patternFill patternType="solid">
        <fgColor rgb="FFF2F2F2"/>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79998168889431442"/>
        <bgColor rgb="FF000000"/>
      </patternFill>
    </fill>
    <fill>
      <patternFill patternType="solid">
        <fgColor theme="5" tint="0.79998168889431442"/>
        <bgColor rgb="FFFBE4D5"/>
      </patternFill>
    </fill>
    <fill>
      <patternFill patternType="solid">
        <fgColor theme="5" tint="0.79998168889431442"/>
        <bgColor indexed="47"/>
      </patternFill>
    </fill>
    <fill>
      <patternFill patternType="solid">
        <fgColor theme="5" tint="0.79998168889431442"/>
        <bgColor indexed="22"/>
      </patternFill>
    </fill>
    <fill>
      <patternFill patternType="solid">
        <fgColor theme="5" tint="0.79998168889431442"/>
        <bgColor rgb="FFFFFFFF"/>
      </patternFill>
    </fill>
    <fill>
      <patternFill patternType="solid">
        <fgColor theme="5" tint="0.79998168889431442"/>
        <bgColor rgb="FFFFFF00"/>
      </patternFill>
    </fill>
    <fill>
      <patternFill patternType="solid">
        <fgColor theme="5" tint="0.79998168889431442"/>
        <bgColor theme="5" tint="0.79998168889431442"/>
      </patternFill>
    </fill>
    <fill>
      <patternFill patternType="solid">
        <fgColor theme="9"/>
        <bgColor indexed="64"/>
      </patternFill>
    </fill>
    <fill>
      <patternFill patternType="solid">
        <fgColor rgb="FFD8D8D8"/>
        <bgColor rgb="FFD8D8D8"/>
      </patternFill>
    </fill>
    <fill>
      <patternFill patternType="solid">
        <fgColor rgb="FFFFFF00"/>
        <bgColor rgb="FFD8D8D8"/>
      </patternFill>
    </fill>
    <fill>
      <patternFill patternType="solid">
        <fgColor rgb="FFFFC000"/>
        <bgColor rgb="FFD8D8D8"/>
      </patternFill>
    </fill>
    <fill>
      <patternFill patternType="solid">
        <fgColor rgb="FFFF0000"/>
        <bgColor indexed="64"/>
      </patternFill>
    </fill>
    <fill>
      <patternFill patternType="solid">
        <fgColor rgb="FF5B9BD5"/>
        <bgColor rgb="FF2E75B5"/>
      </patternFill>
    </fill>
    <fill>
      <patternFill patternType="solid">
        <fgColor rgb="FFF8CBAD"/>
        <bgColor rgb="FFD8D8D8"/>
      </patternFill>
    </fill>
    <fill>
      <patternFill patternType="solid">
        <fgColor rgb="FFD8D8D8"/>
        <bgColor rgb="FF000000"/>
      </patternFill>
    </fill>
    <fill>
      <patternFill patternType="solid">
        <fgColor rgb="FF92D050"/>
        <bgColor rgb="FF000000"/>
      </patternFill>
    </fill>
    <fill>
      <patternFill patternType="solid">
        <fgColor rgb="FFFFC000"/>
        <bgColor rgb="FF000000"/>
      </patternFill>
    </fill>
    <fill>
      <patternFill patternType="solid">
        <fgColor rgb="FFFFFF00"/>
        <bgColor rgb="FF000000"/>
      </patternFill>
    </fill>
    <fill>
      <patternFill patternType="solid">
        <fgColor rgb="FFD9D9D9"/>
        <bgColor rgb="FF000000"/>
      </patternFill>
    </fill>
    <fill>
      <patternFill patternType="solid">
        <fgColor rgb="FFFF0000"/>
        <bgColor rgb="FF000000"/>
      </patternFill>
    </fill>
    <fill>
      <patternFill patternType="solid">
        <fgColor rgb="FFA6A6A6"/>
        <bgColor rgb="FF000000"/>
      </patternFill>
    </fill>
    <fill>
      <patternFill patternType="solid">
        <fgColor rgb="FFA6A6A6"/>
        <bgColor rgb="FFD8D8D8"/>
      </patternFill>
    </fill>
    <fill>
      <patternFill patternType="solid">
        <fgColor rgb="FF757171"/>
        <bgColor rgb="FF000000"/>
      </patternFill>
    </fill>
    <fill>
      <patternFill patternType="solid">
        <fgColor rgb="FF757171"/>
        <bgColor rgb="FFD8D8D8"/>
      </patternFill>
    </fill>
    <fill>
      <patternFill patternType="solid">
        <fgColor rgb="FFAEAAAA"/>
        <bgColor rgb="FF000000"/>
      </patternFill>
    </fill>
    <fill>
      <patternFill patternType="solid">
        <fgColor rgb="FFFFD966"/>
        <bgColor rgb="FF000000"/>
      </patternFill>
    </fill>
    <fill>
      <patternFill patternType="solid">
        <fgColor theme="9"/>
        <bgColor rgb="FF000000"/>
      </patternFill>
    </fill>
    <fill>
      <patternFill patternType="solid">
        <fgColor theme="4"/>
        <bgColor indexed="64"/>
      </patternFill>
    </fill>
    <fill>
      <patternFill patternType="solid">
        <fgColor theme="5"/>
        <bgColor indexed="64"/>
      </patternFill>
    </fill>
    <fill>
      <patternFill patternType="solid">
        <fgColor rgb="FFFFC000"/>
        <bgColor indexed="64"/>
      </patternFill>
    </fill>
    <fill>
      <patternFill patternType="solid">
        <fgColor theme="4" tint="0.79998168889431442"/>
        <bgColor rgb="FFDEEAF6"/>
      </patternFill>
    </fill>
    <fill>
      <patternFill patternType="solid">
        <fgColor theme="4" tint="0.79998168889431442"/>
        <bgColor rgb="FF000000"/>
      </patternFill>
    </fill>
    <fill>
      <patternFill patternType="solid">
        <fgColor theme="6"/>
        <bgColor indexed="64"/>
      </patternFill>
    </fill>
    <fill>
      <patternFill patternType="solid">
        <fgColor theme="6"/>
        <bgColor rgb="FF000000"/>
      </patternFill>
    </fill>
    <fill>
      <patternFill patternType="solid">
        <fgColor theme="6" tint="-0.249977111117893"/>
        <bgColor indexed="64"/>
      </patternFill>
    </fill>
    <fill>
      <patternFill patternType="solid">
        <fgColor theme="6" tint="-0.249977111117893"/>
        <bgColor rgb="FF000000"/>
      </patternFill>
    </fill>
    <fill>
      <patternFill patternType="solid">
        <fgColor theme="6" tint="-0.249977111117893"/>
        <bgColor rgb="FFD8D8D8"/>
      </patternFill>
    </fill>
    <fill>
      <patternFill patternType="solid">
        <fgColor theme="4" tint="0.79998168889431442"/>
        <bgColor rgb="FFDFF0F0"/>
      </patternFill>
    </fill>
    <fill>
      <patternFill patternType="lightGray">
        <bgColor theme="3"/>
      </patternFill>
    </fill>
    <fill>
      <patternFill patternType="solid">
        <fgColor theme="3"/>
        <bgColor indexed="64"/>
      </patternFill>
    </fill>
    <fill>
      <patternFill patternType="solid">
        <fgColor theme="4" tint="0.59999389629810485"/>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style="thick">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style="thin">
        <color indexed="64"/>
      </right>
      <top style="medium">
        <color indexed="64"/>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s>
  <cellStyleXfs count="17">
    <xf numFmtId="0" fontId="0" fillId="0" borderId="0"/>
    <xf numFmtId="0" fontId="4" fillId="0" borderId="0" applyNumberForma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applyNumberFormat="0" applyFill="0" applyBorder="0" applyAlignment="0" applyProtection="0"/>
    <xf numFmtId="44" fontId="5" fillId="0" borderId="0" applyFont="0" applyFill="0" applyBorder="0" applyAlignment="0" applyProtection="0"/>
    <xf numFmtId="0" fontId="30" fillId="7" borderId="49" applyNumberFormat="0" applyAlignment="0" applyProtection="0"/>
    <xf numFmtId="0" fontId="3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86" fontId="54" fillId="0" borderId="0" applyBorder="0" applyProtection="0"/>
    <xf numFmtId="0" fontId="55" fillId="0" borderId="0"/>
    <xf numFmtId="0" fontId="4" fillId="0" borderId="0" applyNumberFormat="0" applyFill="0" applyBorder="0" applyAlignment="0" applyProtection="0"/>
    <xf numFmtId="0" fontId="54" fillId="0" borderId="0"/>
    <xf numFmtId="9" fontId="54" fillId="0" borderId="0" applyFont="0" applyFill="0" applyBorder="0" applyAlignment="0" applyProtection="0"/>
    <xf numFmtId="0" fontId="72" fillId="7" borderId="49" applyNumberFormat="0" applyAlignment="0" applyProtection="0"/>
  </cellStyleXfs>
  <cellXfs count="1708">
    <xf numFmtId="0" fontId="0" fillId="0" borderId="0" xfId="0"/>
    <xf numFmtId="0" fontId="8" fillId="2" borderId="8" xfId="0" applyFont="1" applyFill="1" applyBorder="1" applyAlignment="1">
      <alignment horizontal="center" vertical="center" wrapText="1"/>
    </xf>
    <xf numFmtId="0" fontId="13" fillId="0" borderId="0" xfId="0" applyFont="1"/>
    <xf numFmtId="0" fontId="14" fillId="2" borderId="8" xfId="0" applyFont="1" applyFill="1" applyBorder="1" applyAlignment="1">
      <alignment horizontal="center" vertical="center" wrapText="1"/>
    </xf>
    <xf numFmtId="0" fontId="13" fillId="3" borderId="11" xfId="0" applyFont="1" applyFill="1" applyBorder="1" applyAlignment="1">
      <alignment horizontal="left" vertical="center"/>
    </xf>
    <xf numFmtId="0" fontId="9" fillId="3" borderId="11" xfId="0" applyFont="1" applyFill="1" applyBorder="1" applyAlignment="1">
      <alignment horizontal="left" vertical="center" wrapText="1"/>
    </xf>
    <xf numFmtId="1" fontId="9" fillId="3" borderId="11" xfId="0" applyNumberFormat="1" applyFont="1" applyFill="1" applyBorder="1" applyAlignment="1">
      <alignment horizontal="left" vertical="center" wrapText="1"/>
    </xf>
    <xf numFmtId="165" fontId="10" fillId="3" borderId="11" xfId="0" applyNumberFormat="1" applyFont="1" applyFill="1" applyBorder="1" applyAlignment="1">
      <alignment horizontal="left" vertical="center" wrapText="1"/>
    </xf>
    <xf numFmtId="0" fontId="18" fillId="3" borderId="11" xfId="1" applyFont="1" applyFill="1" applyBorder="1" applyAlignment="1">
      <alignment horizontal="left" vertical="center" wrapText="1"/>
    </xf>
    <xf numFmtId="0" fontId="10" fillId="3" borderId="11" xfId="0" applyFont="1" applyFill="1" applyBorder="1" applyAlignment="1">
      <alignment horizontal="left" vertical="center" wrapText="1"/>
    </xf>
    <xf numFmtId="166" fontId="10" fillId="3" borderId="11" xfId="0" applyNumberFormat="1" applyFont="1" applyFill="1" applyBorder="1" applyAlignment="1">
      <alignment horizontal="left" vertical="center" wrapText="1"/>
    </xf>
    <xf numFmtId="10" fontId="10" fillId="3" borderId="11" xfId="0" applyNumberFormat="1" applyFont="1" applyFill="1" applyBorder="1" applyAlignment="1">
      <alignment horizontal="left" vertical="center" wrapText="1"/>
    </xf>
    <xf numFmtId="168" fontId="10" fillId="3" borderId="11" xfId="3" applyNumberFormat="1" applyFont="1" applyFill="1" applyBorder="1" applyAlignment="1">
      <alignment horizontal="left" vertical="center" wrapText="1"/>
    </xf>
    <xf numFmtId="3" fontId="10" fillId="3" borderId="11" xfId="0" applyNumberFormat="1" applyFont="1" applyFill="1" applyBorder="1" applyAlignment="1">
      <alignment horizontal="left" vertical="center" wrapText="1"/>
    </xf>
    <xf numFmtId="3" fontId="12" fillId="3" borderId="11" xfId="0" applyNumberFormat="1" applyFont="1" applyFill="1" applyBorder="1" applyAlignment="1">
      <alignment horizontal="left" vertical="center" wrapText="1"/>
    </xf>
    <xf numFmtId="167" fontId="10" fillId="3" borderId="11" xfId="0" applyNumberFormat="1" applyFont="1" applyFill="1" applyBorder="1" applyAlignment="1">
      <alignment horizontal="left" vertical="center" wrapText="1"/>
    </xf>
    <xf numFmtId="0" fontId="10" fillId="3" borderId="11" xfId="1" applyFont="1" applyFill="1" applyBorder="1" applyAlignment="1">
      <alignment horizontal="left" vertical="center" wrapText="1"/>
    </xf>
    <xf numFmtId="167" fontId="9" fillId="3" borderId="11" xfId="0" applyNumberFormat="1" applyFont="1" applyFill="1" applyBorder="1" applyAlignment="1">
      <alignment horizontal="left" vertical="center" wrapText="1"/>
    </xf>
    <xf numFmtId="1" fontId="10" fillId="3" borderId="11" xfId="0" applyNumberFormat="1" applyFont="1" applyFill="1" applyBorder="1" applyAlignment="1">
      <alignment horizontal="left" vertical="center" wrapText="1"/>
    </xf>
    <xf numFmtId="0" fontId="13" fillId="3" borderId="11" xfId="0" applyFont="1" applyFill="1" applyBorder="1" applyAlignment="1">
      <alignment horizontal="justify" vertical="center" wrapText="1"/>
    </xf>
    <xf numFmtId="0" fontId="10" fillId="3" borderId="11" xfId="0" applyFont="1" applyFill="1" applyBorder="1" applyAlignment="1">
      <alignment horizontal="left" vertical="top" wrapText="1"/>
    </xf>
    <xf numFmtId="0" fontId="13" fillId="3" borderId="11" xfId="0" applyFont="1" applyFill="1" applyBorder="1" applyAlignment="1">
      <alignment horizontal="justify"/>
    </xf>
    <xf numFmtId="0" fontId="13" fillId="3" borderId="11" xfId="0" applyFont="1" applyFill="1" applyBorder="1" applyAlignment="1">
      <alignment horizontal="justify" vertical="center"/>
    </xf>
    <xf numFmtId="0" fontId="11" fillId="3" borderId="11" xfId="1" applyFont="1" applyFill="1" applyBorder="1" applyAlignment="1">
      <alignment horizontal="left" vertical="center" wrapText="1"/>
    </xf>
    <xf numFmtId="0" fontId="18" fillId="3" borderId="11" xfId="1" applyFont="1" applyFill="1" applyBorder="1" applyAlignment="1">
      <alignment vertical="top" wrapText="1"/>
    </xf>
    <xf numFmtId="49" fontId="10" fillId="3" borderId="11" xfId="0" applyNumberFormat="1" applyFont="1" applyFill="1" applyBorder="1" applyAlignment="1">
      <alignment horizontal="left" vertical="center" wrapText="1"/>
    </xf>
    <xf numFmtId="0" fontId="18" fillId="3" borderId="11" xfId="0" applyFont="1" applyFill="1" applyBorder="1" applyAlignment="1">
      <alignment horizontal="left" vertical="center" wrapText="1"/>
    </xf>
    <xf numFmtId="4" fontId="10" fillId="3" borderId="11" xfId="0" applyNumberFormat="1" applyFont="1" applyFill="1" applyBorder="1" applyAlignment="1">
      <alignment horizontal="left" vertical="center" wrapText="1"/>
    </xf>
    <xf numFmtId="169" fontId="13" fillId="3" borderId="11" xfId="0" applyNumberFormat="1" applyFont="1" applyFill="1" applyBorder="1" applyAlignment="1">
      <alignment horizontal="left" vertical="center" wrapText="1"/>
    </xf>
    <xf numFmtId="170" fontId="10" fillId="3" borderId="11" xfId="0" applyNumberFormat="1" applyFont="1" applyFill="1" applyBorder="1" applyAlignment="1">
      <alignment horizontal="left" vertical="center" wrapText="1"/>
    </xf>
    <xf numFmtId="169" fontId="10" fillId="3" borderId="11" xfId="0" applyNumberFormat="1" applyFont="1" applyFill="1" applyBorder="1" applyAlignment="1">
      <alignment horizontal="left" vertical="center" wrapText="1"/>
    </xf>
    <xf numFmtId="0" fontId="42" fillId="3" borderId="11" xfId="0" applyFont="1" applyFill="1" applyBorder="1" applyAlignment="1">
      <alignment vertical="top" wrapText="1"/>
    </xf>
    <xf numFmtId="10" fontId="11" fillId="3" borderId="11" xfId="1" applyNumberFormat="1" applyFont="1" applyFill="1" applyBorder="1" applyAlignment="1">
      <alignment horizontal="left" vertical="center" wrapText="1"/>
    </xf>
    <xf numFmtId="9" fontId="10" fillId="3" borderId="11" xfId="0" applyNumberFormat="1" applyFont="1" applyFill="1" applyBorder="1" applyAlignment="1">
      <alignment horizontal="left" vertical="center" wrapText="1"/>
    </xf>
    <xf numFmtId="0" fontId="11" fillId="3" borderId="11" xfId="1" applyFont="1" applyFill="1" applyBorder="1" applyAlignment="1">
      <alignment wrapText="1"/>
    </xf>
    <xf numFmtId="0" fontId="46" fillId="0" borderId="0" xfId="0" applyFont="1" applyAlignment="1">
      <alignment horizontal="left" vertical="center"/>
    </xf>
    <xf numFmtId="0" fontId="9" fillId="0" borderId="0" xfId="0" applyFont="1" applyBorder="1" applyAlignment="1">
      <alignment vertical="center" wrapText="1"/>
    </xf>
    <xf numFmtId="0" fontId="46" fillId="0" borderId="0" xfId="0" applyFont="1" applyBorder="1" applyAlignment="1">
      <alignment horizontal="left" vertical="center"/>
    </xf>
    <xf numFmtId="49" fontId="12"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49" fontId="12" fillId="2" borderId="21" xfId="0" applyNumberFormat="1" applyFont="1" applyFill="1" applyBorder="1" applyAlignment="1">
      <alignment horizontal="center" vertical="center" wrapText="1"/>
    </xf>
    <xf numFmtId="0" fontId="12" fillId="2" borderId="29" xfId="0" applyFont="1" applyFill="1" applyBorder="1" applyAlignment="1">
      <alignment horizontal="center" vertical="center" wrapText="1"/>
    </xf>
    <xf numFmtId="0" fontId="47" fillId="0" borderId="0" xfId="0" applyFont="1" applyAlignment="1">
      <alignment horizontal="center" vertical="center"/>
    </xf>
    <xf numFmtId="49" fontId="10" fillId="0" borderId="2"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49" fontId="10" fillId="0" borderId="21" xfId="0" applyNumberFormat="1" applyFont="1" applyBorder="1" applyAlignment="1">
      <alignment horizontal="center" vertical="center" wrapText="1"/>
    </xf>
    <xf numFmtId="0" fontId="10" fillId="0" borderId="29" xfId="0" applyFont="1" applyBorder="1" applyAlignment="1">
      <alignment horizontal="center" vertical="center" wrapText="1"/>
    </xf>
    <xf numFmtId="0" fontId="13" fillId="0" borderId="0" xfId="0" applyFont="1" applyAlignment="1">
      <alignment horizontal="center" vertical="center"/>
    </xf>
    <xf numFmtId="49" fontId="10" fillId="0" borderId="4" xfId="0" applyNumberFormat="1" applyFont="1" applyFill="1" applyBorder="1" applyAlignment="1">
      <alignment horizontal="center" vertical="center" wrapText="1"/>
    </xf>
    <xf numFmtId="0" fontId="10" fillId="0" borderId="5" xfId="0" applyFont="1" applyFill="1" applyBorder="1" applyAlignment="1">
      <alignment horizontal="left" vertical="center" wrapText="1"/>
    </xf>
    <xf numFmtId="49" fontId="10" fillId="0" borderId="24" xfId="0" applyNumberFormat="1" applyFont="1" applyFill="1" applyBorder="1" applyAlignment="1">
      <alignment horizontal="center" vertical="center" wrapText="1"/>
    </xf>
    <xf numFmtId="0" fontId="10" fillId="0" borderId="26" xfId="0" applyFont="1" applyFill="1" applyBorder="1" applyAlignment="1">
      <alignment horizontal="left" vertical="center" wrapText="1"/>
    </xf>
    <xf numFmtId="0" fontId="13" fillId="0" borderId="0" xfId="0" applyFont="1" applyFill="1" applyAlignment="1">
      <alignment horizontal="left"/>
    </xf>
    <xf numFmtId="49" fontId="10" fillId="9" borderId="24" xfId="0" applyNumberFormat="1" applyFont="1" applyFill="1" applyBorder="1" applyAlignment="1">
      <alignment horizontal="center" vertical="center" wrapText="1"/>
    </xf>
    <xf numFmtId="0" fontId="10" fillId="9" borderId="18" xfId="0" applyFont="1" applyFill="1" applyBorder="1" applyAlignment="1">
      <alignment vertical="center" wrapText="1"/>
    </xf>
    <xf numFmtId="49" fontId="10" fillId="0" borderId="14"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3" fillId="0" borderId="0" xfId="0" applyFont="1" applyBorder="1"/>
    <xf numFmtId="49" fontId="10" fillId="0" borderId="23" xfId="0" applyNumberFormat="1" applyFont="1" applyBorder="1" applyAlignment="1">
      <alignment horizontal="center" vertical="center" wrapText="1"/>
    </xf>
    <xf numFmtId="0" fontId="10" fillId="0" borderId="27" xfId="0" applyFont="1" applyBorder="1" applyAlignment="1">
      <alignment horizontal="left" vertical="center" wrapText="1"/>
    </xf>
    <xf numFmtId="0" fontId="10" fillId="0" borderId="3" xfId="0" applyFont="1" applyFill="1" applyBorder="1" applyAlignment="1">
      <alignment vertical="center" wrapText="1"/>
    </xf>
    <xf numFmtId="49" fontId="10" fillId="0" borderId="24" xfId="0" applyNumberFormat="1" applyFont="1" applyBorder="1" applyAlignment="1">
      <alignment horizontal="center" vertical="center" wrapText="1"/>
    </xf>
    <xf numFmtId="0" fontId="10" fillId="0" borderId="26" xfId="0" applyFont="1" applyBorder="1" applyAlignment="1">
      <alignment horizontal="left" vertical="center" wrapText="1"/>
    </xf>
    <xf numFmtId="0" fontId="10" fillId="0" borderId="3" xfId="0" applyFont="1" applyFill="1" applyBorder="1" applyAlignment="1">
      <alignment horizontal="left" vertical="center" wrapText="1"/>
    </xf>
    <xf numFmtId="49" fontId="10" fillId="0" borderId="20" xfId="0" applyNumberFormat="1" applyFont="1" applyBorder="1" applyAlignment="1">
      <alignment horizontal="center" vertical="center" wrapText="1"/>
    </xf>
    <xf numFmtId="0" fontId="10" fillId="0" borderId="13" xfId="0" applyFont="1" applyBorder="1" applyAlignment="1">
      <alignment horizontal="left" vertical="center" wrapText="1"/>
    </xf>
    <xf numFmtId="49" fontId="10" fillId="0" borderId="6" xfId="0" applyNumberFormat="1" applyFont="1" applyFill="1" applyBorder="1" applyAlignment="1">
      <alignment horizontal="center" vertical="center" wrapText="1"/>
    </xf>
    <xf numFmtId="0" fontId="10" fillId="0" borderId="5" xfId="0" applyFont="1" applyFill="1" applyBorder="1" applyAlignment="1">
      <alignment vertical="center" wrapText="1"/>
    </xf>
    <xf numFmtId="49" fontId="10" fillId="0" borderId="22" xfId="0" applyNumberFormat="1" applyFont="1" applyBorder="1" applyAlignment="1">
      <alignment horizontal="center" vertical="center" wrapText="1"/>
    </xf>
    <xf numFmtId="0" fontId="10" fillId="0" borderId="25" xfId="0" applyFont="1" applyBorder="1" applyAlignment="1">
      <alignment horizontal="left" vertical="center" wrapText="1"/>
    </xf>
    <xf numFmtId="49" fontId="10" fillId="0" borderId="16" xfId="0" applyNumberFormat="1" applyFont="1" applyBorder="1" applyAlignment="1">
      <alignment horizontal="center" vertical="center" wrapText="1"/>
    </xf>
    <xf numFmtId="0" fontId="10" fillId="0" borderId="11" xfId="0" applyFont="1" applyBorder="1" applyAlignment="1">
      <alignment horizontal="left" vertical="center" wrapText="1"/>
    </xf>
    <xf numFmtId="49" fontId="10" fillId="0" borderId="19" xfId="0" applyNumberFormat="1" applyFont="1" applyBorder="1" applyAlignment="1">
      <alignment horizontal="center" vertical="center" wrapText="1"/>
    </xf>
    <xf numFmtId="0" fontId="10" fillId="0" borderId="12" xfId="0" applyFont="1" applyFill="1" applyBorder="1" applyAlignment="1">
      <alignment horizontal="left" vertical="center" wrapText="1"/>
    </xf>
    <xf numFmtId="49" fontId="10" fillId="0" borderId="17" xfId="0" applyNumberFormat="1" applyFont="1" applyBorder="1" applyAlignment="1">
      <alignment horizontal="center" vertical="center" wrapText="1"/>
    </xf>
    <xf numFmtId="0" fontId="10" fillId="0" borderId="18" xfId="0" applyFont="1" applyBorder="1" applyAlignment="1">
      <alignment horizontal="left" vertical="center" wrapText="1"/>
    </xf>
    <xf numFmtId="0" fontId="10" fillId="0" borderId="10" xfId="0" applyFont="1" applyFill="1" applyBorder="1" applyAlignment="1">
      <alignment vertical="center" wrapText="1"/>
    </xf>
    <xf numFmtId="49" fontId="10" fillId="8" borderId="24" xfId="0" applyNumberFormat="1" applyFont="1" applyFill="1" applyBorder="1" applyAlignment="1">
      <alignment horizontal="center" vertical="center" wrapText="1"/>
    </xf>
    <xf numFmtId="0" fontId="10" fillId="8" borderId="26" xfId="0" applyFont="1" applyFill="1" applyBorder="1" applyAlignment="1">
      <alignment vertical="center" wrapText="1"/>
    </xf>
    <xf numFmtId="49" fontId="10" fillId="0" borderId="14" xfId="0" applyNumberFormat="1" applyFont="1" applyFill="1" applyBorder="1" applyAlignment="1">
      <alignment horizontal="center" vertical="center" wrapText="1"/>
    </xf>
    <xf numFmtId="0" fontId="10" fillId="0" borderId="15" xfId="0" applyFont="1" applyFill="1" applyBorder="1" applyAlignment="1">
      <alignment horizontal="left" vertical="center" wrapText="1"/>
    </xf>
    <xf numFmtId="49" fontId="10" fillId="0" borderId="19" xfId="0" applyNumberFormat="1" applyFont="1" applyFill="1" applyBorder="1" applyAlignment="1">
      <alignment horizontal="center" vertical="center" wrapText="1"/>
    </xf>
    <xf numFmtId="49" fontId="10" fillId="0" borderId="16" xfId="0" applyNumberFormat="1" applyFont="1" applyFill="1" applyBorder="1" applyAlignment="1">
      <alignment horizontal="center" vertical="center" wrapText="1"/>
    </xf>
    <xf numFmtId="0" fontId="10" fillId="0" borderId="11" xfId="0" applyFont="1" applyFill="1" applyBorder="1" applyAlignment="1">
      <alignment horizontal="left" vertical="center" wrapText="1"/>
    </xf>
    <xf numFmtId="0" fontId="13" fillId="3" borderId="11" xfId="0" applyFont="1" applyFill="1" applyBorder="1" applyAlignment="1">
      <alignment horizontal="left" vertical="center" wrapText="1"/>
    </xf>
    <xf numFmtId="49" fontId="10" fillId="0" borderId="17" xfId="0" applyNumberFormat="1" applyFont="1" applyFill="1" applyBorder="1" applyAlignment="1">
      <alignment horizontal="center" vertical="center" wrapText="1"/>
    </xf>
    <xf numFmtId="0" fontId="10" fillId="0" borderId="18" xfId="0" applyFont="1" applyFill="1" applyBorder="1" applyAlignment="1">
      <alignment horizontal="left" vertical="center" wrapText="1"/>
    </xf>
    <xf numFmtId="0" fontId="10" fillId="0" borderId="16" xfId="0" applyFont="1" applyBorder="1" applyAlignment="1">
      <alignment horizontal="center" vertical="center"/>
    </xf>
    <xf numFmtId="0" fontId="10" fillId="0" borderId="11" xfId="0" applyFont="1" applyBorder="1" applyAlignment="1">
      <alignment wrapText="1"/>
    </xf>
    <xf numFmtId="49" fontId="10" fillId="0" borderId="23" xfId="0" applyNumberFormat="1" applyFont="1" applyFill="1" applyBorder="1" applyAlignment="1">
      <alignment horizontal="center" vertical="center" wrapText="1"/>
    </xf>
    <xf numFmtId="0" fontId="10" fillId="0" borderId="18" xfId="0" applyFont="1" applyFill="1" applyBorder="1" applyAlignment="1">
      <alignment horizontal="right" vertical="center" wrapText="1"/>
    </xf>
    <xf numFmtId="49" fontId="10" fillId="0" borderId="20"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1" fontId="10" fillId="0" borderId="14" xfId="0" applyNumberFormat="1" applyFont="1" applyFill="1" applyBorder="1" applyAlignment="1">
      <alignment horizontal="center" vertical="center" wrapText="1"/>
    </xf>
    <xf numFmtId="1" fontId="10" fillId="0" borderId="19"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49" fontId="10" fillId="0" borderId="21" xfId="0" applyNumberFormat="1" applyFont="1" applyFill="1" applyBorder="1" applyAlignment="1">
      <alignment horizontal="center" vertical="center" wrapText="1"/>
    </xf>
    <xf numFmtId="0" fontId="10" fillId="0" borderId="29" xfId="0" applyFont="1" applyFill="1" applyBorder="1" applyAlignment="1">
      <alignment horizontal="left" vertical="center" wrapText="1"/>
    </xf>
    <xf numFmtId="49" fontId="13" fillId="0" borderId="0" xfId="0" applyNumberFormat="1" applyFont="1" applyAlignment="1">
      <alignment horizontal="center"/>
    </xf>
    <xf numFmtId="0" fontId="13" fillId="0" borderId="0" xfId="0" applyFont="1" applyAlignment="1">
      <alignment horizontal="left" vertical="center"/>
    </xf>
    <xf numFmtId="0" fontId="13" fillId="0" borderId="0" xfId="0" applyFont="1" applyBorder="1" applyAlignment="1">
      <alignment horizontal="left" vertical="center"/>
    </xf>
    <xf numFmtId="0" fontId="23" fillId="0" borderId="11" xfId="0" applyFont="1" applyBorder="1" applyAlignment="1">
      <alignment horizontal="left" vertical="center" wrapText="1"/>
    </xf>
    <xf numFmtId="0" fontId="31" fillId="8" borderId="32" xfId="0" applyFont="1" applyFill="1" applyBorder="1" applyAlignment="1">
      <alignment horizontal="left" vertical="center" wrapText="1"/>
    </xf>
    <xf numFmtId="0" fontId="31" fillId="8" borderId="3" xfId="0" applyFont="1" applyFill="1" applyBorder="1" applyAlignment="1">
      <alignment horizontal="left" vertical="center" wrapText="1"/>
    </xf>
    <xf numFmtId="0" fontId="21" fillId="0" borderId="0" xfId="0" applyFont="1"/>
    <xf numFmtId="0" fontId="23" fillId="0" borderId="11" xfId="0" applyFont="1" applyBorder="1" applyAlignment="1">
      <alignment horizontal="center" vertical="center" wrapText="1"/>
    </xf>
    <xf numFmtId="49" fontId="25" fillId="0" borderId="12" xfId="0" applyNumberFormat="1" applyFont="1" applyBorder="1" applyAlignment="1">
      <alignment horizontal="left" vertical="center" wrapText="1"/>
    </xf>
    <xf numFmtId="0" fontId="23" fillId="0" borderId="12" xfId="0" applyFont="1" applyBorder="1" applyAlignment="1">
      <alignment horizontal="left" vertical="center" wrapText="1"/>
    </xf>
    <xf numFmtId="1" fontId="23" fillId="0" borderId="12" xfId="0" applyNumberFormat="1" applyFont="1" applyBorder="1" applyAlignment="1">
      <alignment horizontal="left" vertical="center" wrapText="1"/>
    </xf>
    <xf numFmtId="0" fontId="23" fillId="0" borderId="12" xfId="0" applyFont="1" applyBorder="1" applyAlignment="1">
      <alignment horizontal="left" vertical="top" wrapText="1"/>
    </xf>
    <xf numFmtId="0" fontId="51" fillId="18" borderId="12" xfId="0" applyFont="1" applyFill="1" applyBorder="1" applyAlignment="1">
      <alignment horizontal="left" vertical="center" wrapText="1"/>
    </xf>
    <xf numFmtId="0" fontId="23" fillId="0" borderId="15" xfId="0" applyFont="1" applyBorder="1" applyAlignment="1">
      <alignment horizontal="left" wrapText="1"/>
    </xf>
    <xf numFmtId="1" fontId="23" fillId="0" borderId="15" xfId="0" applyNumberFormat="1" applyFont="1" applyBorder="1" applyAlignment="1">
      <alignment horizontal="left" wrapText="1"/>
    </xf>
    <xf numFmtId="0" fontId="23" fillId="0" borderId="15" xfId="0" applyFont="1" applyBorder="1" applyAlignment="1">
      <alignment horizontal="left" vertical="top" wrapText="1"/>
    </xf>
    <xf numFmtId="0" fontId="23" fillId="0" borderId="11" xfId="0" applyFont="1" applyBorder="1" applyAlignment="1">
      <alignment horizontal="left" wrapText="1"/>
    </xf>
    <xf numFmtId="1" fontId="23" fillId="0" borderId="11" xfId="0" applyNumberFormat="1" applyFont="1" applyBorder="1" applyAlignment="1">
      <alignment horizontal="left" wrapText="1"/>
    </xf>
    <xf numFmtId="0" fontId="23" fillId="0" borderId="11" xfId="0" applyFont="1" applyBorder="1" applyAlignment="1">
      <alignment horizontal="left" vertical="top" wrapText="1"/>
    </xf>
    <xf numFmtId="1" fontId="24" fillId="0" borderId="11" xfId="0" applyNumberFormat="1" applyFont="1" applyBorder="1" applyAlignment="1">
      <alignment horizontal="left" wrapText="1"/>
    </xf>
    <xf numFmtId="0" fontId="23" fillId="0" borderId="18" xfId="0" applyFont="1" applyBorder="1" applyAlignment="1">
      <alignment horizontal="left" wrapText="1"/>
    </xf>
    <xf numFmtId="1" fontId="24" fillId="0" borderId="18" xfId="0" applyNumberFormat="1" applyFont="1" applyBorder="1" applyAlignment="1">
      <alignment horizontal="left" wrapText="1"/>
    </xf>
    <xf numFmtId="0" fontId="23" fillId="0" borderId="18" xfId="0" applyFont="1" applyBorder="1" applyAlignment="1">
      <alignment horizontal="left" vertical="top" wrapText="1"/>
    </xf>
    <xf numFmtId="0" fontId="57" fillId="0" borderId="11" xfId="0" applyFont="1" applyBorder="1" applyAlignment="1">
      <alignment horizontal="left" vertical="top" wrapText="1"/>
    </xf>
    <xf numFmtId="0" fontId="3" fillId="0" borderId="15" xfId="0" applyFont="1" applyBorder="1" applyAlignment="1">
      <alignment horizontal="left" vertical="top" wrapText="1"/>
    </xf>
    <xf numFmtId="0" fontId="3" fillId="0" borderId="11" xfId="0" applyFont="1" applyBorder="1" applyAlignment="1">
      <alignment horizontal="left" vertical="top" wrapText="1"/>
    </xf>
    <xf numFmtId="1" fontId="23" fillId="0" borderId="18" xfId="0" applyNumberFormat="1" applyFont="1" applyBorder="1" applyAlignment="1">
      <alignment horizontal="left" wrapText="1"/>
    </xf>
    <xf numFmtId="0" fontId="3" fillId="0" borderId="18" xfId="0" applyFont="1" applyBorder="1" applyAlignment="1">
      <alignment horizontal="left" vertical="top" wrapText="1"/>
    </xf>
    <xf numFmtId="0" fontId="23" fillId="0" borderId="15" xfId="0" applyFont="1" applyBorder="1" applyAlignment="1">
      <alignment horizontal="left" vertical="center" wrapText="1"/>
    </xf>
    <xf numFmtId="0" fontId="23" fillId="0" borderId="18" xfId="0" applyFont="1" applyBorder="1" applyAlignment="1">
      <alignment horizontal="left" vertical="center" wrapText="1"/>
    </xf>
    <xf numFmtId="49" fontId="3" fillId="0" borderId="14" xfId="0" applyNumberFormat="1" applyFont="1" applyBorder="1" applyAlignment="1">
      <alignment horizontal="left" vertical="center" wrapText="1"/>
    </xf>
    <xf numFmtId="49" fontId="3" fillId="0" borderId="15" xfId="0" applyNumberFormat="1" applyFont="1" applyBorder="1" applyAlignment="1">
      <alignment horizontal="left" vertical="center" wrapText="1"/>
    </xf>
    <xf numFmtId="0" fontId="3" fillId="0" borderId="15" xfId="0" applyFont="1" applyBorder="1" applyAlignment="1">
      <alignment horizontal="left" vertical="center" wrapText="1"/>
    </xf>
    <xf numFmtId="0" fontId="51" fillId="19" borderId="15" xfId="0" applyFont="1" applyFill="1" applyBorder="1" applyAlignment="1">
      <alignment horizontal="left" vertical="top" wrapText="1"/>
    </xf>
    <xf numFmtId="49" fontId="3" fillId="0" borderId="17" xfId="0" applyNumberFormat="1" applyFont="1" applyBorder="1" applyAlignment="1">
      <alignment horizontal="left" vertical="center" wrapText="1"/>
    </xf>
    <xf numFmtId="49" fontId="3" fillId="0" borderId="18" xfId="0" applyNumberFormat="1" applyFont="1" applyBorder="1" applyAlignment="1">
      <alignment horizontal="left" vertical="center" wrapText="1"/>
    </xf>
    <xf numFmtId="0" fontId="3" fillId="0" borderId="18" xfId="0" applyFont="1" applyBorder="1" applyAlignment="1">
      <alignment horizontal="left" vertical="center" wrapText="1"/>
    </xf>
    <xf numFmtId="0" fontId="23" fillId="0" borderId="26" xfId="0" applyFont="1" applyBorder="1" applyAlignment="1">
      <alignment horizontal="left" vertical="center" wrapText="1"/>
    </xf>
    <xf numFmtId="0" fontId="23" fillId="0" borderId="13" xfId="0" applyFont="1" applyBorder="1" applyAlignment="1">
      <alignment horizontal="left" wrapText="1"/>
    </xf>
    <xf numFmtId="1" fontId="24" fillId="0" borderId="13" xfId="0" applyNumberFormat="1" applyFont="1" applyBorder="1" applyAlignment="1">
      <alignment horizontal="left" wrapText="1"/>
    </xf>
    <xf numFmtId="0" fontId="3" fillId="0" borderId="13" xfId="0" applyFont="1" applyBorder="1" applyAlignment="1">
      <alignment horizontal="left" vertical="top" wrapText="1"/>
    </xf>
    <xf numFmtId="0" fontId="23" fillId="0" borderId="27" xfId="0" applyFont="1" applyBorder="1" applyAlignment="1">
      <alignment horizontal="left" vertical="center" wrapText="1"/>
    </xf>
    <xf numFmtId="0" fontId="23" fillId="0" borderId="27" xfId="0" applyFont="1" applyBorder="1" applyAlignment="1">
      <alignment horizontal="left" wrapText="1"/>
    </xf>
    <xf numFmtId="1" fontId="24" fillId="0" borderId="27" xfId="0" applyNumberFormat="1" applyFont="1" applyBorder="1" applyAlignment="1">
      <alignment horizontal="left" wrapText="1"/>
    </xf>
    <xf numFmtId="0" fontId="3" fillId="0" borderId="27" xfId="0" applyFont="1" applyBorder="1" applyAlignment="1">
      <alignment horizontal="left" vertical="top" wrapText="1"/>
    </xf>
    <xf numFmtId="1" fontId="24" fillId="0" borderId="15" xfId="0" applyNumberFormat="1" applyFont="1" applyBorder="1" applyAlignment="1">
      <alignment horizontal="left" wrapText="1"/>
    </xf>
    <xf numFmtId="0" fontId="23" fillId="0" borderId="13" xfId="0" applyFont="1" applyBorder="1" applyAlignment="1">
      <alignment horizontal="left" vertical="center" wrapText="1"/>
    </xf>
    <xf numFmtId="0" fontId="23" fillId="0" borderId="26" xfId="0" applyFont="1" applyBorder="1" applyAlignment="1">
      <alignment horizontal="left" wrapText="1"/>
    </xf>
    <xf numFmtId="0" fontId="23" fillId="0" borderId="12" xfId="0" applyFont="1" applyBorder="1" applyAlignment="1">
      <alignment horizontal="left" wrapText="1"/>
    </xf>
    <xf numFmtId="49" fontId="3" fillId="0" borderId="12" xfId="0" applyNumberFormat="1" applyFont="1" applyBorder="1" applyAlignment="1">
      <alignment horizontal="left" vertical="center" wrapText="1"/>
    </xf>
    <xf numFmtId="1" fontId="24" fillId="0" borderId="12" xfId="0" applyNumberFormat="1" applyFont="1" applyBorder="1" applyAlignment="1">
      <alignment horizontal="left" wrapText="1"/>
    </xf>
    <xf numFmtId="0" fontId="3" fillId="0" borderId="12" xfId="0" applyFont="1" applyBorder="1" applyAlignment="1">
      <alignment horizontal="left" vertical="top" wrapText="1"/>
    </xf>
    <xf numFmtId="49" fontId="3" fillId="0" borderId="26" xfId="0" applyNumberFormat="1" applyFont="1" applyBorder="1" applyAlignment="1">
      <alignment horizontal="left" vertical="center" wrapText="1"/>
    </xf>
    <xf numFmtId="49" fontId="3" fillId="0" borderId="13" xfId="0" applyNumberFormat="1" applyFont="1" applyBorder="1" applyAlignment="1">
      <alignment horizontal="left" vertical="center" wrapText="1"/>
    </xf>
    <xf numFmtId="1" fontId="23" fillId="0" borderId="13" xfId="0" applyNumberFormat="1" applyFont="1" applyBorder="1" applyAlignment="1">
      <alignment horizontal="left" wrapText="1"/>
    </xf>
    <xf numFmtId="49" fontId="3" fillId="0" borderId="11" xfId="0" applyNumberFormat="1" applyFont="1" applyBorder="1" applyAlignment="1">
      <alignment horizontal="left" vertical="center" wrapText="1"/>
    </xf>
    <xf numFmtId="1" fontId="23" fillId="0" borderId="12" xfId="0" applyNumberFormat="1" applyFont="1" applyBorder="1" applyAlignment="1">
      <alignment horizontal="left" wrapText="1"/>
    </xf>
    <xf numFmtId="49" fontId="3" fillId="0" borderId="21" xfId="0" applyNumberFormat="1" applyFont="1" applyBorder="1" applyAlignment="1">
      <alignment horizontal="left" vertical="center" wrapText="1"/>
    </xf>
    <xf numFmtId="49" fontId="3" fillId="0" borderId="29" xfId="0" applyNumberFormat="1" applyFont="1" applyBorder="1" applyAlignment="1">
      <alignment horizontal="left" vertical="center" wrapText="1"/>
    </xf>
    <xf numFmtId="0" fontId="3" fillId="0" borderId="29" xfId="0" applyFont="1" applyBorder="1" applyAlignment="1">
      <alignment horizontal="left" vertical="center" wrapText="1"/>
    </xf>
    <xf numFmtId="0" fontId="23" fillId="0" borderId="29" xfId="0" applyFont="1" applyBorder="1" applyAlignment="1">
      <alignment horizontal="left" wrapText="1"/>
    </xf>
    <xf numFmtId="1" fontId="23" fillId="0" borderId="29" xfId="0" applyNumberFormat="1" applyFont="1" applyBorder="1" applyAlignment="1">
      <alignment horizontal="left" wrapText="1"/>
    </xf>
    <xf numFmtId="0" fontId="51" fillId="20" borderId="29" xfId="0" applyFont="1" applyFill="1" applyBorder="1" applyAlignment="1">
      <alignment horizontal="left" vertical="top" wrapText="1"/>
    </xf>
    <xf numFmtId="0" fontId="3" fillId="0" borderId="13" xfId="0" applyFont="1" applyBorder="1" applyAlignment="1">
      <alignment horizontal="left" vertical="center" wrapText="1"/>
    </xf>
    <xf numFmtId="0" fontId="58" fillId="0" borderId="13" xfId="0" applyFont="1" applyBorder="1" applyAlignment="1">
      <alignment horizontal="left" vertical="center" wrapText="1"/>
    </xf>
    <xf numFmtId="0" fontId="51" fillId="0" borderId="13" xfId="0" applyFont="1" applyBorder="1" applyAlignment="1">
      <alignment horizontal="left" vertical="top" wrapText="1"/>
    </xf>
    <xf numFmtId="49" fontId="3" fillId="0" borderId="16" xfId="0" applyNumberFormat="1" applyFont="1" applyBorder="1" applyAlignment="1">
      <alignment horizontal="left" vertical="center" wrapText="1"/>
    </xf>
    <xf numFmtId="0" fontId="3" fillId="0" borderId="11" xfId="0" applyFont="1" applyBorder="1" applyAlignment="1">
      <alignment horizontal="left" vertical="center" wrapText="1"/>
    </xf>
    <xf numFmtId="0" fontId="51" fillId="20" borderId="15" xfId="0" applyFont="1" applyFill="1" applyBorder="1" applyAlignment="1">
      <alignment horizontal="left" vertical="top" wrapText="1"/>
    </xf>
    <xf numFmtId="0" fontId="57" fillId="0" borderId="13" xfId="0" applyFont="1" applyBorder="1" applyAlignment="1">
      <alignment horizontal="left" vertical="top" wrapText="1"/>
    </xf>
    <xf numFmtId="2" fontId="0" fillId="0" borderId="0" xfId="0" applyNumberFormat="1"/>
    <xf numFmtId="168" fontId="0" fillId="0" borderId="0" xfId="0" applyNumberFormat="1"/>
    <xf numFmtId="0" fontId="3" fillId="0" borderId="0" xfId="0" applyFont="1" applyAlignment="1">
      <alignment horizontal="left" wrapText="1"/>
    </xf>
    <xf numFmtId="0" fontId="20" fillId="0" borderId="0" xfId="0" applyFont="1" applyAlignment="1">
      <alignment horizontal="left" wrapText="1"/>
    </xf>
    <xf numFmtId="49" fontId="20" fillId="0" borderId="11" xfId="0" applyNumberFormat="1" applyFont="1" applyBorder="1" applyAlignment="1">
      <alignment horizontal="left" vertical="center" wrapText="1"/>
    </xf>
    <xf numFmtId="0" fontId="20" fillId="0" borderId="11" xfId="0" applyFont="1" applyBorder="1" applyAlignment="1">
      <alignment horizontal="left" vertical="center" wrapText="1"/>
    </xf>
    <xf numFmtId="1" fontId="20" fillId="0" borderId="11" xfId="0" applyNumberFormat="1" applyFont="1" applyBorder="1" applyAlignment="1">
      <alignment horizontal="left" vertical="center" wrapText="1"/>
    </xf>
    <xf numFmtId="0" fontId="20" fillId="22" borderId="11" xfId="0" applyFont="1" applyFill="1" applyBorder="1" applyAlignment="1">
      <alignment horizontal="left" vertical="center" wrapText="1"/>
    </xf>
    <xf numFmtId="0" fontId="57" fillId="22" borderId="11" xfId="0" applyFont="1" applyFill="1" applyBorder="1" applyAlignment="1">
      <alignment horizontal="left" vertical="center" wrapText="1"/>
    </xf>
    <xf numFmtId="0" fontId="57" fillId="22" borderId="11" xfId="0" applyFont="1" applyFill="1" applyBorder="1" applyAlignment="1">
      <alignment horizontal="left" vertical="top" wrapText="1"/>
    </xf>
    <xf numFmtId="0" fontId="20" fillId="0" borderId="0" xfId="0" applyFont="1" applyAlignment="1">
      <alignment horizontal="center" vertical="center" wrapText="1"/>
    </xf>
    <xf numFmtId="0" fontId="51" fillId="23" borderId="12" xfId="0" applyFont="1" applyFill="1" applyBorder="1" applyAlignment="1">
      <alignment horizontal="left" vertical="top" wrapText="1"/>
    </xf>
    <xf numFmtId="0" fontId="57" fillId="24" borderId="15" xfId="0" applyFont="1" applyFill="1" applyBorder="1" applyAlignment="1">
      <alignment horizontal="left" vertical="center" wrapText="1"/>
    </xf>
    <xf numFmtId="0" fontId="58" fillId="23" borderId="15" xfId="0" applyFont="1" applyFill="1" applyBorder="1" applyAlignment="1">
      <alignment horizontal="left" vertical="top" wrapText="1"/>
    </xf>
    <xf numFmtId="0" fontId="57" fillId="24" borderId="11" xfId="0" applyFont="1" applyFill="1" applyBorder="1" applyAlignment="1">
      <alignment horizontal="left" vertical="center" wrapText="1"/>
    </xf>
    <xf numFmtId="0" fontId="51" fillId="23" borderId="11" xfId="0" applyFont="1" applyFill="1" applyBorder="1" applyAlignment="1">
      <alignment horizontal="left" vertical="top" wrapText="1"/>
    </xf>
    <xf numFmtId="0" fontId="23" fillId="25" borderId="11" xfId="0" applyFont="1" applyFill="1" applyBorder="1" applyAlignment="1">
      <alignment horizontal="left" vertical="top" wrapText="1"/>
    </xf>
    <xf numFmtId="0" fontId="23" fillId="26" borderId="11" xfId="0" applyFont="1" applyFill="1" applyBorder="1" applyAlignment="1">
      <alignment horizontal="left" wrapText="1"/>
    </xf>
    <xf numFmtId="1" fontId="24" fillId="26" borderId="11" xfId="0" applyNumberFormat="1" applyFont="1" applyFill="1" applyBorder="1" applyAlignment="1">
      <alignment horizontal="left" wrapText="1"/>
    </xf>
    <xf numFmtId="0" fontId="23" fillId="26" borderId="11" xfId="0" applyFont="1" applyFill="1" applyBorder="1" applyAlignment="1">
      <alignment horizontal="left" vertical="top" wrapText="1"/>
    </xf>
    <xf numFmtId="0" fontId="57" fillId="26" borderId="11" xfId="0" applyFont="1" applyFill="1" applyBorder="1" applyAlignment="1">
      <alignment horizontal="left" vertical="center" wrapText="1"/>
    </xf>
    <xf numFmtId="0" fontId="51" fillId="26" borderId="11" xfId="0" applyFont="1" applyFill="1" applyBorder="1" applyAlignment="1">
      <alignment horizontal="left" vertical="top" wrapText="1"/>
    </xf>
    <xf numFmtId="0" fontId="3" fillId="26" borderId="0" xfId="0" applyFont="1" applyFill="1" applyAlignment="1">
      <alignment horizontal="left" wrapText="1"/>
    </xf>
    <xf numFmtId="0" fontId="20" fillId="26" borderId="0" xfId="0" applyFont="1" applyFill="1" applyAlignment="1">
      <alignment horizontal="left" wrapText="1"/>
    </xf>
    <xf numFmtId="0" fontId="57" fillId="24" borderId="18" xfId="0" applyFont="1" applyFill="1" applyBorder="1" applyAlignment="1">
      <alignment horizontal="left" vertical="center" wrapText="1"/>
    </xf>
    <xf numFmtId="0" fontId="51" fillId="23" borderId="18" xfId="0" applyFont="1" applyFill="1" applyBorder="1" applyAlignment="1">
      <alignment horizontal="left" vertical="top" wrapText="1"/>
    </xf>
    <xf numFmtId="0" fontId="3" fillId="25" borderId="15" xfId="0" applyFont="1" applyFill="1" applyBorder="1" applyAlignment="1">
      <alignment horizontal="left" vertical="top" wrapText="1"/>
    </xf>
    <xf numFmtId="0" fontId="51" fillId="23" borderId="15" xfId="0" applyFont="1" applyFill="1" applyBorder="1" applyAlignment="1">
      <alignment horizontal="left" vertical="top" wrapText="1"/>
    </xf>
    <xf numFmtId="0" fontId="3" fillId="27" borderId="0" xfId="0" applyFont="1" applyFill="1" applyAlignment="1">
      <alignment horizontal="left" wrapText="1"/>
    </xf>
    <xf numFmtId="0" fontId="20" fillId="27" borderId="0" xfId="0" applyFont="1" applyFill="1" applyAlignment="1">
      <alignment horizontal="left" wrapText="1"/>
    </xf>
    <xf numFmtId="2" fontId="3" fillId="0" borderId="0" xfId="0" applyNumberFormat="1" applyFont="1" applyAlignment="1">
      <alignment horizontal="left" wrapText="1"/>
    </xf>
    <xf numFmtId="2" fontId="20" fillId="0" borderId="0" xfId="0" applyNumberFormat="1" applyFont="1" applyAlignment="1">
      <alignment horizontal="left" wrapText="1"/>
    </xf>
    <xf numFmtId="1" fontId="20" fillId="0" borderId="0" xfId="0" applyNumberFormat="1" applyFont="1" applyAlignment="1">
      <alignment horizontal="left" wrapText="1"/>
    </xf>
    <xf numFmtId="0" fontId="57" fillId="24" borderId="13" xfId="0" applyFont="1" applyFill="1" applyBorder="1" applyAlignment="1">
      <alignment horizontal="left" vertical="center" wrapText="1"/>
    </xf>
    <xf numFmtId="0" fontId="51" fillId="23" borderId="13" xfId="0" applyFont="1" applyFill="1" applyBorder="1" applyAlignment="1">
      <alignment horizontal="left" vertical="top" wrapText="1"/>
    </xf>
    <xf numFmtId="0" fontId="57" fillId="24" borderId="27" xfId="0" applyFont="1" applyFill="1" applyBorder="1" applyAlignment="1">
      <alignment horizontal="left" vertical="center" wrapText="1"/>
    </xf>
    <xf numFmtId="0" fontId="51" fillId="23" borderId="27" xfId="0" applyFont="1" applyFill="1" applyBorder="1" applyAlignment="1">
      <alignment horizontal="left" vertical="top" wrapText="1"/>
    </xf>
    <xf numFmtId="10" fontId="20" fillId="0" borderId="0" xfId="0" applyNumberFormat="1" applyFont="1" applyAlignment="1">
      <alignment horizontal="left" wrapText="1"/>
    </xf>
    <xf numFmtId="168" fontId="3" fillId="0" borderId="0" xfId="0" applyNumberFormat="1" applyFont="1" applyAlignment="1">
      <alignment horizontal="left" wrapText="1"/>
    </xf>
    <xf numFmtId="168" fontId="20" fillId="0" borderId="0" xfId="0" applyNumberFormat="1" applyFont="1" applyAlignment="1">
      <alignment horizontal="left" wrapText="1"/>
    </xf>
    <xf numFmtId="0" fontId="57" fillId="24" borderId="12" xfId="0" applyFont="1" applyFill="1" applyBorder="1" applyAlignment="1">
      <alignment horizontal="left" vertical="center" wrapText="1"/>
    </xf>
    <xf numFmtId="0" fontId="3" fillId="27" borderId="18" xfId="0" applyFont="1" applyFill="1" applyBorder="1" applyAlignment="1">
      <alignment horizontal="left" vertical="top" wrapText="1"/>
    </xf>
    <xf numFmtId="0" fontId="3" fillId="25" borderId="13" xfId="0" applyFont="1" applyFill="1" applyBorder="1" applyAlignment="1">
      <alignment horizontal="left" vertical="top" wrapText="1"/>
    </xf>
    <xf numFmtId="166" fontId="20" fillId="0" borderId="0" xfId="0" applyNumberFormat="1" applyFont="1" applyAlignment="1">
      <alignment horizontal="left" wrapText="1"/>
    </xf>
    <xf numFmtId="0" fontId="3" fillId="27" borderId="15" xfId="0" applyFont="1" applyFill="1" applyBorder="1" applyAlignment="1">
      <alignment horizontal="left" vertical="top" wrapText="1"/>
    </xf>
    <xf numFmtId="0" fontId="51" fillId="23" borderId="18" xfId="0" applyFont="1" applyFill="1" applyBorder="1" applyAlignment="1">
      <alignment horizontal="left" wrapText="1"/>
    </xf>
    <xf numFmtId="0" fontId="3" fillId="27" borderId="12" xfId="0" applyFont="1" applyFill="1" applyBorder="1" applyAlignment="1">
      <alignment horizontal="left" vertical="top" wrapText="1"/>
    </xf>
    <xf numFmtId="0" fontId="51" fillId="23" borderId="12" xfId="0" applyFont="1" applyFill="1" applyBorder="1" applyAlignment="1">
      <alignment horizontal="left" wrapText="1"/>
    </xf>
    <xf numFmtId="0" fontId="57" fillId="28" borderId="15" xfId="0" applyFont="1" applyFill="1" applyBorder="1" applyAlignment="1">
      <alignment horizontal="left" vertical="center" wrapText="1"/>
    </xf>
    <xf numFmtId="0" fontId="57" fillId="28" borderId="18" xfId="0" applyFont="1" applyFill="1" applyBorder="1" applyAlignment="1">
      <alignment horizontal="left" vertical="center" wrapText="1"/>
    </xf>
    <xf numFmtId="0" fontId="3" fillId="27" borderId="29" xfId="0" applyFont="1" applyFill="1" applyBorder="1" applyAlignment="1">
      <alignment horizontal="left" vertical="top" wrapText="1"/>
    </xf>
    <xf numFmtId="0" fontId="57" fillId="24" borderId="29" xfId="0" applyFont="1" applyFill="1" applyBorder="1" applyAlignment="1">
      <alignment horizontal="left" vertical="center" wrapText="1"/>
    </xf>
    <xf numFmtId="0" fontId="51" fillId="23" borderId="29" xfId="0" applyFont="1" applyFill="1" applyBorder="1" applyAlignment="1">
      <alignment horizontal="left" vertical="top" wrapText="1"/>
    </xf>
    <xf numFmtId="49" fontId="3" fillId="26" borderId="21" xfId="0" applyNumberFormat="1" applyFont="1" applyFill="1" applyBorder="1" applyAlignment="1">
      <alignment horizontal="left" vertical="center" wrapText="1"/>
    </xf>
    <xf numFmtId="49" fontId="3" fillId="26" borderId="29" xfId="0" applyNumberFormat="1" applyFont="1" applyFill="1" applyBorder="1" applyAlignment="1">
      <alignment horizontal="left" vertical="center" wrapText="1"/>
    </xf>
    <xf numFmtId="0" fontId="3" fillId="26" borderId="29" xfId="0" applyFont="1" applyFill="1" applyBorder="1" applyAlignment="1">
      <alignment horizontal="left" vertical="center" wrapText="1"/>
    </xf>
    <xf numFmtId="0" fontId="23" fillId="26" borderId="29" xfId="0" applyFont="1" applyFill="1" applyBorder="1" applyAlignment="1">
      <alignment horizontal="left" wrapText="1"/>
    </xf>
    <xf numFmtId="1" fontId="23" fillId="26" borderId="29" xfId="0" applyNumberFormat="1" applyFont="1" applyFill="1" applyBorder="1" applyAlignment="1">
      <alignment horizontal="left" wrapText="1"/>
    </xf>
    <xf numFmtId="0" fontId="3" fillId="26" borderId="29" xfId="0" applyFont="1" applyFill="1" applyBorder="1" applyAlignment="1">
      <alignment horizontal="left" vertical="top" wrapText="1"/>
    </xf>
    <xf numFmtId="0" fontId="57" fillId="26" borderId="29" xfId="0" applyFont="1" applyFill="1" applyBorder="1" applyAlignment="1">
      <alignment horizontal="left" vertical="center" wrapText="1"/>
    </xf>
    <xf numFmtId="49" fontId="3" fillId="29" borderId="26" xfId="0" applyNumberFormat="1" applyFont="1" applyFill="1" applyBorder="1" applyAlignment="1">
      <alignment horizontal="left" vertical="center" wrapText="1"/>
    </xf>
    <xf numFmtId="0" fontId="3" fillId="29" borderId="26" xfId="0" applyFont="1" applyFill="1" applyBorder="1" applyAlignment="1">
      <alignment horizontal="left" vertical="center" wrapText="1"/>
    </xf>
    <xf numFmtId="0" fontId="23" fillId="29" borderId="26" xfId="0" applyFont="1" applyFill="1" applyBorder="1" applyAlignment="1">
      <alignment horizontal="left" wrapText="1"/>
    </xf>
    <xf numFmtId="1" fontId="23" fillId="29" borderId="26" xfId="0" applyNumberFormat="1" applyFont="1" applyFill="1" applyBorder="1" applyAlignment="1">
      <alignment horizontal="left" wrapText="1"/>
    </xf>
    <xf numFmtId="0" fontId="3" fillId="29" borderId="26" xfId="0" applyFont="1" applyFill="1" applyBorder="1" applyAlignment="1">
      <alignment horizontal="left" vertical="top" wrapText="1"/>
    </xf>
    <xf numFmtId="0" fontId="58" fillId="29" borderId="26" xfId="0" applyFont="1" applyFill="1" applyBorder="1" applyAlignment="1">
      <alignment horizontal="left" vertical="center" wrapText="1"/>
    </xf>
    <xf numFmtId="0" fontId="51" fillId="29" borderId="26" xfId="0" applyFont="1" applyFill="1" applyBorder="1" applyAlignment="1">
      <alignment horizontal="left" vertical="top" wrapText="1"/>
    </xf>
    <xf numFmtId="0" fontId="3" fillId="29" borderId="0" xfId="0" applyFont="1" applyFill="1" applyAlignment="1">
      <alignment horizontal="left" wrapText="1"/>
    </xf>
    <xf numFmtId="0" fontId="24" fillId="29" borderId="0" xfId="0" applyFont="1" applyFill="1" applyAlignment="1">
      <alignment horizontal="left" wrapText="1"/>
    </xf>
    <xf numFmtId="0" fontId="20" fillId="29" borderId="0" xfId="0" applyFont="1" applyFill="1" applyAlignment="1">
      <alignment horizontal="left" wrapText="1"/>
    </xf>
    <xf numFmtId="49" fontId="3" fillId="30" borderId="18" xfId="0" applyNumberFormat="1" applyFont="1" applyFill="1" applyBorder="1" applyAlignment="1">
      <alignment horizontal="left" vertical="center" wrapText="1"/>
    </xf>
    <xf numFmtId="0" fontId="3" fillId="30" borderId="18" xfId="0" applyFont="1" applyFill="1" applyBorder="1" applyAlignment="1">
      <alignment horizontal="left" vertical="center" wrapText="1"/>
    </xf>
    <xf numFmtId="0" fontId="23" fillId="30" borderId="18" xfId="0" applyFont="1" applyFill="1" applyBorder="1" applyAlignment="1">
      <alignment horizontal="left" wrapText="1"/>
    </xf>
    <xf numFmtId="1" fontId="23" fillId="30" borderId="18" xfId="0" applyNumberFormat="1" applyFont="1" applyFill="1" applyBorder="1" applyAlignment="1">
      <alignment horizontal="left" wrapText="1"/>
    </xf>
    <xf numFmtId="0" fontId="3" fillId="30" borderId="18" xfId="0" applyFont="1" applyFill="1" applyBorder="1" applyAlignment="1">
      <alignment horizontal="left" vertical="top" wrapText="1"/>
    </xf>
    <xf numFmtId="0" fontId="58" fillId="30" borderId="18" xfId="0" applyFont="1" applyFill="1" applyBorder="1" applyAlignment="1">
      <alignment horizontal="left" vertical="center" wrapText="1"/>
    </xf>
    <xf numFmtId="0" fontId="51" fillId="31" borderId="18" xfId="0" applyFont="1" applyFill="1" applyBorder="1" applyAlignment="1">
      <alignment horizontal="left" vertical="top" wrapText="1"/>
    </xf>
    <xf numFmtId="0" fontId="23" fillId="32" borderId="26" xfId="0" applyFont="1" applyFill="1" applyBorder="1" applyAlignment="1">
      <alignment horizontal="left" vertical="center" wrapText="1"/>
    </xf>
    <xf numFmtId="0" fontId="23" fillId="32" borderId="13" xfId="0" applyFont="1" applyFill="1" applyBorder="1" applyAlignment="1">
      <alignment horizontal="left" wrapText="1"/>
    </xf>
    <xf numFmtId="1" fontId="24" fillId="32" borderId="13" xfId="0" applyNumberFormat="1" applyFont="1" applyFill="1" applyBorder="1" applyAlignment="1">
      <alignment horizontal="left" wrapText="1"/>
    </xf>
    <xf numFmtId="0" fontId="3" fillId="32" borderId="13" xfId="0" applyFont="1" applyFill="1" applyBorder="1" applyAlignment="1">
      <alignment horizontal="left" vertical="top" wrapText="1"/>
    </xf>
    <xf numFmtId="0" fontId="57" fillId="32" borderId="13" xfId="0" applyFont="1" applyFill="1" applyBorder="1" applyAlignment="1">
      <alignment horizontal="left" vertical="center" wrapText="1"/>
    </xf>
    <xf numFmtId="0" fontId="51" fillId="33" borderId="13" xfId="0" applyFont="1" applyFill="1" applyBorder="1" applyAlignment="1">
      <alignment horizontal="left" vertical="top" wrapText="1"/>
    </xf>
    <xf numFmtId="0" fontId="3" fillId="32" borderId="0" xfId="0" applyFont="1" applyFill="1" applyAlignment="1">
      <alignment horizontal="left" wrapText="1"/>
    </xf>
    <xf numFmtId="0" fontId="20" fillId="32" borderId="0" xfId="0" applyFont="1" applyFill="1" applyAlignment="1">
      <alignment horizontal="left" wrapText="1"/>
    </xf>
    <xf numFmtId="0" fontId="23" fillId="32" borderId="27" xfId="0" applyFont="1" applyFill="1" applyBorder="1" applyAlignment="1">
      <alignment horizontal="left" vertical="center" wrapText="1"/>
    </xf>
    <xf numFmtId="0" fontId="23" fillId="32" borderId="27" xfId="0" applyFont="1" applyFill="1" applyBorder="1" applyAlignment="1">
      <alignment horizontal="left" wrapText="1"/>
    </xf>
    <xf numFmtId="1" fontId="24" fillId="32" borderId="27" xfId="0" applyNumberFormat="1" applyFont="1" applyFill="1" applyBorder="1" applyAlignment="1">
      <alignment horizontal="left" wrapText="1"/>
    </xf>
    <xf numFmtId="0" fontId="3" fillId="32" borderId="27" xfId="0" applyFont="1" applyFill="1" applyBorder="1" applyAlignment="1">
      <alignment horizontal="left" vertical="top" wrapText="1"/>
    </xf>
    <xf numFmtId="0" fontId="57" fillId="32" borderId="27" xfId="0" applyFont="1" applyFill="1" applyBorder="1" applyAlignment="1">
      <alignment horizontal="left" vertical="center" wrapText="1"/>
    </xf>
    <xf numFmtId="0" fontId="51" fillId="33" borderId="27" xfId="0" applyFont="1" applyFill="1" applyBorder="1" applyAlignment="1">
      <alignment horizontal="left" vertical="top" wrapText="1"/>
    </xf>
    <xf numFmtId="0" fontId="23" fillId="26" borderId="15" xfId="0" applyFont="1" applyFill="1" applyBorder="1" applyAlignment="1">
      <alignment horizontal="left" wrapText="1"/>
    </xf>
    <xf numFmtId="1" fontId="23" fillId="26" borderId="15" xfId="0" applyNumberFormat="1" applyFont="1" applyFill="1" applyBorder="1" applyAlignment="1">
      <alignment horizontal="left" wrapText="1"/>
    </xf>
    <xf numFmtId="0" fontId="3" fillId="26" borderId="15" xfId="0" applyFont="1" applyFill="1" applyBorder="1" applyAlignment="1">
      <alignment horizontal="left" vertical="top" wrapText="1"/>
    </xf>
    <xf numFmtId="0" fontId="57" fillId="26" borderId="15" xfId="0" applyFont="1" applyFill="1" applyBorder="1" applyAlignment="1">
      <alignment horizontal="left" vertical="center" wrapText="1"/>
    </xf>
    <xf numFmtId="168" fontId="20" fillId="26" borderId="0" xfId="0" applyNumberFormat="1" applyFont="1" applyFill="1" applyAlignment="1">
      <alignment horizontal="left" wrapText="1"/>
    </xf>
    <xf numFmtId="0" fontId="23" fillId="30" borderId="17" xfId="0" applyFont="1" applyFill="1" applyBorder="1" applyAlignment="1">
      <alignment horizontal="left" vertical="center" wrapText="1"/>
    </xf>
    <xf numFmtId="0" fontId="23" fillId="30" borderId="18" xfId="0" applyFont="1" applyFill="1" applyBorder="1" applyAlignment="1">
      <alignment horizontal="left" vertical="center" wrapText="1"/>
    </xf>
    <xf numFmtId="0" fontId="57" fillId="30" borderId="18" xfId="0" applyFont="1" applyFill="1" applyBorder="1" applyAlignment="1">
      <alignment horizontal="left" vertical="center" wrapText="1"/>
    </xf>
    <xf numFmtId="2" fontId="20" fillId="0" borderId="0" xfId="0" applyNumberFormat="1" applyFont="1" applyAlignment="1">
      <alignment horizontal="center" vertical="center" wrapText="1"/>
    </xf>
    <xf numFmtId="0" fontId="3" fillId="34" borderId="0" xfId="0" applyFont="1" applyFill="1" applyAlignment="1">
      <alignment horizontal="left" wrapText="1"/>
    </xf>
    <xf numFmtId="0" fontId="20" fillId="34" borderId="0" xfId="0" applyFont="1" applyFill="1" applyAlignment="1">
      <alignment horizontal="left" wrapText="1"/>
    </xf>
    <xf numFmtId="2" fontId="3" fillId="26" borderId="0" xfId="0" applyNumberFormat="1" applyFont="1" applyFill="1" applyAlignment="1">
      <alignment horizontal="left" wrapText="1"/>
    </xf>
    <xf numFmtId="2" fontId="20" fillId="26" borderId="0" xfId="0" applyNumberFormat="1" applyFont="1" applyFill="1" applyAlignment="1">
      <alignment horizontal="left" wrapText="1"/>
    </xf>
    <xf numFmtId="0" fontId="3" fillId="35" borderId="0" xfId="0" applyFont="1" applyFill="1" applyAlignment="1">
      <alignment horizontal="left" wrapText="1"/>
    </xf>
    <xf numFmtId="0" fontId="20" fillId="35" borderId="0" xfId="0" applyFont="1" applyFill="1" applyAlignment="1">
      <alignment horizontal="left" wrapText="1"/>
    </xf>
    <xf numFmtId="0" fontId="3" fillId="0" borderId="17" xfId="0" applyFont="1" applyBorder="1" applyAlignment="1">
      <alignment horizontal="center" vertical="center"/>
    </xf>
    <xf numFmtId="0" fontId="3" fillId="0" borderId="20" xfId="0" applyFont="1" applyBorder="1" applyAlignment="1">
      <alignment horizontal="center" vertical="center"/>
    </xf>
    <xf numFmtId="0" fontId="3" fillId="0" borderId="23" xfId="0" applyFont="1" applyBorder="1" applyAlignment="1">
      <alignment horizontal="center" vertical="center"/>
    </xf>
    <xf numFmtId="0" fontId="3" fillId="0" borderId="0" xfId="0" applyFont="1" applyAlignment="1">
      <alignment horizontal="center" vertical="center" wrapText="1"/>
    </xf>
    <xf numFmtId="0" fontId="23" fillId="0" borderId="44"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8" xfId="0" applyFont="1" applyFill="1" applyBorder="1" applyAlignment="1">
      <alignment horizontal="left" vertical="center" wrapText="1"/>
    </xf>
    <xf numFmtId="0" fontId="3" fillId="17" borderId="0" xfId="0" applyFont="1" applyFill="1" applyAlignment="1">
      <alignment horizontal="center" vertical="center" wrapText="1"/>
    </xf>
    <xf numFmtId="0" fontId="3" fillId="36" borderId="38" xfId="0" applyFont="1" applyFill="1" applyBorder="1" applyAlignment="1">
      <alignment horizontal="left" vertical="center" wrapText="1"/>
    </xf>
    <xf numFmtId="0" fontId="0" fillId="17" borderId="0" xfId="0" applyFill="1"/>
    <xf numFmtId="2" fontId="10" fillId="3" borderId="11" xfId="0" applyNumberFormat="1" applyFont="1" applyFill="1" applyBorder="1" applyAlignment="1">
      <alignment horizontal="left" vertical="center" wrapText="1"/>
    </xf>
    <xf numFmtId="168" fontId="10" fillId="3" borderId="11" xfId="0" applyNumberFormat="1" applyFont="1" applyFill="1" applyBorder="1" applyAlignment="1">
      <alignment horizontal="left" vertical="center" wrapText="1"/>
    </xf>
    <xf numFmtId="168" fontId="0" fillId="17" borderId="0" xfId="0" applyNumberFormat="1" applyFill="1"/>
    <xf numFmtId="2" fontId="61" fillId="0" borderId="0" xfId="0" applyNumberFormat="1" applyFont="1"/>
    <xf numFmtId="2" fontId="0" fillId="17" borderId="0" xfId="0" applyNumberFormat="1" applyFill="1"/>
    <xf numFmtId="2" fontId="0" fillId="0" borderId="0" xfId="0" applyNumberFormat="1" applyFill="1"/>
    <xf numFmtId="0" fontId="63" fillId="0" borderId="1" xfId="0" applyFont="1" applyBorder="1" applyAlignment="1">
      <alignment wrapText="1"/>
    </xf>
    <xf numFmtId="0" fontId="63" fillId="0" borderId="1" xfId="0" applyFont="1" applyBorder="1"/>
    <xf numFmtId="4" fontId="62" fillId="0" borderId="1" xfId="0" applyNumberFormat="1" applyFont="1" applyBorder="1"/>
    <xf numFmtId="2" fontId="62" fillId="0" borderId="1" xfId="0" applyNumberFormat="1" applyFont="1" applyBorder="1"/>
    <xf numFmtId="0" fontId="62" fillId="0" borderId="1" xfId="0" applyFont="1" applyBorder="1"/>
    <xf numFmtId="0" fontId="56" fillId="0" borderId="0" xfId="0" applyFont="1"/>
    <xf numFmtId="0" fontId="64" fillId="0" borderId="1" xfId="14" applyFont="1" applyBorder="1" applyAlignment="1">
      <alignment horizontal="left" vertical="center" wrapText="1"/>
    </xf>
    <xf numFmtId="0" fontId="64" fillId="0" borderId="1" xfId="14" applyFont="1" applyBorder="1" applyAlignment="1">
      <alignment horizontal="right" vertical="center" wrapText="1"/>
    </xf>
    <xf numFmtId="0" fontId="65" fillId="0" borderId="1" xfId="14" applyFont="1" applyBorder="1" applyAlignment="1">
      <alignment horizontal="left" vertical="center" wrapText="1"/>
    </xf>
    <xf numFmtId="10" fontId="65" fillId="0" borderId="1" xfId="15" applyNumberFormat="1" applyFont="1" applyFill="1" applyBorder="1" applyAlignment="1">
      <alignment vertical="center"/>
    </xf>
    <xf numFmtId="10" fontId="65" fillId="0" borderId="1" xfId="0" applyNumberFormat="1" applyFont="1" applyBorder="1" applyAlignment="1">
      <alignment vertical="center"/>
    </xf>
    <xf numFmtId="10" fontId="65" fillId="0" borderId="1" xfId="15" applyNumberFormat="1" applyFont="1" applyFill="1" applyBorder="1" applyAlignment="1">
      <alignment horizontal="right" vertical="center"/>
    </xf>
    <xf numFmtId="0" fontId="64" fillId="0" borderId="1" xfId="14" applyFont="1" applyBorder="1" applyAlignment="1">
      <alignment horizontal="right" vertical="center"/>
    </xf>
    <xf numFmtId="0" fontId="64" fillId="0" borderId="1" xfId="14" applyFont="1" applyFill="1" applyBorder="1" applyAlignment="1">
      <alignment horizontal="right" vertical="center"/>
    </xf>
    <xf numFmtId="10" fontId="65" fillId="0" borderId="1" xfId="14" applyNumberFormat="1" applyFont="1" applyBorder="1" applyAlignment="1">
      <alignment vertical="center"/>
    </xf>
    <xf numFmtId="10" fontId="62" fillId="0" borderId="1" xfId="0" applyNumberFormat="1" applyFont="1" applyBorder="1" applyAlignment="1">
      <alignment vertical="center"/>
    </xf>
    <xf numFmtId="0" fontId="0" fillId="0" borderId="0" xfId="0" applyAlignment="1">
      <alignment wrapText="1"/>
    </xf>
    <xf numFmtId="4" fontId="64" fillId="0" borderId="1" xfId="14" applyNumberFormat="1" applyFont="1" applyBorder="1" applyAlignment="1">
      <alignment horizontal="right" vertical="center" wrapText="1"/>
    </xf>
    <xf numFmtId="4" fontId="64" fillId="0" borderId="1" xfId="14" applyNumberFormat="1" applyFont="1" applyBorder="1" applyAlignment="1">
      <alignment horizontal="right" vertical="center"/>
    </xf>
    <xf numFmtId="4" fontId="64" fillId="0" borderId="1" xfId="14" applyNumberFormat="1" applyFont="1" applyBorder="1" applyAlignment="1">
      <alignment vertical="center"/>
    </xf>
    <xf numFmtId="4" fontId="65" fillId="0" borderId="1" xfId="14" applyNumberFormat="1" applyFont="1" applyBorder="1" applyAlignment="1">
      <alignment horizontal="right" vertical="center" wrapText="1"/>
    </xf>
    <xf numFmtId="4" fontId="65" fillId="0" borderId="1" xfId="14" applyNumberFormat="1" applyFont="1" applyBorder="1" applyAlignment="1">
      <alignment horizontal="right" vertical="center"/>
    </xf>
    <xf numFmtId="4" fontId="65" fillId="0" borderId="1" xfId="14" applyNumberFormat="1" applyFont="1" applyBorder="1" applyAlignment="1">
      <alignment vertical="center"/>
    </xf>
    <xf numFmtId="4" fontId="62" fillId="0" borderId="1" xfId="0" applyNumberFormat="1" applyFont="1" applyBorder="1" applyAlignment="1">
      <alignment vertical="center"/>
    </xf>
    <xf numFmtId="4" fontId="63" fillId="0" borderId="1" xfId="0" applyNumberFormat="1" applyFont="1" applyBorder="1" applyAlignment="1">
      <alignment vertical="center"/>
    </xf>
    <xf numFmtId="10" fontId="64" fillId="0" borderId="1" xfId="15" applyNumberFormat="1" applyFont="1" applyFill="1" applyBorder="1" applyAlignment="1">
      <alignment horizontal="right" vertical="center" wrapText="1"/>
    </xf>
    <xf numFmtId="10" fontId="64" fillId="0" borderId="1" xfId="15" applyNumberFormat="1" applyFont="1" applyFill="1" applyBorder="1" applyAlignment="1">
      <alignment vertical="center"/>
    </xf>
    <xf numFmtId="10" fontId="65" fillId="0" borderId="1" xfId="15" applyNumberFormat="1" applyFont="1" applyFill="1" applyBorder="1" applyAlignment="1">
      <alignment horizontal="right" vertical="center" wrapText="1"/>
    </xf>
    <xf numFmtId="10" fontId="63" fillId="0" borderId="1" xfId="0" applyNumberFormat="1" applyFont="1" applyBorder="1" applyAlignment="1">
      <alignment vertical="center"/>
    </xf>
    <xf numFmtId="0" fontId="62" fillId="0" borderId="1" xfId="0" applyFont="1" applyBorder="1" applyAlignment="1">
      <alignment wrapText="1"/>
    </xf>
    <xf numFmtId="0" fontId="61" fillId="17" borderId="0" xfId="0" applyFont="1" applyFill="1"/>
    <xf numFmtId="0" fontId="68" fillId="0" borderId="0" xfId="0" applyFont="1"/>
    <xf numFmtId="49" fontId="32" fillId="0" borderId="2" xfId="0" applyNumberFormat="1" applyFont="1" applyBorder="1" applyAlignment="1">
      <alignment horizontal="center" vertical="center" wrapText="1"/>
    </xf>
    <xf numFmtId="0" fontId="32" fillId="0" borderId="3" xfId="0" applyFont="1" applyBorder="1" applyAlignment="1">
      <alignment horizontal="center" vertical="center" wrapText="1"/>
    </xf>
    <xf numFmtId="49" fontId="32" fillId="0" borderId="23" xfId="0" applyNumberFormat="1" applyFont="1" applyBorder="1" applyAlignment="1">
      <alignment horizontal="center" vertical="center" wrapText="1"/>
    </xf>
    <xf numFmtId="0" fontId="32" fillId="0" borderId="27" xfId="0" applyFont="1" applyBorder="1" applyAlignment="1">
      <alignment horizontal="center" vertical="center" wrapText="1"/>
    </xf>
    <xf numFmtId="0" fontId="31" fillId="8" borderId="5" xfId="0" applyFont="1" applyFill="1" applyBorder="1" applyAlignment="1">
      <alignment horizontal="left" vertical="center" wrapText="1"/>
    </xf>
    <xf numFmtId="0" fontId="52" fillId="0" borderId="0" xfId="0" applyFont="1" applyAlignment="1">
      <alignment horizontal="center" vertical="center"/>
    </xf>
    <xf numFmtId="49" fontId="32" fillId="0" borderId="14" xfId="0" applyNumberFormat="1" applyFont="1" applyBorder="1" applyAlignment="1">
      <alignment horizontal="center" vertical="center" wrapText="1"/>
    </xf>
    <xf numFmtId="0" fontId="32" fillId="0" borderId="15" xfId="0" applyFont="1" applyBorder="1" applyAlignment="1">
      <alignment vertical="center" wrapText="1"/>
    </xf>
    <xf numFmtId="0" fontId="31" fillId="8" borderId="38" xfId="0" applyFont="1" applyFill="1" applyBorder="1" applyAlignment="1">
      <alignment horizontal="left" vertical="center" wrapText="1"/>
    </xf>
    <xf numFmtId="0" fontId="52" fillId="0" borderId="0" xfId="0" applyFont="1" applyAlignment="1">
      <alignment horizontal="left"/>
    </xf>
    <xf numFmtId="49" fontId="32" fillId="0" borderId="53" xfId="0" applyNumberFormat="1" applyFont="1" applyBorder="1" applyAlignment="1">
      <alignment horizontal="center" vertical="center" wrapText="1"/>
    </xf>
    <xf numFmtId="0" fontId="32" fillId="0" borderId="54" xfId="0" applyFont="1" applyBorder="1" applyAlignment="1">
      <alignment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52" fillId="0" borderId="0" xfId="0" applyFont="1"/>
    <xf numFmtId="0" fontId="32" fillId="0" borderId="27" xfId="0" applyFont="1" applyBorder="1" applyAlignment="1">
      <alignment vertical="center" wrapText="1"/>
    </xf>
    <xf numFmtId="0" fontId="32" fillId="0" borderId="3" xfId="0" applyFont="1" applyBorder="1" applyAlignment="1">
      <alignment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left" vertical="center" wrapText="1"/>
    </xf>
    <xf numFmtId="49" fontId="32" fillId="0" borderId="24" xfId="0" applyNumberFormat="1" applyFont="1" applyBorder="1" applyAlignment="1">
      <alignment horizontal="center" vertical="center" wrapText="1"/>
    </xf>
    <xf numFmtId="0" fontId="32" fillId="0" borderId="26" xfId="0" applyFont="1" applyBorder="1" applyAlignment="1">
      <alignment horizontal="left" vertical="center" wrapText="1"/>
    </xf>
    <xf numFmtId="49" fontId="32" fillId="0" borderId="20" xfId="0" applyNumberFormat="1" applyFont="1" applyBorder="1" applyAlignment="1">
      <alignment horizontal="center" vertical="center" wrapText="1"/>
    </xf>
    <xf numFmtId="0" fontId="32" fillId="0" borderId="13" xfId="0" applyFont="1" applyBorder="1" applyAlignment="1">
      <alignment vertical="center" wrapText="1"/>
    </xf>
    <xf numFmtId="49" fontId="32" fillId="0" borderId="6" xfId="0" applyNumberFormat="1" applyFont="1" applyBorder="1" applyAlignment="1">
      <alignment horizontal="center" vertical="center" wrapText="1"/>
    </xf>
    <xf numFmtId="0" fontId="32" fillId="0" borderId="1" xfId="0" applyFont="1" applyBorder="1" applyAlignment="1">
      <alignment vertical="center" wrapText="1"/>
    </xf>
    <xf numFmtId="49" fontId="32" fillId="0" borderId="22" xfId="0" applyNumberFormat="1" applyFont="1" applyBorder="1" applyAlignment="1">
      <alignment horizontal="center" vertical="center" wrapText="1"/>
    </xf>
    <xf numFmtId="0" fontId="32" fillId="0" borderId="25" xfId="0" applyFont="1" applyBorder="1" applyAlignment="1">
      <alignment vertical="center" wrapText="1"/>
    </xf>
    <xf numFmtId="0" fontId="32" fillId="0" borderId="6" xfId="0" applyFont="1" applyBorder="1" applyAlignment="1">
      <alignment vertical="center" wrapText="1"/>
    </xf>
    <xf numFmtId="49" fontId="32" fillId="0" borderId="59" xfId="0" applyNumberFormat="1" applyFont="1" applyBorder="1" applyAlignment="1">
      <alignment horizontal="center" vertical="center" wrapText="1"/>
    </xf>
    <xf numFmtId="0" fontId="32" fillId="0" borderId="55" xfId="0" applyFont="1" applyBorder="1" applyAlignment="1">
      <alignment vertical="center" wrapText="1"/>
    </xf>
    <xf numFmtId="0" fontId="32" fillId="0" borderId="26" xfId="0" applyFont="1" applyBorder="1" applyAlignment="1">
      <alignment vertical="center" wrapText="1"/>
    </xf>
    <xf numFmtId="0" fontId="52" fillId="0" borderId="0" xfId="0" applyFont="1" applyAlignment="1">
      <alignment wrapText="1"/>
    </xf>
    <xf numFmtId="49" fontId="32" fillId="0" borderId="61" xfId="0" applyNumberFormat="1" applyFont="1" applyBorder="1" applyAlignment="1">
      <alignment horizontal="center" vertical="center" wrapText="1"/>
    </xf>
    <xf numFmtId="0" fontId="32" fillId="0" borderId="60" xfId="0" applyFont="1" applyBorder="1" applyAlignment="1">
      <alignment vertical="center" wrapText="1"/>
    </xf>
    <xf numFmtId="0" fontId="32" fillId="0" borderId="10" xfId="0" applyFont="1" applyBorder="1" applyAlignment="1">
      <alignment vertical="center" wrapText="1"/>
    </xf>
    <xf numFmtId="0" fontId="32" fillId="0" borderId="15" xfId="0" applyFont="1" applyBorder="1" applyAlignment="1">
      <alignment horizontal="left" vertical="center" wrapText="1"/>
    </xf>
    <xf numFmtId="0" fontId="32" fillId="0" borderId="55" xfId="0" applyFont="1" applyBorder="1" applyAlignment="1">
      <alignment horizontal="left" vertical="center" wrapText="1"/>
    </xf>
    <xf numFmtId="0" fontId="32" fillId="0" borderId="59" xfId="0" applyFont="1" applyBorder="1" applyAlignment="1">
      <alignment horizontal="center" vertical="center"/>
    </xf>
    <xf numFmtId="0" fontId="32" fillId="0" borderId="55" xfId="0" applyFont="1" applyBorder="1" applyAlignment="1">
      <alignment wrapText="1"/>
    </xf>
    <xf numFmtId="0" fontId="32" fillId="0" borderId="54" xfId="0" applyFont="1" applyBorder="1" applyAlignment="1">
      <alignment horizontal="left" vertical="center" wrapText="1"/>
    </xf>
    <xf numFmtId="0" fontId="32" fillId="8" borderId="55" xfId="0" applyFont="1" applyFill="1" applyBorder="1" applyAlignment="1">
      <alignment vertical="center" wrapText="1"/>
    </xf>
    <xf numFmtId="0" fontId="32" fillId="0" borderId="60" xfId="0" applyFont="1" applyBorder="1" applyAlignment="1">
      <alignment horizontal="right" vertical="center" wrapText="1"/>
    </xf>
    <xf numFmtId="0" fontId="32" fillId="0" borderId="55" xfId="0" applyFont="1" applyBorder="1" applyAlignment="1">
      <alignment horizontal="left" vertical="center" wrapText="1" indent="1"/>
    </xf>
    <xf numFmtId="0" fontId="32" fillId="0" borderId="60" xfId="0" applyFont="1" applyBorder="1" applyAlignment="1">
      <alignment horizontal="left" vertical="center" wrapText="1" indent="1"/>
    </xf>
    <xf numFmtId="0" fontId="31" fillId="0" borderId="0" xfId="0" applyFont="1" applyAlignment="1">
      <alignment horizontal="center" vertical="center" wrapText="1"/>
    </xf>
    <xf numFmtId="0" fontId="31" fillId="0" borderId="0" xfId="0" applyFont="1" applyAlignment="1">
      <alignment horizontal="justify" vertical="center" wrapText="1"/>
    </xf>
    <xf numFmtId="0" fontId="32" fillId="8" borderId="26" xfId="0" applyFont="1" applyFill="1" applyBorder="1" applyAlignment="1">
      <alignment horizontal="left" vertical="center" wrapText="1"/>
    </xf>
    <xf numFmtId="49" fontId="52" fillId="0" borderId="0" xfId="0" applyNumberFormat="1" applyFont="1" applyAlignment="1">
      <alignment horizontal="center"/>
    </xf>
    <xf numFmtId="49" fontId="52" fillId="0" borderId="0" xfId="0" applyNumberFormat="1" applyFont="1" applyAlignment="1">
      <alignment horizontal="center" vertical="center"/>
    </xf>
    <xf numFmtId="0" fontId="74" fillId="0" borderId="0" xfId="0" applyFont="1"/>
    <xf numFmtId="0" fontId="52" fillId="0" borderId="0" xfId="0" applyFont="1" applyAlignment="1">
      <alignment horizontal="center"/>
    </xf>
    <xf numFmtId="0" fontId="19" fillId="0" borderId="0" xfId="0" applyFont="1"/>
    <xf numFmtId="165" fontId="10" fillId="3" borderId="11" xfId="0" applyNumberFormat="1" applyFont="1" applyFill="1" applyBorder="1" applyAlignment="1">
      <alignment horizontal="center" vertical="center" wrapText="1"/>
    </xf>
    <xf numFmtId="0" fontId="19" fillId="0" borderId="0" xfId="0" applyFont="1" applyAlignment="1">
      <alignment horizontal="center"/>
    </xf>
    <xf numFmtId="0" fontId="0" fillId="21" borderId="0" xfId="0" applyFill="1"/>
    <xf numFmtId="0" fontId="0" fillId="39" borderId="0" xfId="0" applyFill="1"/>
    <xf numFmtId="0" fontId="0" fillId="0" borderId="0" xfId="0" applyFill="1"/>
    <xf numFmtId="0" fontId="23" fillId="0" borderId="11" xfId="0" applyFont="1" applyBorder="1" applyAlignment="1">
      <alignment horizontal="left" vertical="center" wrapText="1"/>
    </xf>
    <xf numFmtId="49" fontId="3" fillId="0" borderId="26" xfId="0" applyNumberFormat="1" applyFont="1" applyBorder="1" applyAlignment="1">
      <alignment horizontal="left" vertical="center" wrapText="1"/>
    </xf>
    <xf numFmtId="0" fontId="23" fillId="41" borderId="44" xfId="0" applyFont="1" applyFill="1" applyBorder="1" applyAlignment="1">
      <alignment horizontal="center" vertical="center" wrapText="1"/>
    </xf>
    <xf numFmtId="0" fontId="3" fillId="41" borderId="38" xfId="0" applyFont="1" applyFill="1" applyBorder="1" applyAlignment="1">
      <alignment horizontal="center" vertical="center" wrapText="1"/>
    </xf>
    <xf numFmtId="0" fontId="3" fillId="42" borderId="0" xfId="0" applyFont="1" applyFill="1" applyAlignment="1">
      <alignment horizontal="center" vertical="center" wrapText="1"/>
    </xf>
    <xf numFmtId="0" fontId="3" fillId="43" borderId="38" xfId="0" applyFont="1" applyFill="1" applyBorder="1" applyAlignment="1">
      <alignment horizontal="center" vertical="center" wrapText="1"/>
    </xf>
    <xf numFmtId="0" fontId="0" fillId="42" borderId="0" xfId="0" applyFill="1"/>
    <xf numFmtId="168" fontId="0" fillId="42" borderId="0" xfId="0" applyNumberFormat="1" applyFill="1"/>
    <xf numFmtId="0" fontId="61" fillId="42" borderId="0" xfId="0" applyFont="1" applyFill="1"/>
    <xf numFmtId="0" fontId="23" fillId="43" borderId="44" xfId="0" applyFont="1" applyFill="1" applyBorder="1" applyAlignment="1">
      <alignment horizontal="center" vertical="center" wrapText="1"/>
    </xf>
    <xf numFmtId="0" fontId="3" fillId="43" borderId="0" xfId="0" applyFont="1" applyFill="1" applyAlignment="1">
      <alignment horizontal="center" vertical="center" wrapText="1"/>
    </xf>
    <xf numFmtId="0" fontId="3" fillId="43" borderId="38" xfId="0" applyFont="1" applyFill="1" applyBorder="1" applyAlignment="1">
      <alignment horizontal="left" vertical="center" wrapText="1"/>
    </xf>
    <xf numFmtId="0" fontId="3" fillId="41" borderId="0" xfId="0" applyFont="1" applyFill="1" applyAlignment="1">
      <alignment horizontal="center" vertical="center" wrapText="1"/>
    </xf>
    <xf numFmtId="0" fontId="3" fillId="41" borderId="38" xfId="0" applyFont="1" applyFill="1" applyBorder="1" applyAlignment="1">
      <alignment horizontal="left" vertical="center" wrapText="1"/>
    </xf>
    <xf numFmtId="0" fontId="75" fillId="37" borderId="0" xfId="0" applyFont="1" applyFill="1" applyAlignment="1">
      <alignment horizontal="center" vertical="center" wrapText="1"/>
    </xf>
    <xf numFmtId="0" fontId="76" fillId="21" borderId="0" xfId="0" applyFont="1" applyFill="1" applyAlignment="1">
      <alignment horizontal="center" vertical="center"/>
    </xf>
    <xf numFmtId="0" fontId="77" fillId="0" borderId="0" xfId="0" applyFont="1" applyAlignment="1">
      <alignment horizontal="center" vertical="center"/>
    </xf>
    <xf numFmtId="0" fontId="23" fillId="44" borderId="15" xfId="0" applyFont="1" applyFill="1" applyBorder="1" applyAlignment="1">
      <alignment horizontal="left" wrapText="1"/>
    </xf>
    <xf numFmtId="1" fontId="23" fillId="44" borderId="15" xfId="0" applyNumberFormat="1" applyFont="1" applyFill="1" applyBorder="1" applyAlignment="1">
      <alignment horizontal="left" wrapText="1"/>
    </xf>
    <xf numFmtId="0" fontId="3" fillId="45" borderId="15" xfId="0" applyFont="1" applyFill="1" applyBorder="1" applyAlignment="1">
      <alignment horizontal="left" vertical="top" wrapText="1"/>
    </xf>
    <xf numFmtId="0" fontId="57" fillId="45" borderId="15" xfId="0" applyFont="1" applyFill="1" applyBorder="1" applyAlignment="1">
      <alignment horizontal="left" vertical="center" wrapText="1"/>
    </xf>
    <xf numFmtId="0" fontId="51" fillId="46" borderId="15" xfId="0" applyFont="1" applyFill="1" applyBorder="1" applyAlignment="1">
      <alignment horizontal="left" vertical="top" wrapText="1"/>
    </xf>
    <xf numFmtId="0" fontId="3" fillId="44" borderId="0" xfId="0" applyFont="1" applyFill="1" applyAlignment="1">
      <alignment horizontal="left" wrapText="1"/>
    </xf>
    <xf numFmtId="0" fontId="20" fillId="44" borderId="0" xfId="0" applyFont="1" applyFill="1" applyAlignment="1">
      <alignment horizontal="left" wrapText="1"/>
    </xf>
    <xf numFmtId="0" fontId="0" fillId="44" borderId="0" xfId="0" applyFill="1"/>
    <xf numFmtId="0" fontId="23" fillId="44" borderId="11" xfId="0" applyFont="1" applyFill="1" applyBorder="1" applyAlignment="1">
      <alignment horizontal="left" wrapText="1"/>
    </xf>
    <xf numFmtId="1" fontId="23" fillId="44" borderId="11" xfId="0" applyNumberFormat="1" applyFont="1" applyFill="1" applyBorder="1" applyAlignment="1">
      <alignment horizontal="left" wrapText="1"/>
    </xf>
    <xf numFmtId="0" fontId="3" fillId="45" borderId="11" xfId="0" applyFont="1" applyFill="1" applyBorder="1" applyAlignment="1">
      <alignment horizontal="left" vertical="top" wrapText="1"/>
    </xf>
    <xf numFmtId="0" fontId="57" fillId="45" borderId="11" xfId="0" applyFont="1" applyFill="1" applyBorder="1" applyAlignment="1">
      <alignment horizontal="left" vertical="center" wrapText="1"/>
    </xf>
    <xf numFmtId="0" fontId="51" fillId="46" borderId="11" xfId="0" applyFont="1" applyFill="1" applyBorder="1" applyAlignment="1">
      <alignment horizontal="left" vertical="top" wrapText="1"/>
    </xf>
    <xf numFmtId="0" fontId="57" fillId="44" borderId="11" xfId="0" applyFont="1" applyFill="1" applyBorder="1" applyAlignment="1">
      <alignment horizontal="left" vertical="top" wrapText="1"/>
    </xf>
    <xf numFmtId="0" fontId="23" fillId="44" borderId="18" xfId="0" applyFont="1" applyFill="1" applyBorder="1" applyAlignment="1">
      <alignment horizontal="left" wrapText="1"/>
    </xf>
    <xf numFmtId="1" fontId="24" fillId="44" borderId="18" xfId="0" applyNumberFormat="1" applyFont="1" applyFill="1" applyBorder="1" applyAlignment="1">
      <alignment horizontal="left" wrapText="1"/>
    </xf>
    <xf numFmtId="0" fontId="57" fillId="44" borderId="18" xfId="0" applyFont="1" applyFill="1" applyBorder="1" applyAlignment="1">
      <alignment horizontal="left" vertical="top" wrapText="1"/>
    </xf>
    <xf numFmtId="0" fontId="57" fillId="45" borderId="18" xfId="0" applyFont="1" applyFill="1" applyBorder="1" applyAlignment="1">
      <alignment horizontal="left" vertical="center" wrapText="1"/>
    </xf>
    <xf numFmtId="0" fontId="51" fillId="46" borderId="18" xfId="0" applyFont="1" applyFill="1" applyBorder="1" applyAlignment="1">
      <alignment horizontal="left" vertical="top" wrapText="1"/>
    </xf>
    <xf numFmtId="4" fontId="62" fillId="0" borderId="1" xfId="0" applyNumberFormat="1" applyFont="1" applyBorder="1" applyAlignment="1">
      <alignment horizontal="right"/>
    </xf>
    <xf numFmtId="0" fontId="0" fillId="0" borderId="0" xfId="0" applyAlignment="1">
      <alignment horizontal="center" vertical="center"/>
    </xf>
    <xf numFmtId="0" fontId="0" fillId="17" borderId="0" xfId="0" applyFill="1" applyAlignment="1">
      <alignment horizontal="center" vertical="center"/>
    </xf>
    <xf numFmtId="0" fontId="59" fillId="0" borderId="0" xfId="0" applyFont="1" applyAlignment="1">
      <alignment horizontal="center" vertical="center" wrapText="1"/>
    </xf>
    <xf numFmtId="0" fontId="76" fillId="44" borderId="0" xfId="0" applyFont="1" applyFill="1" applyAlignment="1">
      <alignment horizontal="center" vertical="center"/>
    </xf>
    <xf numFmtId="0" fontId="3" fillId="44" borderId="15" xfId="0" applyFont="1" applyFill="1" applyBorder="1" applyAlignment="1">
      <alignment horizontal="left" vertical="top" wrapText="1"/>
    </xf>
    <xf numFmtId="0" fontId="3" fillId="44" borderId="11" xfId="0" applyFont="1" applyFill="1" applyBorder="1" applyAlignment="1">
      <alignment horizontal="left" vertical="top" wrapText="1"/>
    </xf>
    <xf numFmtId="1" fontId="23" fillId="44" borderId="18" xfId="0" applyNumberFormat="1" applyFont="1" applyFill="1" applyBorder="1" applyAlignment="1">
      <alignment horizontal="left" wrapText="1"/>
    </xf>
    <xf numFmtId="0" fontId="3" fillId="44" borderId="18" xfId="0" applyFont="1" applyFill="1" applyBorder="1" applyAlignment="1">
      <alignment horizontal="left" vertical="top" wrapText="1"/>
    </xf>
    <xf numFmtId="0" fontId="73" fillId="0" borderId="0" xfId="0" applyFont="1"/>
    <xf numFmtId="10" fontId="3" fillId="0" borderId="0" xfId="0" applyNumberFormat="1" applyFont="1" applyAlignment="1">
      <alignment horizontal="left" wrapText="1"/>
    </xf>
    <xf numFmtId="1" fontId="0" fillId="0" borderId="0" xfId="0" applyNumberFormat="1"/>
    <xf numFmtId="1" fontId="0" fillId="17" borderId="0" xfId="0" applyNumberFormat="1" applyFill="1"/>
    <xf numFmtId="10" fontId="0" fillId="0" borderId="0" xfId="0" applyNumberFormat="1"/>
    <xf numFmtId="0" fontId="0" fillId="37" borderId="0" xfId="0" applyFill="1"/>
    <xf numFmtId="4" fontId="0" fillId="0" borderId="0" xfId="0" applyNumberFormat="1"/>
    <xf numFmtId="0" fontId="19" fillId="38" borderId="0" xfId="0" applyFont="1" applyFill="1"/>
    <xf numFmtId="2" fontId="0" fillId="0" borderId="0" xfId="0" quotePrefix="1" applyNumberFormat="1"/>
    <xf numFmtId="0" fontId="3" fillId="26" borderId="0" xfId="0" quotePrefix="1" applyFont="1" applyFill="1" applyAlignment="1">
      <alignment horizontal="left" wrapText="1"/>
    </xf>
    <xf numFmtId="10" fontId="0" fillId="17" borderId="0" xfId="0" applyNumberFormat="1" applyFill="1"/>
    <xf numFmtId="0" fontId="3" fillId="0" borderId="0" xfId="0" applyFont="1" applyAlignment="1">
      <alignment horizontal="center" wrapText="1"/>
    </xf>
    <xf numFmtId="0" fontId="64" fillId="0" borderId="1" xfId="0" applyFont="1" applyBorder="1" applyAlignment="1">
      <alignment horizontal="left" vertical="center" wrapText="1"/>
    </xf>
    <xf numFmtId="3" fontId="0" fillId="0" borderId="0" xfId="0" applyNumberFormat="1"/>
    <xf numFmtId="3" fontId="64" fillId="0" borderId="38" xfId="0" applyNumberFormat="1" applyFont="1" applyBorder="1" applyAlignment="1">
      <alignment vertical="center"/>
    </xf>
    <xf numFmtId="0" fontId="0" fillId="0" borderId="0" xfId="0" applyBorder="1"/>
    <xf numFmtId="0" fontId="63" fillId="0" borderId="0" xfId="0" applyFont="1" applyBorder="1" applyAlignment="1"/>
    <xf numFmtId="10" fontId="0" fillId="39" borderId="0" xfId="0" applyNumberFormat="1" applyFill="1"/>
    <xf numFmtId="2" fontId="0" fillId="0" borderId="0" xfId="0" applyNumberFormat="1" applyAlignment="1">
      <alignment wrapText="1"/>
    </xf>
    <xf numFmtId="10" fontId="20" fillId="39" borderId="0" xfId="0" applyNumberFormat="1" applyFont="1" applyFill="1" applyAlignment="1">
      <alignment horizontal="center" vertical="center" wrapText="1"/>
    </xf>
    <xf numFmtId="10" fontId="0" fillId="0" borderId="0" xfId="0" applyNumberFormat="1" applyAlignment="1">
      <alignment horizontal="center" vertical="center"/>
    </xf>
    <xf numFmtId="0" fontId="62" fillId="0" borderId="1" xfId="0" applyFont="1" applyBorder="1" applyAlignment="1">
      <alignment horizontal="center" vertical="center" wrapText="1"/>
    </xf>
    <xf numFmtId="0" fontId="62" fillId="0" borderId="1" xfId="0" applyFont="1" applyBorder="1" applyAlignment="1">
      <alignment horizontal="center" vertical="center"/>
    </xf>
    <xf numFmtId="10" fontId="62" fillId="0" borderId="1" xfId="0" applyNumberFormat="1" applyFont="1" applyBorder="1" applyAlignment="1">
      <alignment horizontal="center" vertical="center"/>
    </xf>
    <xf numFmtId="49" fontId="61" fillId="17" borderId="0" xfId="0" applyNumberFormat="1" applyFont="1" applyFill="1"/>
    <xf numFmtId="0" fontId="32" fillId="0" borderId="0" xfId="0" applyFont="1"/>
    <xf numFmtId="0" fontId="32" fillId="0" borderId="0" xfId="0" applyFont="1" applyAlignment="1">
      <alignment vertical="top" wrapText="1"/>
    </xf>
    <xf numFmtId="0" fontId="32" fillId="0" borderId="35" xfId="0" applyFont="1" applyBorder="1" applyAlignment="1">
      <alignment horizontal="justify" vertical="center"/>
    </xf>
    <xf numFmtId="0" fontId="78" fillId="0" borderId="17" xfId="0" applyFont="1" applyBorder="1" applyAlignment="1">
      <alignment vertical="center" wrapText="1"/>
    </xf>
    <xf numFmtId="0" fontId="32" fillId="0" borderId="37" xfId="0" applyFont="1" applyBorder="1" applyAlignment="1">
      <alignment horizontal="justify" vertical="center"/>
    </xf>
    <xf numFmtId="0" fontId="32" fillId="0" borderId="16" xfId="0" applyFont="1" applyBorder="1" applyAlignment="1">
      <alignment horizontal="justify" vertical="center"/>
    </xf>
    <xf numFmtId="0" fontId="32" fillId="0" borderId="37" xfId="0" applyFont="1" applyBorder="1" applyAlignment="1">
      <alignment vertical="top" wrapText="1"/>
    </xf>
    <xf numFmtId="0" fontId="78" fillId="0" borderId="16" xfId="0" applyFont="1" applyBorder="1" applyAlignment="1">
      <alignment vertical="center" wrapText="1"/>
    </xf>
    <xf numFmtId="0" fontId="32" fillId="0" borderId="16" xfId="0" applyFont="1" applyBorder="1" applyAlignment="1">
      <alignment vertical="top" wrapText="1"/>
    </xf>
    <xf numFmtId="0" fontId="32" fillId="0" borderId="11" xfId="0" applyFont="1" applyBorder="1" applyAlignment="1">
      <alignment vertical="top" wrapText="1"/>
    </xf>
    <xf numFmtId="0" fontId="32" fillId="0" borderId="36" xfId="0" applyFont="1" applyBorder="1" applyAlignment="1">
      <alignment vertical="top" wrapText="1"/>
    </xf>
    <xf numFmtId="0" fontId="32" fillId="0" borderId="39" xfId="0" applyFont="1" applyBorder="1" applyAlignment="1">
      <alignment horizontal="left" vertical="top" wrapText="1"/>
    </xf>
    <xf numFmtId="0" fontId="32" fillId="0" borderId="20" xfId="0" applyFont="1" applyBorder="1" applyAlignment="1">
      <alignment horizontal="left" vertical="top" wrapText="1"/>
    </xf>
    <xf numFmtId="0" fontId="32" fillId="0" borderId="37" xfId="0" applyFont="1" applyBorder="1" applyAlignment="1">
      <alignment horizontal="justify" vertical="top" wrapText="1"/>
    </xf>
    <xf numFmtId="0" fontId="52" fillId="0" borderId="0" xfId="0" applyFont="1" applyAlignment="1">
      <alignment horizontal="left" vertical="center"/>
    </xf>
    <xf numFmtId="0" fontId="79" fillId="0" borderId="0" xfId="0" applyFont="1" applyAlignment="1">
      <alignment horizontal="left" vertical="center"/>
    </xf>
    <xf numFmtId="0" fontId="52" fillId="3" borderId="33" xfId="0" applyFont="1" applyFill="1" applyBorder="1" applyAlignment="1">
      <alignment horizontal="left" vertical="center" wrapText="1"/>
    </xf>
    <xf numFmtId="0" fontId="79" fillId="0" borderId="42" xfId="0" applyFont="1" applyBorder="1" applyAlignment="1">
      <alignment horizontal="left" vertical="center" wrapText="1"/>
    </xf>
    <xf numFmtId="0" fontId="52" fillId="0" borderId="18" xfId="0" applyFont="1" applyBorder="1" applyAlignment="1">
      <alignment horizontal="left" vertical="center" wrapText="1"/>
    </xf>
    <xf numFmtId="49" fontId="52" fillId="0" borderId="17" xfId="0" applyNumberFormat="1" applyFont="1" applyBorder="1" applyAlignment="1">
      <alignment horizontal="center" vertical="center" wrapText="1"/>
    </xf>
    <xf numFmtId="0" fontId="52" fillId="3" borderId="36" xfId="0" applyFont="1" applyFill="1" applyBorder="1" applyAlignment="1">
      <alignment horizontal="left" vertical="center" wrapText="1"/>
    </xf>
    <xf numFmtId="0" fontId="79" fillId="0" borderId="62" xfId="0" applyFont="1" applyBorder="1" applyAlignment="1">
      <alignment horizontal="left" vertical="center" wrapText="1"/>
    </xf>
    <xf numFmtId="0" fontId="52" fillId="0" borderId="13" xfId="0" applyFont="1" applyBorder="1" applyAlignment="1">
      <alignment horizontal="left" vertical="center" wrapText="1"/>
    </xf>
    <xf numFmtId="49" fontId="52" fillId="0" borderId="16" xfId="0" applyNumberFormat="1" applyFont="1" applyBorder="1" applyAlignment="1">
      <alignment horizontal="center" vertical="center" wrapText="1"/>
    </xf>
    <xf numFmtId="0" fontId="52" fillId="3" borderId="32" xfId="0" applyFont="1" applyFill="1" applyBorder="1" applyAlignment="1">
      <alignment horizontal="left" vertical="center" wrapText="1"/>
    </xf>
    <xf numFmtId="0" fontId="79" fillId="0" borderId="41" xfId="0" applyFont="1" applyBorder="1" applyAlignment="1">
      <alignment horizontal="left" vertical="center" wrapText="1"/>
    </xf>
    <xf numFmtId="0" fontId="52" fillId="0" borderId="15" xfId="0" applyFont="1" applyBorder="1" applyAlignment="1">
      <alignment horizontal="left" vertical="center" wrapText="1"/>
    </xf>
    <xf numFmtId="49" fontId="52" fillId="0" borderId="14" xfId="0" applyNumberFormat="1" applyFont="1" applyBorder="1" applyAlignment="1">
      <alignment horizontal="center" vertical="center" wrapText="1"/>
    </xf>
    <xf numFmtId="0" fontId="79" fillId="0" borderId="43" xfId="0" applyFont="1" applyBorder="1" applyAlignment="1">
      <alignment horizontal="left" vertical="center" wrapText="1"/>
    </xf>
    <xf numFmtId="0" fontId="52" fillId="0" borderId="11" xfId="0" applyFont="1" applyBorder="1" applyAlignment="1">
      <alignment horizontal="left" vertical="center" wrapText="1"/>
    </xf>
    <xf numFmtId="0" fontId="52" fillId="0" borderId="30" xfId="0" applyFont="1" applyBorder="1"/>
    <xf numFmtId="0" fontId="31" fillId="0" borderId="30" xfId="0" applyFont="1" applyBorder="1" applyAlignment="1">
      <alignment vertical="center" wrapText="1"/>
    </xf>
    <xf numFmtId="0" fontId="52" fillId="3" borderId="28" xfId="0" applyFont="1" applyFill="1" applyBorder="1" applyAlignment="1">
      <alignment horizontal="left" vertical="center" wrapText="1"/>
    </xf>
    <xf numFmtId="0" fontId="79" fillId="0" borderId="46" xfId="0" applyFont="1" applyBorder="1" applyAlignment="1">
      <alignment horizontal="left" vertical="center" wrapText="1"/>
    </xf>
    <xf numFmtId="49" fontId="52" fillId="0" borderId="20" xfId="0" applyNumberFormat="1" applyFont="1" applyBorder="1" applyAlignment="1">
      <alignment horizontal="center" vertical="center" wrapText="1"/>
    </xf>
    <xf numFmtId="0" fontId="52" fillId="3" borderId="35" xfId="0" applyFont="1" applyFill="1" applyBorder="1" applyAlignment="1">
      <alignment horizontal="left" vertical="center" wrapText="1"/>
    </xf>
    <xf numFmtId="0" fontId="79" fillId="0" borderId="18" xfId="0" applyFont="1" applyBorder="1" applyAlignment="1">
      <alignment horizontal="left" vertical="center" wrapText="1"/>
    </xf>
    <xf numFmtId="0" fontId="52" fillId="3" borderId="37" xfId="0" applyFont="1" applyFill="1" applyBorder="1" applyAlignment="1">
      <alignment horizontal="left" vertical="center" wrapText="1"/>
    </xf>
    <xf numFmtId="0" fontId="79" fillId="0" borderId="11" xfId="0" applyFont="1" applyBorder="1" applyAlignment="1">
      <alignment horizontal="left" vertical="center" wrapText="1"/>
    </xf>
    <xf numFmtId="0" fontId="52" fillId="3" borderId="34" xfId="0" applyFont="1" applyFill="1" applyBorder="1" applyAlignment="1">
      <alignment horizontal="left" vertical="center" wrapText="1"/>
    </xf>
    <xf numFmtId="0" fontId="79" fillId="0" borderId="15" xfId="0" applyFont="1" applyBorder="1" applyAlignment="1">
      <alignment horizontal="left" vertical="center" wrapText="1"/>
    </xf>
    <xf numFmtId="0" fontId="52" fillId="3" borderId="56" xfId="0" applyFont="1" applyFill="1" applyBorder="1" applyAlignment="1">
      <alignment horizontal="left" vertical="center" wrapText="1"/>
    </xf>
    <xf numFmtId="0" fontId="79" fillId="0" borderId="63" xfId="0" applyFont="1" applyBorder="1" applyAlignment="1">
      <alignment horizontal="left" vertical="center" wrapText="1"/>
    </xf>
    <xf numFmtId="0" fontId="52" fillId="0" borderId="60" xfId="0" applyFont="1" applyBorder="1" applyAlignment="1">
      <alignment horizontal="left" vertical="center" wrapText="1"/>
    </xf>
    <xf numFmtId="49" fontId="52" fillId="0" borderId="61" xfId="0" applyNumberFormat="1" applyFont="1" applyBorder="1" applyAlignment="1">
      <alignment horizontal="center" vertical="center" wrapText="1"/>
    </xf>
    <xf numFmtId="0" fontId="79" fillId="0" borderId="45" xfId="0" applyFont="1" applyBorder="1" applyAlignment="1">
      <alignment horizontal="left" vertical="center" wrapText="1"/>
    </xf>
    <xf numFmtId="167" fontId="52" fillId="3" borderId="38" xfId="0" applyNumberFormat="1" applyFont="1" applyFill="1" applyBorder="1" applyAlignment="1">
      <alignment horizontal="left" vertical="center" wrapText="1"/>
    </xf>
    <xf numFmtId="0" fontId="79" fillId="0" borderId="65" xfId="0" applyFont="1" applyBorder="1" applyAlignment="1">
      <alignment horizontal="left" vertical="center" wrapText="1"/>
    </xf>
    <xf numFmtId="0" fontId="52" fillId="0" borderId="29" xfId="0" applyFont="1" applyBorder="1" applyAlignment="1">
      <alignment horizontal="left" vertical="center" wrapText="1"/>
    </xf>
    <xf numFmtId="49" fontId="52" fillId="0" borderId="21" xfId="0" applyNumberFormat="1" applyFont="1" applyBorder="1" applyAlignment="1">
      <alignment horizontal="center" vertical="center" wrapText="1"/>
    </xf>
    <xf numFmtId="0" fontId="52" fillId="0" borderId="1" xfId="0" applyFont="1" applyBorder="1" applyAlignment="1">
      <alignment vertical="center" wrapText="1"/>
    </xf>
    <xf numFmtId="49" fontId="31" fillId="0" borderId="1" xfId="0" applyNumberFormat="1" applyFont="1" applyBorder="1" applyAlignment="1">
      <alignment horizontal="center" vertical="center" wrapText="1"/>
    </xf>
    <xf numFmtId="0" fontId="52" fillId="3" borderId="5" xfId="0" applyFont="1" applyFill="1" applyBorder="1" applyAlignment="1">
      <alignment horizontal="left" vertical="center" wrapText="1"/>
    </xf>
    <xf numFmtId="1" fontId="52" fillId="0" borderId="61" xfId="0" applyNumberFormat="1" applyFont="1" applyBorder="1" applyAlignment="1">
      <alignment horizontal="center" vertical="center" wrapText="1"/>
    </xf>
    <xf numFmtId="1" fontId="52" fillId="0" borderId="14" xfId="0" applyNumberFormat="1" applyFont="1" applyBorder="1" applyAlignment="1">
      <alignment horizontal="center" vertical="center" wrapText="1"/>
    </xf>
    <xf numFmtId="3" fontId="52" fillId="3" borderId="56" xfId="0" applyNumberFormat="1" applyFont="1" applyFill="1" applyBorder="1" applyAlignment="1">
      <alignment horizontal="left" vertical="center" wrapText="1"/>
    </xf>
    <xf numFmtId="3" fontId="52" fillId="3" borderId="35" xfId="0" applyNumberFormat="1" applyFont="1" applyFill="1" applyBorder="1" applyAlignment="1">
      <alignment horizontal="left" vertical="center" wrapText="1"/>
    </xf>
    <xf numFmtId="3" fontId="52" fillId="3" borderId="37" xfId="0" applyNumberFormat="1" applyFont="1" applyFill="1" applyBorder="1" applyAlignment="1">
      <alignment horizontal="left" vertical="center" wrapText="1"/>
    </xf>
    <xf numFmtId="3" fontId="52" fillId="3" borderId="34" xfId="0" applyNumberFormat="1" applyFont="1" applyFill="1" applyBorder="1" applyAlignment="1">
      <alignment horizontal="left" vertical="center" wrapText="1"/>
    </xf>
    <xf numFmtId="3" fontId="52" fillId="3" borderId="33" xfId="0" applyNumberFormat="1" applyFont="1" applyFill="1" applyBorder="1" applyAlignment="1">
      <alignment horizontal="left" vertical="center" wrapText="1"/>
    </xf>
    <xf numFmtId="3" fontId="52" fillId="3" borderId="3" xfId="0" applyNumberFormat="1" applyFont="1" applyFill="1" applyBorder="1" applyAlignment="1">
      <alignment horizontal="left" vertical="center" wrapText="1"/>
    </xf>
    <xf numFmtId="3" fontId="52" fillId="3" borderId="28" xfId="0" applyNumberFormat="1" applyFont="1" applyFill="1" applyBorder="1" applyAlignment="1">
      <alignment horizontal="left" vertical="center" wrapText="1"/>
    </xf>
    <xf numFmtId="3" fontId="52" fillId="3" borderId="32" xfId="0" applyNumberFormat="1" applyFont="1" applyFill="1" applyBorder="1" applyAlignment="1">
      <alignment horizontal="left" vertical="center" wrapText="1"/>
    </xf>
    <xf numFmtId="3" fontId="52" fillId="3" borderId="36" xfId="0" applyNumberFormat="1" applyFont="1" applyFill="1" applyBorder="1" applyAlignment="1">
      <alignment horizontal="left" vertical="center" wrapText="1"/>
    </xf>
    <xf numFmtId="10" fontId="52" fillId="3" borderId="35" xfId="0" applyNumberFormat="1" applyFont="1" applyFill="1" applyBorder="1" applyAlignment="1">
      <alignment horizontal="left" vertical="center" wrapText="1"/>
    </xf>
    <xf numFmtId="166" fontId="52" fillId="3" borderId="32" xfId="0" applyNumberFormat="1" applyFont="1" applyFill="1" applyBorder="1" applyAlignment="1">
      <alignment horizontal="left" vertical="center" wrapText="1"/>
    </xf>
    <xf numFmtId="0" fontId="79" fillId="0" borderId="60" xfId="0" applyFont="1" applyBorder="1" applyAlignment="1">
      <alignment horizontal="left" vertical="center" wrapText="1"/>
    </xf>
    <xf numFmtId="0" fontId="80" fillId="0" borderId="41" xfId="0" applyFont="1" applyBorder="1" applyAlignment="1">
      <alignment horizontal="left" vertical="center" wrapText="1"/>
    </xf>
    <xf numFmtId="3" fontId="81" fillId="3" borderId="33" xfId="0" applyNumberFormat="1" applyFont="1" applyFill="1" applyBorder="1" applyAlignment="1">
      <alignment horizontal="left" vertical="center" wrapText="1"/>
    </xf>
    <xf numFmtId="0" fontId="79" fillId="0" borderId="27" xfId="0" applyFont="1" applyBorder="1" applyAlignment="1">
      <alignment vertical="center" wrapText="1"/>
    </xf>
    <xf numFmtId="0" fontId="52" fillId="0" borderId="18" xfId="0" applyFont="1" applyBorder="1" applyAlignment="1">
      <alignment horizontal="right" vertical="center" wrapText="1"/>
    </xf>
    <xf numFmtId="49" fontId="52" fillId="0" borderId="23" xfId="0" applyNumberFormat="1" applyFont="1" applyBorder="1" applyAlignment="1">
      <alignment horizontal="center" vertical="center" wrapText="1"/>
    </xf>
    <xf numFmtId="0" fontId="79" fillId="0" borderId="11" xfId="0" applyFont="1" applyBorder="1" applyAlignment="1">
      <alignment vertical="center" wrapText="1"/>
    </xf>
    <xf numFmtId="0" fontId="52" fillId="3" borderId="11" xfId="0" applyFont="1" applyFill="1" applyBorder="1" applyAlignment="1">
      <alignment horizontal="left" vertical="center" wrapText="1"/>
    </xf>
    <xf numFmtId="0" fontId="79" fillId="0" borderId="15" xfId="0" applyFont="1" applyBorder="1" applyAlignment="1">
      <alignment vertical="center" wrapText="1"/>
    </xf>
    <xf numFmtId="10" fontId="52" fillId="3" borderId="33" xfId="0" applyNumberFormat="1" applyFont="1" applyFill="1" applyBorder="1" applyAlignment="1">
      <alignment horizontal="left" vertical="center" wrapText="1"/>
    </xf>
    <xf numFmtId="10" fontId="52" fillId="3" borderId="34" xfId="0" applyNumberFormat="1" applyFont="1" applyFill="1" applyBorder="1" applyAlignment="1">
      <alignment horizontal="left" vertical="center" wrapText="1"/>
    </xf>
    <xf numFmtId="0" fontId="79" fillId="0" borderId="11" xfId="0" applyFont="1" applyBorder="1" applyAlignment="1">
      <alignment horizontal="left" vertical="center"/>
    </xf>
    <xf numFmtId="0" fontId="52" fillId="0" borderId="11" xfId="0" applyFont="1" applyBorder="1" applyAlignment="1">
      <alignment wrapText="1"/>
    </xf>
    <xf numFmtId="0" fontId="52" fillId="0" borderId="16" xfId="0" applyFont="1" applyBorder="1" applyAlignment="1">
      <alignment horizontal="center" vertical="center"/>
    </xf>
    <xf numFmtId="10" fontId="52" fillId="3" borderId="37" xfId="0" applyNumberFormat="1" applyFont="1" applyFill="1" applyBorder="1" applyAlignment="1">
      <alignment horizontal="left" vertical="center" wrapText="1"/>
    </xf>
    <xf numFmtId="166" fontId="52" fillId="3" borderId="34" xfId="0" applyNumberFormat="1" applyFont="1" applyFill="1" applyBorder="1" applyAlignment="1">
      <alignment horizontal="left" vertical="center" wrapText="1"/>
    </xf>
    <xf numFmtId="0" fontId="80" fillId="0" borderId="15" xfId="0" applyFont="1" applyBorder="1" applyAlignment="1">
      <alignment horizontal="left" vertical="center" wrapText="1"/>
    </xf>
    <xf numFmtId="10" fontId="52" fillId="3" borderId="56" xfId="0" applyNumberFormat="1" applyFont="1" applyFill="1" applyBorder="1" applyAlignment="1">
      <alignment horizontal="left" vertical="center" wrapText="1"/>
    </xf>
    <xf numFmtId="10" fontId="52" fillId="3" borderId="36" xfId="0" applyNumberFormat="1" applyFont="1" applyFill="1" applyBorder="1" applyAlignment="1">
      <alignment horizontal="left" vertical="center" wrapText="1"/>
    </xf>
    <xf numFmtId="166" fontId="52" fillId="3" borderId="8" xfId="0" applyNumberFormat="1" applyFont="1" applyFill="1" applyBorder="1" applyAlignment="1">
      <alignment horizontal="left" vertical="center" wrapText="1"/>
    </xf>
    <xf numFmtId="0" fontId="80" fillId="0" borderId="50" xfId="0" applyFont="1" applyBorder="1" applyAlignment="1">
      <alignment horizontal="left" vertical="center" wrapText="1"/>
    </xf>
    <xf numFmtId="0" fontId="52" fillId="0" borderId="25" xfId="0" applyFont="1" applyBorder="1" applyAlignment="1">
      <alignment horizontal="left" vertical="center" wrapText="1"/>
    </xf>
    <xf numFmtId="49" fontId="52" fillId="0" borderId="22" xfId="0" applyNumberFormat="1" applyFont="1" applyBorder="1" applyAlignment="1">
      <alignment horizontal="center" vertical="center" wrapText="1"/>
    </xf>
    <xf numFmtId="0" fontId="52" fillId="0" borderId="5" xfId="0" applyFont="1" applyBorder="1" applyAlignment="1">
      <alignment vertical="center" wrapText="1"/>
    </xf>
    <xf numFmtId="49" fontId="31" fillId="0" borderId="6" xfId="0" applyNumberFormat="1" applyFont="1" applyBorder="1" applyAlignment="1">
      <alignment horizontal="center" vertical="center" wrapText="1"/>
    </xf>
    <xf numFmtId="0" fontId="52" fillId="3" borderId="3" xfId="0" applyFont="1" applyFill="1" applyBorder="1" applyAlignment="1">
      <alignment horizontal="left" vertical="center" wrapText="1"/>
    </xf>
    <xf numFmtId="0" fontId="52" fillId="0" borderId="27" xfId="0" applyFont="1" applyBorder="1" applyAlignment="1">
      <alignment horizontal="left" vertical="center" wrapText="1"/>
    </xf>
    <xf numFmtId="0" fontId="52" fillId="0" borderId="3" xfId="0" applyFont="1" applyBorder="1" applyAlignment="1">
      <alignment vertical="center" wrapText="1"/>
    </xf>
    <xf numFmtId="49" fontId="31" fillId="0" borderId="2" xfId="0" applyNumberFormat="1" applyFont="1" applyBorder="1" applyAlignment="1">
      <alignment horizontal="center" vertical="center" wrapText="1"/>
    </xf>
    <xf numFmtId="0" fontId="52" fillId="0" borderId="26" xfId="0" applyFont="1" applyBorder="1" applyAlignment="1">
      <alignment horizontal="left" vertical="center" wrapText="1"/>
    </xf>
    <xf numFmtId="49" fontId="52" fillId="0" borderId="24" xfId="0" applyNumberFormat="1" applyFont="1" applyBorder="1" applyAlignment="1">
      <alignment horizontal="center" vertical="center" wrapText="1"/>
    </xf>
    <xf numFmtId="165" fontId="52" fillId="3" borderId="33" xfId="0" applyNumberFormat="1" applyFont="1" applyFill="1" applyBorder="1" applyAlignment="1">
      <alignment horizontal="left" vertical="center" wrapText="1"/>
    </xf>
    <xf numFmtId="165" fontId="52" fillId="3" borderId="32" xfId="0" applyNumberFormat="1" applyFont="1" applyFill="1" applyBorder="1" applyAlignment="1">
      <alignment horizontal="left" vertical="center" wrapText="1"/>
    </xf>
    <xf numFmtId="1" fontId="52" fillId="3" borderId="8" xfId="0" applyNumberFormat="1" applyFont="1" applyFill="1" applyBorder="1" applyAlignment="1">
      <alignment horizontal="left" vertical="center" wrapText="1"/>
    </xf>
    <xf numFmtId="49" fontId="31" fillId="0" borderId="24" xfId="0" applyNumberFormat="1" applyFont="1" applyBorder="1" applyAlignment="1">
      <alignment horizontal="center" vertical="center" wrapText="1"/>
    </xf>
    <xf numFmtId="0" fontId="31" fillId="0" borderId="5" xfId="0" applyFont="1" applyBorder="1" applyAlignment="1">
      <alignment horizontal="left" vertical="center" wrapText="1"/>
    </xf>
    <xf numFmtId="49" fontId="31" fillId="0" borderId="4" xfId="0" applyNumberFormat="1" applyFont="1" applyBorder="1" applyAlignment="1">
      <alignment horizontal="center" vertical="center" wrapText="1"/>
    </xf>
    <xf numFmtId="0" fontId="31" fillId="0" borderId="52" xfId="0" applyFont="1" applyBorder="1" applyAlignment="1">
      <alignment horizontal="center" vertical="center" wrapText="1"/>
    </xf>
    <xf numFmtId="0" fontId="31" fillId="0" borderId="29" xfId="0" applyFont="1" applyBorder="1" applyAlignment="1">
      <alignment horizontal="center" vertical="center" wrapText="1"/>
    </xf>
    <xf numFmtId="49" fontId="31" fillId="0" borderId="21" xfId="0" applyNumberFormat="1" applyFont="1" applyBorder="1" applyAlignment="1">
      <alignment horizontal="center" vertical="center" wrapText="1"/>
    </xf>
    <xf numFmtId="0" fontId="31" fillId="0" borderId="3" xfId="0" applyFont="1" applyBorder="1" applyAlignment="1">
      <alignment horizontal="center" vertical="center" wrapText="1"/>
    </xf>
    <xf numFmtId="0" fontId="68" fillId="0" borderId="0" xfId="0" applyFont="1" applyAlignment="1">
      <alignment horizontal="center" vertical="center"/>
    </xf>
    <xf numFmtId="0" fontId="67" fillId="0" borderId="0" xfId="0" applyFont="1" applyAlignment="1">
      <alignment horizontal="center" vertical="center" wrapText="1"/>
    </xf>
    <xf numFmtId="0" fontId="67" fillId="2" borderId="38" xfId="0" applyFont="1" applyFill="1" applyBorder="1" applyAlignment="1">
      <alignment horizontal="center" vertical="center" wrapText="1"/>
    </xf>
    <xf numFmtId="0" fontId="67" fillId="2" borderId="29" xfId="0" applyFont="1" applyFill="1" applyBorder="1" applyAlignment="1">
      <alignment horizontal="center" vertical="center" wrapText="1"/>
    </xf>
    <xf numFmtId="49" fontId="67" fillId="2" borderId="21" xfId="0" applyNumberFormat="1" applyFont="1" applyFill="1" applyBorder="1" applyAlignment="1">
      <alignment horizontal="center" vertical="center" wrapText="1"/>
    </xf>
    <xf numFmtId="0" fontId="67" fillId="2" borderId="1" xfId="0" applyFont="1" applyFill="1" applyBorder="1" applyAlignment="1">
      <alignment horizontal="center" vertical="center" wrapText="1"/>
    </xf>
    <xf numFmtId="49" fontId="67" fillId="2" borderId="1" xfId="0" applyNumberFormat="1" applyFont="1" applyFill="1" applyBorder="1" applyAlignment="1">
      <alignment horizontal="center" vertical="center" wrapText="1"/>
    </xf>
    <xf numFmtId="0" fontId="79" fillId="0" borderId="0" xfId="0" applyFont="1"/>
    <xf numFmtId="0" fontId="52" fillId="8" borderId="33" xfId="0" applyFont="1" applyFill="1" applyBorder="1" applyAlignment="1">
      <alignment horizontal="left" vertical="center" wrapText="1"/>
    </xf>
    <xf numFmtId="0" fontId="52" fillId="8" borderId="36" xfId="0" applyFont="1" applyFill="1" applyBorder="1" applyAlignment="1">
      <alignment horizontal="left" vertical="center" wrapText="1"/>
    </xf>
    <xf numFmtId="0" fontId="52" fillId="8" borderId="32" xfId="0" applyFont="1" applyFill="1" applyBorder="1" applyAlignment="1">
      <alignment horizontal="left" vertical="center" wrapText="1"/>
    </xf>
    <xf numFmtId="0" fontId="52" fillId="8" borderId="3" xfId="0" applyFont="1" applyFill="1" applyBorder="1" applyAlignment="1">
      <alignment horizontal="left" vertical="center" wrapText="1"/>
    </xf>
    <xf numFmtId="0" fontId="52" fillId="0" borderId="27" xfId="0" applyFont="1" applyBorder="1" applyAlignment="1">
      <alignment vertical="center" wrapText="1"/>
    </xf>
    <xf numFmtId="0" fontId="52" fillId="0" borderId="13" xfId="0" applyFont="1" applyBorder="1" applyAlignment="1">
      <alignment vertical="center" wrapText="1"/>
    </xf>
    <xf numFmtId="0" fontId="52" fillId="8" borderId="28" xfId="0" applyFont="1" applyFill="1" applyBorder="1" applyAlignment="1">
      <alignment horizontal="left" vertical="center" wrapText="1"/>
    </xf>
    <xf numFmtId="0" fontId="52" fillId="8" borderId="35" xfId="0" applyFont="1" applyFill="1" applyBorder="1" applyAlignment="1">
      <alignment horizontal="left" vertical="center" wrapText="1"/>
    </xf>
    <xf numFmtId="0" fontId="52" fillId="0" borderId="18" xfId="0" applyFont="1" applyBorder="1" applyAlignment="1">
      <alignment vertical="center" wrapText="1"/>
    </xf>
    <xf numFmtId="0" fontId="52" fillId="8" borderId="37" xfId="0" applyFont="1" applyFill="1" applyBorder="1" applyAlignment="1">
      <alignment horizontal="left" vertical="center" wrapText="1"/>
    </xf>
    <xf numFmtId="0" fontId="52" fillId="0" borderId="11" xfId="0" applyFont="1" applyBorder="1" applyAlignment="1">
      <alignment vertical="center" wrapText="1"/>
    </xf>
    <xf numFmtId="0" fontId="52" fillId="8" borderId="34" xfId="0" applyFont="1" applyFill="1" applyBorder="1" applyAlignment="1">
      <alignment horizontal="left" vertical="center" wrapText="1"/>
    </xf>
    <xf numFmtId="0" fontId="52" fillId="0" borderId="15" xfId="0" applyFont="1" applyBorder="1" applyAlignment="1">
      <alignment vertical="center" wrapText="1"/>
    </xf>
    <xf numFmtId="0" fontId="52" fillId="8" borderId="56" xfId="0" applyFont="1" applyFill="1" applyBorder="1" applyAlignment="1">
      <alignment horizontal="left" vertical="center" wrapText="1"/>
    </xf>
    <xf numFmtId="0" fontId="52" fillId="0" borderId="60" xfId="0" applyFont="1" applyBorder="1" applyAlignment="1">
      <alignment vertical="center" wrapText="1"/>
    </xf>
    <xf numFmtId="3" fontId="52" fillId="8" borderId="33" xfId="0" applyNumberFormat="1" applyFont="1" applyFill="1" applyBorder="1" applyAlignment="1">
      <alignment horizontal="left" vertical="center" wrapText="1"/>
    </xf>
    <xf numFmtId="3" fontId="52" fillId="8" borderId="3" xfId="0" applyNumberFormat="1" applyFont="1" applyFill="1" applyBorder="1" applyAlignment="1">
      <alignment horizontal="left" vertical="center" wrapText="1"/>
    </xf>
    <xf numFmtId="3" fontId="52" fillId="8" borderId="37" xfId="0" applyNumberFormat="1" applyFont="1" applyFill="1" applyBorder="1" applyAlignment="1">
      <alignment horizontal="left" vertical="center" wrapText="1"/>
    </xf>
    <xf numFmtId="3" fontId="52" fillId="8" borderId="8" xfId="0" applyNumberFormat="1" applyFont="1" applyFill="1" applyBorder="1" applyAlignment="1">
      <alignment horizontal="left" vertical="center" wrapText="1"/>
    </xf>
    <xf numFmtId="3" fontId="52" fillId="8" borderId="35" xfId="0" applyNumberFormat="1" applyFont="1" applyFill="1" applyBorder="1" applyAlignment="1">
      <alignment horizontal="left" vertical="center" wrapText="1"/>
    </xf>
    <xf numFmtId="3" fontId="52" fillId="8" borderId="34" xfId="0" applyNumberFormat="1" applyFont="1" applyFill="1" applyBorder="1" applyAlignment="1">
      <alignment horizontal="left" vertical="center" wrapText="1"/>
    </xf>
    <xf numFmtId="3" fontId="52" fillId="8" borderId="57" xfId="0" applyNumberFormat="1" applyFont="1" applyFill="1" applyBorder="1" applyAlignment="1">
      <alignment horizontal="left" vertical="center" wrapText="1"/>
    </xf>
    <xf numFmtId="3" fontId="52" fillId="8" borderId="56" xfId="0" applyNumberFormat="1" applyFont="1" applyFill="1" applyBorder="1" applyAlignment="1">
      <alignment horizontal="left" vertical="center" wrapText="1"/>
    </xf>
    <xf numFmtId="0" fontId="52" fillId="0" borderId="60" xfId="0" applyFont="1" applyBorder="1" applyAlignment="1">
      <alignment horizontal="left" vertical="center" wrapText="1" indent="1"/>
    </xf>
    <xf numFmtId="3" fontId="52" fillId="8" borderId="36" xfId="0" applyNumberFormat="1" applyFont="1" applyFill="1" applyBorder="1" applyAlignment="1">
      <alignment horizontal="left" vertical="center" wrapText="1"/>
    </xf>
    <xf numFmtId="0" fontId="52" fillId="0" borderId="11" xfId="0" applyFont="1" applyBorder="1" applyAlignment="1">
      <alignment horizontal="left" vertical="center" wrapText="1" indent="1"/>
    </xf>
    <xf numFmtId="10" fontId="52" fillId="8" borderId="35" xfId="0" applyNumberFormat="1" applyFont="1" applyFill="1" applyBorder="1" applyAlignment="1">
      <alignment horizontal="left" vertical="center" wrapText="1"/>
    </xf>
    <xf numFmtId="166" fontId="52" fillId="8" borderId="34" xfId="0" applyNumberFormat="1" applyFont="1" applyFill="1" applyBorder="1" applyAlignment="1">
      <alignment horizontal="left" vertical="center" wrapText="1"/>
    </xf>
    <xf numFmtId="3" fontId="81" fillId="8" borderId="56" xfId="0" applyNumberFormat="1" applyFont="1" applyFill="1" applyBorder="1" applyAlignment="1">
      <alignment horizontal="left" vertical="center" wrapText="1"/>
    </xf>
    <xf numFmtId="0" fontId="79" fillId="0" borderId="47" xfId="0" applyFont="1" applyBorder="1" applyAlignment="1">
      <alignment vertical="center" wrapText="1"/>
    </xf>
    <xf numFmtId="0" fontId="52" fillId="0" borderId="60" xfId="0" applyFont="1" applyBorder="1" applyAlignment="1">
      <alignment horizontal="right" vertical="center" wrapText="1"/>
    </xf>
    <xf numFmtId="0" fontId="79" fillId="0" borderId="37" xfId="0" applyFont="1" applyBorder="1" applyAlignment="1">
      <alignment vertical="center" wrapText="1"/>
    </xf>
    <xf numFmtId="0" fontId="52" fillId="8" borderId="11" xfId="0" applyFont="1" applyFill="1" applyBorder="1" applyAlignment="1">
      <alignment vertical="center" wrapText="1"/>
    </xf>
    <xf numFmtId="3" fontId="52" fillId="8" borderId="28" xfId="0" applyNumberFormat="1" applyFont="1" applyFill="1" applyBorder="1" applyAlignment="1">
      <alignment horizontal="left" vertical="center" wrapText="1"/>
    </xf>
    <xf numFmtId="0" fontId="79" fillId="0" borderId="34" xfId="0" applyFont="1" applyBorder="1" applyAlignment="1">
      <alignment vertical="center" wrapText="1"/>
    </xf>
    <xf numFmtId="3" fontId="52" fillId="8" borderId="32" xfId="0" applyNumberFormat="1" applyFont="1" applyFill="1" applyBorder="1" applyAlignment="1">
      <alignment horizontal="left" vertical="center" wrapText="1"/>
    </xf>
    <xf numFmtId="10" fontId="52" fillId="8" borderId="33" xfId="0" applyNumberFormat="1" applyFont="1" applyFill="1" applyBorder="1" applyAlignment="1">
      <alignment horizontal="left" vertical="center" wrapText="1"/>
    </xf>
    <xf numFmtId="166" fontId="52" fillId="8" borderId="32" xfId="0" applyNumberFormat="1" applyFont="1" applyFill="1" applyBorder="1" applyAlignment="1">
      <alignment horizontal="left" vertical="center" wrapText="1"/>
    </xf>
    <xf numFmtId="10" fontId="52" fillId="8" borderId="56" xfId="0" applyNumberFormat="1" applyFont="1" applyFill="1" applyBorder="1" applyAlignment="1">
      <alignment horizontal="left" vertical="center" wrapText="1"/>
    </xf>
    <xf numFmtId="10" fontId="52" fillId="8" borderId="8" xfId="0" applyNumberFormat="1" applyFont="1" applyFill="1" applyBorder="1" applyAlignment="1">
      <alignment horizontal="left" vertical="center" wrapText="1"/>
    </xf>
    <xf numFmtId="10" fontId="52" fillId="8" borderId="36" xfId="0" applyNumberFormat="1" applyFont="1" applyFill="1" applyBorder="1" applyAlignment="1">
      <alignment horizontal="left" vertical="center" wrapText="1"/>
    </xf>
    <xf numFmtId="0" fontId="52" fillId="0" borderId="26" xfId="0" applyFont="1" applyBorder="1" applyAlignment="1">
      <alignment vertical="center" wrapText="1"/>
    </xf>
    <xf numFmtId="166" fontId="52" fillId="8" borderId="8" xfId="0" applyNumberFormat="1" applyFont="1" applyFill="1" applyBorder="1" applyAlignment="1">
      <alignment horizontal="left" vertical="center" wrapText="1"/>
    </xf>
    <xf numFmtId="0" fontId="80" fillId="0" borderId="25" xfId="0" applyFont="1" applyBorder="1" applyAlignment="1">
      <alignment horizontal="left" vertical="center" wrapText="1"/>
    </xf>
    <xf numFmtId="0" fontId="52" fillId="0" borderId="25" xfId="0" applyFont="1" applyBorder="1" applyAlignment="1">
      <alignment vertical="center" wrapText="1"/>
    </xf>
    <xf numFmtId="49" fontId="52" fillId="0" borderId="6" xfId="0" applyNumberFormat="1" applyFont="1" applyBorder="1" applyAlignment="1">
      <alignment horizontal="center" vertical="center" wrapText="1"/>
    </xf>
    <xf numFmtId="0" fontId="79" fillId="0" borderId="27" xfId="0" applyFont="1" applyBorder="1" applyAlignment="1">
      <alignment horizontal="left" vertical="center" wrapText="1"/>
    </xf>
    <xf numFmtId="0" fontId="79" fillId="0" borderId="13" xfId="0" applyFont="1" applyBorder="1" applyAlignment="1">
      <alignment horizontal="left" vertical="center" wrapText="1"/>
    </xf>
    <xf numFmtId="49" fontId="52" fillId="0" borderId="2" xfId="0" applyNumberFormat="1" applyFont="1" applyBorder="1" applyAlignment="1">
      <alignment horizontal="center" vertical="center" wrapText="1"/>
    </xf>
    <xf numFmtId="165" fontId="52" fillId="8" borderId="33" xfId="0" applyNumberFormat="1" applyFont="1" applyFill="1" applyBorder="1" applyAlignment="1">
      <alignment horizontal="left" vertical="center" wrapText="1"/>
    </xf>
    <xf numFmtId="165" fontId="52" fillId="8" borderId="32" xfId="0" applyNumberFormat="1" applyFont="1" applyFill="1" applyBorder="1" applyAlignment="1">
      <alignment horizontal="left" vertical="center" wrapText="1"/>
    </xf>
    <xf numFmtId="1" fontId="52" fillId="8" borderId="8" xfId="0" applyNumberFormat="1" applyFont="1" applyFill="1" applyBorder="1" applyAlignment="1">
      <alignment horizontal="left" vertical="center" wrapText="1"/>
    </xf>
    <xf numFmtId="0" fontId="79" fillId="0" borderId="26" xfId="0" applyFont="1" applyBorder="1" applyAlignment="1">
      <alignment horizontal="left" vertical="center" wrapText="1"/>
    </xf>
    <xf numFmtId="0" fontId="57" fillId="0" borderId="27" xfId="0" applyFont="1" applyBorder="1" applyAlignment="1">
      <alignment horizontal="left" vertical="center" wrapText="1"/>
    </xf>
    <xf numFmtId="49" fontId="31" fillId="0" borderId="23" xfId="0" applyNumberFormat="1" applyFont="1" applyBorder="1" applyAlignment="1">
      <alignment horizontal="center" vertical="center" wrapText="1"/>
    </xf>
    <xf numFmtId="0" fontId="57" fillId="0" borderId="15" xfId="0" applyFont="1" applyBorder="1" applyAlignment="1">
      <alignment horizontal="left" vertical="center" wrapText="1"/>
    </xf>
    <xf numFmtId="0" fontId="31" fillId="0" borderId="15" xfId="0" applyFont="1" applyBorder="1" applyAlignment="1">
      <alignment vertical="center" wrapText="1"/>
    </xf>
    <xf numFmtId="49" fontId="31" fillId="0" borderId="14" xfId="0" applyNumberFormat="1" applyFont="1" applyBorder="1" applyAlignment="1">
      <alignment horizontal="center" vertical="center" wrapText="1"/>
    </xf>
    <xf numFmtId="0" fontId="31" fillId="8" borderId="33" xfId="0" applyFont="1" applyFill="1" applyBorder="1" applyAlignment="1">
      <alignment horizontal="left" vertical="center" wrapText="1"/>
    </xf>
    <xf numFmtId="0" fontId="31" fillId="0" borderId="18" xfId="0" applyFont="1" applyBorder="1" applyAlignment="1">
      <alignment vertical="center" wrapText="1"/>
    </xf>
    <xf numFmtId="49" fontId="31" fillId="0" borderId="17" xfId="0" applyNumberFormat="1" applyFont="1" applyBorder="1" applyAlignment="1">
      <alignment horizontal="center" vertical="center" wrapText="1"/>
    </xf>
    <xf numFmtId="0" fontId="31" fillId="0" borderId="27" xfId="0" applyFont="1" applyBorder="1" applyAlignment="1">
      <alignment horizontal="center" vertical="center" wrapText="1"/>
    </xf>
    <xf numFmtId="0" fontId="12" fillId="2" borderId="31" xfId="0" applyFont="1" applyFill="1" applyBorder="1" applyAlignment="1">
      <alignment horizontal="center" vertical="center" wrapText="1"/>
    </xf>
    <xf numFmtId="0" fontId="10" fillId="0" borderId="11" xfId="0" applyFont="1" applyBorder="1" applyAlignment="1">
      <alignment horizontal="center" vertical="center" wrapText="1"/>
    </xf>
    <xf numFmtId="0" fontId="9" fillId="3" borderId="11" xfId="0" applyFont="1" applyFill="1" applyBorder="1" applyAlignment="1">
      <alignment vertical="top" wrapText="1"/>
    </xf>
    <xf numFmtId="0" fontId="10" fillId="3" borderId="11" xfId="0" applyFont="1" applyFill="1" applyBorder="1" applyAlignment="1">
      <alignment horizontal="center" vertical="center" wrapText="1"/>
    </xf>
    <xf numFmtId="0" fontId="10" fillId="5" borderId="11" xfId="0" applyFont="1" applyFill="1" applyBorder="1" applyAlignment="1">
      <alignment horizontal="left" vertical="center" wrapText="1"/>
    </xf>
    <xf numFmtId="0" fontId="10" fillId="3" borderId="11" xfId="4" applyFont="1" applyFill="1" applyBorder="1" applyAlignment="1">
      <alignment horizontal="left" vertical="center" wrapText="1"/>
    </xf>
    <xf numFmtId="0" fontId="12" fillId="3" borderId="11" xfId="0" applyFont="1" applyFill="1" applyBorder="1" applyAlignment="1">
      <alignment horizontal="left" vertical="center" wrapText="1"/>
    </xf>
    <xf numFmtId="1" fontId="13" fillId="3" borderId="11" xfId="0" applyNumberFormat="1" applyFont="1" applyFill="1" applyBorder="1" applyAlignment="1">
      <alignment horizontal="left" vertical="center" wrapText="1"/>
    </xf>
    <xf numFmtId="1" fontId="10" fillId="3" borderId="11" xfId="0" applyNumberFormat="1" applyFont="1" applyFill="1" applyBorder="1" applyAlignment="1">
      <alignment horizontal="center" vertical="center" wrapText="1"/>
    </xf>
    <xf numFmtId="1" fontId="10" fillId="5" borderId="11" xfId="0" applyNumberFormat="1" applyFont="1" applyFill="1" applyBorder="1" applyAlignment="1">
      <alignment horizontal="left" vertical="center" wrapText="1"/>
    </xf>
    <xf numFmtId="1" fontId="10" fillId="3" borderId="11" xfId="4" applyNumberFormat="1" applyFont="1" applyFill="1" applyBorder="1" applyAlignment="1">
      <alignment horizontal="left" vertical="center" wrapText="1"/>
    </xf>
    <xf numFmtId="1" fontId="10" fillId="3" borderId="11" xfId="0" applyNumberFormat="1" applyFont="1" applyFill="1" applyBorder="1" applyAlignment="1">
      <alignment horizontal="left" vertical="top" wrapText="1"/>
    </xf>
    <xf numFmtId="165" fontId="9" fillId="3" borderId="11" xfId="0" applyNumberFormat="1" applyFont="1" applyFill="1" applyBorder="1" applyAlignment="1">
      <alignment horizontal="left" vertical="center" wrapText="1"/>
    </xf>
    <xf numFmtId="165" fontId="13" fillId="3" borderId="11" xfId="0" applyNumberFormat="1" applyFont="1" applyFill="1" applyBorder="1" applyAlignment="1">
      <alignment horizontal="left" vertical="center" wrapText="1"/>
    </xf>
    <xf numFmtId="14" fontId="9" fillId="3" borderId="11" xfId="0" applyNumberFormat="1" applyFont="1" applyFill="1" applyBorder="1" applyAlignment="1">
      <alignment horizontal="left" vertical="center" wrapText="1"/>
    </xf>
    <xf numFmtId="0" fontId="13" fillId="3" borderId="11" xfId="0" applyFont="1" applyFill="1" applyBorder="1"/>
    <xf numFmtId="173" fontId="10" fillId="3" borderId="11" xfId="0" applyNumberFormat="1" applyFont="1" applyFill="1" applyBorder="1" applyAlignment="1">
      <alignment horizontal="left" vertical="center" wrapText="1"/>
    </xf>
    <xf numFmtId="179" fontId="10" fillId="5" borderId="11" xfId="0" applyNumberFormat="1" applyFont="1" applyFill="1" applyBorder="1" applyAlignment="1">
      <alignment horizontal="left" vertical="center" wrapText="1"/>
    </xf>
    <xf numFmtId="165" fontId="10" fillId="3" borderId="11" xfId="4" applyNumberFormat="1" applyFont="1" applyFill="1" applyBorder="1" applyAlignment="1">
      <alignment horizontal="left" vertical="center" wrapText="1"/>
    </xf>
    <xf numFmtId="173" fontId="10" fillId="3" borderId="11" xfId="0" applyNumberFormat="1" applyFont="1" applyFill="1" applyBorder="1" applyAlignment="1">
      <alignment horizontal="left" vertical="top" wrapText="1"/>
    </xf>
    <xf numFmtId="0" fontId="9" fillId="3" borderId="11" xfId="0" applyFont="1" applyFill="1" applyBorder="1" applyAlignment="1">
      <alignment wrapText="1"/>
    </xf>
    <xf numFmtId="0" fontId="11" fillId="3" borderId="11" xfId="1" applyFont="1" applyFill="1" applyBorder="1" applyAlignment="1" applyProtection="1">
      <alignment horizontal="left" vertical="center" wrapText="1"/>
    </xf>
    <xf numFmtId="0" fontId="9" fillId="5" borderId="11" xfId="0" applyFont="1" applyFill="1" applyBorder="1" applyAlignment="1">
      <alignment horizontal="left" vertical="center" wrapText="1"/>
    </xf>
    <xf numFmtId="0" fontId="11" fillId="3" borderId="11" xfId="5" applyFont="1" applyFill="1" applyBorder="1" applyAlignment="1">
      <alignment horizontal="left" vertical="center" wrapText="1"/>
    </xf>
    <xf numFmtId="0" fontId="11" fillId="3" borderId="11" xfId="1" applyFont="1" applyFill="1" applyBorder="1" applyAlignment="1">
      <alignment horizontal="center" vertical="center" wrapText="1"/>
    </xf>
    <xf numFmtId="0" fontId="11" fillId="3" borderId="11" xfId="1" applyFont="1" applyFill="1" applyBorder="1" applyAlignment="1">
      <alignment horizontal="left" vertical="top" wrapText="1"/>
    </xf>
    <xf numFmtId="0" fontId="38" fillId="3" borderId="11" xfId="0" applyFont="1" applyFill="1" applyBorder="1" applyAlignment="1">
      <alignment horizontal="left" vertical="center" wrapText="1"/>
    </xf>
    <xf numFmtId="0" fontId="10" fillId="6" borderId="11" xfId="0" applyFont="1" applyFill="1" applyBorder="1" applyAlignment="1">
      <alignment horizontal="left" vertical="center" wrapText="1"/>
    </xf>
    <xf numFmtId="0" fontId="13" fillId="3" borderId="11" xfId="0" applyFont="1" applyFill="1" applyBorder="1" applyAlignment="1">
      <alignment horizontal="center" wrapText="1"/>
    </xf>
    <xf numFmtId="0" fontId="13" fillId="3" borderId="11" xfId="0" applyFont="1" applyFill="1" applyBorder="1" applyAlignment="1">
      <alignment horizontal="left" wrapText="1"/>
    </xf>
    <xf numFmtId="0" fontId="9" fillId="3" borderId="11" xfId="0" applyFont="1" applyFill="1" applyBorder="1" applyAlignment="1">
      <alignment horizontal="left" vertical="top" wrapText="1"/>
    </xf>
    <xf numFmtId="0" fontId="11" fillId="3" borderId="11" xfId="1" applyFont="1" applyFill="1" applyBorder="1" applyAlignment="1">
      <alignment vertical="center" wrapText="1"/>
    </xf>
    <xf numFmtId="0" fontId="13" fillId="3" borderId="11" xfId="0" applyFont="1" applyFill="1" applyBorder="1" applyAlignment="1">
      <alignment horizontal="center" vertical="center" wrapText="1"/>
    </xf>
    <xf numFmtId="0" fontId="11" fillId="3" borderId="11" xfId="1" applyFont="1" applyFill="1" applyBorder="1" applyAlignment="1">
      <alignment horizontal="left" vertical="center"/>
    </xf>
    <xf numFmtId="0" fontId="10" fillId="3" borderId="11" xfId="0" applyFont="1" applyFill="1" applyBorder="1" applyAlignment="1">
      <alignment vertical="center" wrapText="1"/>
    </xf>
    <xf numFmtId="0" fontId="10" fillId="3" borderId="11" xfId="0" applyFont="1" applyFill="1" applyBorder="1" applyAlignment="1">
      <alignment vertical="top" wrapText="1"/>
    </xf>
    <xf numFmtId="166" fontId="9" fillId="3" borderId="11" xfId="0" applyNumberFormat="1" applyFont="1" applyFill="1" applyBorder="1" applyAlignment="1">
      <alignment horizontal="left" vertical="center" wrapText="1"/>
    </xf>
    <xf numFmtId="166" fontId="13" fillId="3" borderId="11" xfId="0" applyNumberFormat="1" applyFont="1" applyFill="1" applyBorder="1" applyAlignment="1">
      <alignment horizontal="left" vertical="center" wrapText="1"/>
    </xf>
    <xf numFmtId="180" fontId="10" fillId="3" borderId="11" xfId="0" applyNumberFormat="1" applyFont="1" applyFill="1" applyBorder="1" applyAlignment="1">
      <alignment horizontal="left" vertical="center" wrapText="1"/>
    </xf>
    <xf numFmtId="166" fontId="12" fillId="3" borderId="11" xfId="0" applyNumberFormat="1" applyFont="1" applyFill="1" applyBorder="1" applyAlignment="1">
      <alignment horizontal="left" vertical="center" wrapText="1"/>
    </xf>
    <xf numFmtId="2" fontId="9" fillId="3" borderId="11" xfId="0" applyNumberFormat="1" applyFont="1" applyFill="1" applyBorder="1" applyAlignment="1">
      <alignment horizontal="left" vertical="center" wrapText="1"/>
    </xf>
    <xf numFmtId="167" fontId="10" fillId="3" borderId="11" xfId="0" applyNumberFormat="1" applyFont="1" applyFill="1" applyBorder="1" applyAlignment="1">
      <alignment horizontal="center" vertical="center" wrapText="1"/>
    </xf>
    <xf numFmtId="166" fontId="10" fillId="3" borderId="11" xfId="0" applyNumberFormat="1" applyFont="1" applyFill="1" applyBorder="1" applyAlignment="1">
      <alignment horizontal="center" vertical="center" wrapText="1"/>
    </xf>
    <xf numFmtId="4" fontId="9" fillId="3" borderId="11" xfId="0" applyNumberFormat="1" applyFont="1" applyFill="1" applyBorder="1" applyAlignment="1">
      <alignment horizontal="left" vertical="center" wrapText="1"/>
    </xf>
    <xf numFmtId="49" fontId="9" fillId="3" borderId="11" xfId="0" applyNumberFormat="1" applyFont="1" applyFill="1" applyBorder="1" applyAlignment="1">
      <alignment horizontal="left" vertical="center" wrapText="1"/>
    </xf>
    <xf numFmtId="166" fontId="10" fillId="5" borderId="11" xfId="0" applyNumberFormat="1" applyFont="1" applyFill="1" applyBorder="1" applyAlignment="1">
      <alignment horizontal="left" vertical="center" wrapText="1"/>
    </xf>
    <xf numFmtId="166" fontId="10" fillId="3" borderId="11" xfId="4" applyNumberFormat="1" applyFont="1" applyFill="1" applyBorder="1" applyAlignment="1">
      <alignment horizontal="left" vertical="center" wrapText="1"/>
    </xf>
    <xf numFmtId="168" fontId="13" fillId="3" borderId="11" xfId="0" applyNumberFormat="1" applyFont="1" applyFill="1" applyBorder="1" applyAlignment="1">
      <alignment horizontal="center" vertical="center" wrapText="1"/>
    </xf>
    <xf numFmtId="166" fontId="10" fillId="3" borderId="11" xfId="0" applyNumberFormat="1" applyFont="1" applyFill="1" applyBorder="1" applyAlignment="1">
      <alignment horizontal="left" vertical="top" wrapText="1"/>
    </xf>
    <xf numFmtId="2" fontId="13" fillId="3" borderId="11" xfId="0" applyNumberFormat="1" applyFont="1" applyFill="1" applyBorder="1" applyAlignment="1">
      <alignment horizontal="left"/>
    </xf>
    <xf numFmtId="168" fontId="9" fillId="3" borderId="11" xfId="0" applyNumberFormat="1" applyFont="1" applyFill="1" applyBorder="1" applyAlignment="1">
      <alignment horizontal="left" vertical="center" wrapText="1"/>
    </xf>
    <xf numFmtId="4" fontId="12" fillId="3" borderId="11" xfId="0" applyNumberFormat="1" applyFont="1" applyFill="1" applyBorder="1" applyAlignment="1">
      <alignment horizontal="left" vertical="center" wrapText="1"/>
    </xf>
    <xf numFmtId="10" fontId="13" fillId="3" borderId="11" xfId="0" applyNumberFormat="1" applyFont="1" applyFill="1" applyBorder="1" applyAlignment="1">
      <alignment horizontal="left" vertical="center" wrapText="1"/>
    </xf>
    <xf numFmtId="174" fontId="10" fillId="3" borderId="11" xfId="0" applyNumberFormat="1" applyFont="1" applyFill="1" applyBorder="1" applyAlignment="1">
      <alignment horizontal="center" vertical="center" wrapText="1"/>
    </xf>
    <xf numFmtId="10" fontId="10" fillId="3" borderId="11" xfId="0" applyNumberFormat="1" applyFont="1" applyFill="1" applyBorder="1" applyAlignment="1">
      <alignment horizontal="center" vertical="center" wrapText="1"/>
    </xf>
    <xf numFmtId="10" fontId="9" fillId="3" borderId="11" xfId="0" applyNumberFormat="1" applyFont="1" applyFill="1" applyBorder="1" applyAlignment="1">
      <alignment horizontal="left" vertical="center" wrapText="1"/>
    </xf>
    <xf numFmtId="174" fontId="10" fillId="3" borderId="11" xfId="0" applyNumberFormat="1" applyFont="1" applyFill="1" applyBorder="1" applyAlignment="1">
      <alignment horizontal="left" vertical="center" wrapText="1"/>
    </xf>
    <xf numFmtId="10" fontId="10" fillId="5" borderId="11" xfId="0" applyNumberFormat="1" applyFont="1" applyFill="1" applyBorder="1" applyAlignment="1">
      <alignment horizontal="left" vertical="center" wrapText="1"/>
    </xf>
    <xf numFmtId="10" fontId="10" fillId="3" borderId="11" xfId="4" applyNumberFormat="1" applyFont="1" applyFill="1" applyBorder="1" applyAlignment="1">
      <alignment horizontal="left" vertical="center" wrapText="1"/>
    </xf>
    <xf numFmtId="9" fontId="10" fillId="3" borderId="11" xfId="0" applyNumberFormat="1" applyFont="1" applyFill="1" applyBorder="1" applyAlignment="1">
      <alignment horizontal="center" vertical="center" wrapText="1"/>
    </xf>
    <xf numFmtId="10" fontId="10" fillId="3" borderId="11" xfId="0" applyNumberFormat="1" applyFont="1" applyFill="1" applyBorder="1" applyAlignment="1">
      <alignment horizontal="left" vertical="top" wrapText="1"/>
    </xf>
    <xf numFmtId="10" fontId="12" fillId="3" borderId="11" xfId="0" applyNumberFormat="1" applyFont="1" applyFill="1" applyBorder="1" applyAlignment="1">
      <alignment horizontal="left" vertical="center" wrapText="1"/>
    </xf>
    <xf numFmtId="2" fontId="12" fillId="3" borderId="11" xfId="0" applyNumberFormat="1" applyFont="1" applyFill="1" applyBorder="1" applyAlignment="1">
      <alignment horizontal="left" vertical="center" wrapText="1"/>
    </xf>
    <xf numFmtId="181" fontId="10" fillId="3" borderId="11" xfId="0" applyNumberFormat="1" applyFont="1" applyFill="1" applyBorder="1" applyAlignment="1">
      <alignment horizontal="left" vertical="center" wrapText="1"/>
    </xf>
    <xf numFmtId="177" fontId="10" fillId="3" borderId="11" xfId="0" applyNumberFormat="1" applyFont="1" applyFill="1" applyBorder="1" applyAlignment="1">
      <alignment horizontal="left" vertical="center" wrapText="1"/>
    </xf>
    <xf numFmtId="4" fontId="13" fillId="3" borderId="11" xfId="0" applyNumberFormat="1" applyFont="1" applyFill="1" applyBorder="1" applyAlignment="1">
      <alignment horizontal="left"/>
    </xf>
    <xf numFmtId="166" fontId="10" fillId="6" borderId="11" xfId="0" applyNumberFormat="1" applyFont="1" applyFill="1" applyBorder="1" applyAlignment="1">
      <alignment horizontal="left" vertical="center" wrapText="1"/>
    </xf>
    <xf numFmtId="10" fontId="10" fillId="6" borderId="11" xfId="0" applyNumberFormat="1" applyFont="1" applyFill="1" applyBorder="1" applyAlignment="1">
      <alignment horizontal="left" vertical="center" wrapText="1"/>
    </xf>
    <xf numFmtId="166" fontId="9" fillId="3" borderId="11" xfId="0" applyNumberFormat="1" applyFont="1" applyFill="1" applyBorder="1" applyAlignment="1">
      <alignment horizontal="center" vertical="center" wrapText="1"/>
    </xf>
    <xf numFmtId="164" fontId="10" fillId="3" borderId="11" xfId="2" applyFont="1" applyFill="1" applyBorder="1" applyAlignment="1">
      <alignment horizontal="left" vertical="center" wrapText="1"/>
    </xf>
    <xf numFmtId="170" fontId="10" fillId="3" borderId="11" xfId="0" applyNumberFormat="1" applyFont="1" applyFill="1" applyBorder="1" applyAlignment="1">
      <alignment horizontal="center" vertical="center" wrapText="1"/>
    </xf>
    <xf numFmtId="4" fontId="10" fillId="3" borderId="11" xfId="0" applyNumberFormat="1" applyFont="1" applyFill="1" applyBorder="1" applyAlignment="1">
      <alignment horizontal="center" vertical="center" wrapText="1"/>
    </xf>
    <xf numFmtId="175" fontId="10" fillId="3" borderId="11" xfId="0" applyNumberFormat="1" applyFont="1" applyFill="1" applyBorder="1" applyAlignment="1">
      <alignment horizontal="left" vertical="center" wrapText="1"/>
    </xf>
    <xf numFmtId="168" fontId="10" fillId="3" borderId="11" xfId="0" applyNumberFormat="1" applyFont="1" applyFill="1" applyBorder="1" applyAlignment="1">
      <alignment horizontal="center" vertical="center" wrapText="1"/>
    </xf>
    <xf numFmtId="3" fontId="9" fillId="3" borderId="11" xfId="0" applyNumberFormat="1" applyFont="1" applyFill="1" applyBorder="1" applyAlignment="1">
      <alignment horizontal="left" vertical="center" wrapText="1"/>
    </xf>
    <xf numFmtId="2" fontId="10" fillId="5" borderId="11" xfId="0" applyNumberFormat="1" applyFont="1" applyFill="1" applyBorder="1" applyAlignment="1">
      <alignment horizontal="left" vertical="center" wrapText="1"/>
    </xf>
    <xf numFmtId="168" fontId="10" fillId="3" borderId="11" xfId="4" applyNumberFormat="1" applyFont="1" applyFill="1" applyBorder="1" applyAlignment="1">
      <alignment horizontal="left" vertical="center" wrapText="1"/>
    </xf>
    <xf numFmtId="2" fontId="10" fillId="3" borderId="11" xfId="0" applyNumberFormat="1" applyFont="1" applyFill="1" applyBorder="1" applyAlignment="1">
      <alignment horizontal="center" vertical="center" wrapText="1"/>
    </xf>
    <xf numFmtId="2" fontId="10" fillId="3" borderId="11" xfId="0" applyNumberFormat="1" applyFont="1" applyFill="1" applyBorder="1" applyAlignment="1">
      <alignment horizontal="left" vertical="top" wrapText="1"/>
    </xf>
    <xf numFmtId="178" fontId="10" fillId="3" borderId="11" xfId="0" applyNumberFormat="1" applyFont="1" applyFill="1" applyBorder="1" applyAlignment="1">
      <alignment horizontal="left" vertical="center" wrapText="1"/>
    </xf>
    <xf numFmtId="3" fontId="13" fillId="3" borderId="11" xfId="0" applyNumberFormat="1" applyFont="1" applyFill="1" applyBorder="1" applyAlignment="1">
      <alignment horizontal="left" vertical="center" wrapText="1"/>
    </xf>
    <xf numFmtId="3" fontId="10" fillId="3"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left" vertical="center" wrapText="1"/>
    </xf>
    <xf numFmtId="3" fontId="10" fillId="3" borderId="11" xfId="4" applyNumberFormat="1" applyFont="1" applyFill="1" applyBorder="1" applyAlignment="1">
      <alignment horizontal="left" vertical="center" wrapText="1"/>
    </xf>
    <xf numFmtId="3" fontId="10" fillId="3" borderId="11" xfId="0" applyNumberFormat="1" applyFont="1" applyFill="1" applyBorder="1" applyAlignment="1">
      <alignment horizontal="left" vertical="top" wrapText="1"/>
    </xf>
    <xf numFmtId="3" fontId="10" fillId="3" borderId="11" xfId="0" quotePrefix="1" applyNumberFormat="1" applyFont="1" applyFill="1" applyBorder="1" applyAlignment="1">
      <alignment horizontal="left" vertical="center" wrapText="1"/>
    </xf>
    <xf numFmtId="3" fontId="17" fillId="3" borderId="11" xfId="0" applyNumberFormat="1" applyFont="1" applyFill="1" applyBorder="1" applyAlignment="1">
      <alignment horizontal="left" vertical="center" wrapText="1"/>
    </xf>
    <xf numFmtId="3" fontId="14" fillId="3" borderId="11" xfId="0" applyNumberFormat="1" applyFont="1" applyFill="1" applyBorder="1" applyAlignment="1">
      <alignment horizontal="left" vertical="center" wrapText="1"/>
    </xf>
    <xf numFmtId="3" fontId="12" fillId="3" borderId="11" xfId="0" applyNumberFormat="1" applyFont="1" applyFill="1" applyBorder="1" applyAlignment="1">
      <alignment horizontal="center" vertical="center" wrapText="1"/>
    </xf>
    <xf numFmtId="2" fontId="17" fillId="3" borderId="11" xfId="0" applyNumberFormat="1" applyFont="1" applyFill="1" applyBorder="1" applyAlignment="1">
      <alignment horizontal="left" vertical="center" wrapText="1"/>
    </xf>
    <xf numFmtId="3" fontId="12" fillId="5" borderId="11" xfId="0" applyNumberFormat="1" applyFont="1" applyFill="1" applyBorder="1" applyAlignment="1">
      <alignment horizontal="left" vertical="center" wrapText="1"/>
    </xf>
    <xf numFmtId="3" fontId="12" fillId="3" borderId="11" xfId="4" applyNumberFormat="1" applyFont="1" applyFill="1" applyBorder="1" applyAlignment="1">
      <alignment horizontal="left" vertical="center" wrapText="1"/>
    </xf>
    <xf numFmtId="3" fontId="12" fillId="3" borderId="11" xfId="0" applyNumberFormat="1" applyFont="1" applyFill="1" applyBorder="1" applyAlignment="1">
      <alignment horizontal="left" vertical="top" wrapText="1"/>
    </xf>
    <xf numFmtId="0" fontId="13" fillId="3" borderId="11" xfId="0" applyFont="1" applyFill="1" applyBorder="1" applyAlignment="1">
      <alignment horizontal="left" vertical="top" wrapText="1"/>
    </xf>
    <xf numFmtId="0" fontId="16" fillId="3" borderId="11" xfId="1" applyFont="1" applyFill="1" applyBorder="1" applyAlignment="1">
      <alignment horizontal="left" vertical="center" wrapText="1"/>
    </xf>
    <xf numFmtId="174" fontId="10" fillId="3" borderId="11" xfId="4" applyNumberFormat="1" applyFont="1" applyFill="1" applyBorder="1" applyAlignment="1">
      <alignment horizontal="left" vertical="center" wrapText="1"/>
    </xf>
    <xf numFmtId="9" fontId="10" fillId="3" borderId="11" xfId="0" applyNumberFormat="1" applyFont="1" applyFill="1" applyBorder="1" applyAlignment="1">
      <alignment horizontal="left" vertical="top" wrapText="1"/>
    </xf>
    <xf numFmtId="0" fontId="43" fillId="3" borderId="11" xfId="1" applyFont="1" applyFill="1" applyBorder="1" applyAlignment="1">
      <alignment horizontal="center" vertical="center" wrapText="1"/>
    </xf>
    <xf numFmtId="10" fontId="11" fillId="3" borderId="11" xfId="1" applyNumberFormat="1" applyFont="1" applyFill="1" applyBorder="1" applyAlignment="1" applyProtection="1">
      <alignment horizontal="left" vertical="center" wrapText="1"/>
    </xf>
    <xf numFmtId="0" fontId="11" fillId="3" borderId="11" xfId="1" applyFont="1" applyFill="1" applyBorder="1" applyAlignment="1" applyProtection="1">
      <alignment horizontal="center" vertical="center" wrapText="1"/>
    </xf>
    <xf numFmtId="10" fontId="18" fillId="3" borderId="11" xfId="1" applyNumberFormat="1" applyFont="1" applyFill="1" applyBorder="1" applyAlignment="1">
      <alignment horizontal="center" vertical="center" wrapText="1"/>
    </xf>
    <xf numFmtId="10" fontId="18" fillId="3" borderId="11" xfId="1" applyNumberFormat="1" applyFont="1" applyFill="1" applyBorder="1" applyAlignment="1">
      <alignment horizontal="left" vertical="center" wrapText="1"/>
    </xf>
    <xf numFmtId="10" fontId="18" fillId="3" borderId="11" xfId="1" applyNumberFormat="1" applyFont="1" applyFill="1" applyBorder="1" applyAlignment="1" applyProtection="1">
      <alignment horizontal="left" vertical="center" wrapText="1"/>
    </xf>
    <xf numFmtId="10" fontId="11" fillId="5" borderId="11" xfId="1" applyNumberFormat="1" applyFont="1" applyFill="1" applyBorder="1" applyAlignment="1" applyProtection="1">
      <alignment horizontal="left" vertical="center" wrapText="1"/>
    </xf>
    <xf numFmtId="10" fontId="11" fillId="3" borderId="11" xfId="1" applyNumberFormat="1" applyFont="1" applyFill="1" applyBorder="1" applyAlignment="1">
      <alignment horizontal="center" vertical="center" wrapText="1"/>
    </xf>
    <xf numFmtId="3" fontId="10" fillId="6" borderId="11" xfId="0" applyNumberFormat="1" applyFont="1" applyFill="1" applyBorder="1" applyAlignment="1">
      <alignment horizontal="left" vertical="center" wrapText="1"/>
    </xf>
    <xf numFmtId="3" fontId="13" fillId="3" borderId="11" xfId="0" applyNumberFormat="1" applyFont="1" applyFill="1" applyBorder="1" applyAlignment="1">
      <alignment horizontal="center" vertical="center" wrapText="1"/>
    </xf>
    <xf numFmtId="0" fontId="38" fillId="3" borderId="11" xfId="0" applyFont="1" applyFill="1" applyBorder="1" applyAlignment="1">
      <alignment horizontal="center" vertical="center" wrapText="1"/>
    </xf>
    <xf numFmtId="3" fontId="38" fillId="3" borderId="11" xfId="0" applyNumberFormat="1" applyFont="1" applyFill="1" applyBorder="1" applyAlignment="1">
      <alignment horizontal="center" vertical="center" wrapText="1"/>
    </xf>
    <xf numFmtId="0" fontId="9" fillId="3" borderId="11" xfId="0" applyFont="1" applyFill="1" applyBorder="1" applyAlignment="1">
      <alignment horizontal="center" vertical="center" wrapText="1"/>
    </xf>
    <xf numFmtId="0" fontId="11" fillId="3" borderId="11" xfId="1" applyFont="1" applyFill="1" applyBorder="1"/>
    <xf numFmtId="9" fontId="9" fillId="3" borderId="11" xfId="0" applyNumberFormat="1" applyFont="1" applyFill="1" applyBorder="1" applyAlignment="1">
      <alignment horizontal="left" vertical="center" wrapText="1"/>
    </xf>
    <xf numFmtId="9" fontId="13" fillId="3" borderId="11" xfId="0" applyNumberFormat="1" applyFont="1" applyFill="1" applyBorder="1" applyAlignment="1">
      <alignment horizontal="left" vertical="center" wrapText="1"/>
    </xf>
    <xf numFmtId="9" fontId="13" fillId="3" borderId="11" xfId="0" applyNumberFormat="1" applyFont="1" applyFill="1" applyBorder="1" applyAlignment="1">
      <alignment horizontal="center" vertical="center" wrapText="1"/>
    </xf>
    <xf numFmtId="167" fontId="13" fillId="3" borderId="11" xfId="0" applyNumberFormat="1" applyFont="1" applyFill="1" applyBorder="1" applyAlignment="1">
      <alignment horizontal="left" vertical="center" wrapText="1"/>
    </xf>
    <xf numFmtId="167" fontId="10" fillId="3" borderId="11" xfId="0" applyNumberFormat="1" applyFont="1" applyFill="1" applyBorder="1" applyAlignment="1">
      <alignment vertical="center" wrapText="1"/>
    </xf>
    <xf numFmtId="176" fontId="10" fillId="3" borderId="11" xfId="0" applyNumberFormat="1" applyFont="1" applyFill="1" applyBorder="1" applyAlignment="1">
      <alignment horizontal="left" vertical="center" wrapText="1"/>
    </xf>
    <xf numFmtId="167" fontId="10" fillId="5" borderId="11" xfId="0" applyNumberFormat="1" applyFont="1" applyFill="1" applyBorder="1" applyAlignment="1">
      <alignment horizontal="left" vertical="center" wrapText="1"/>
    </xf>
    <xf numFmtId="167" fontId="10" fillId="3" borderId="11" xfId="0" applyNumberFormat="1" applyFont="1" applyFill="1" applyBorder="1" applyAlignment="1">
      <alignment horizontal="left" vertical="top" wrapText="1"/>
    </xf>
    <xf numFmtId="0" fontId="18" fillId="3" borderId="11" xfId="1" applyFont="1" applyFill="1" applyBorder="1" applyAlignment="1">
      <alignment horizontal="center" vertical="center" wrapText="1"/>
    </xf>
    <xf numFmtId="0" fontId="11" fillId="5" borderId="11" xfId="1" applyFont="1" applyFill="1" applyBorder="1" applyAlignment="1" applyProtection="1">
      <alignment horizontal="left" vertical="center" wrapText="1"/>
    </xf>
    <xf numFmtId="0" fontId="18" fillId="3" borderId="11" xfId="1" applyFont="1" applyFill="1" applyBorder="1" applyAlignment="1" applyProtection="1">
      <alignment horizontal="left" vertical="center" wrapText="1"/>
    </xf>
    <xf numFmtId="0" fontId="16" fillId="3" borderId="11" xfId="1" applyFont="1" applyFill="1" applyBorder="1" applyAlignment="1">
      <alignment horizontal="left" vertical="top" wrapText="1"/>
    </xf>
    <xf numFmtId="0" fontId="11" fillId="3" borderId="11" xfId="1" applyFont="1" applyFill="1" applyBorder="1" applyAlignment="1">
      <alignment horizontal="justify" vertical="center" wrapText="1"/>
    </xf>
    <xf numFmtId="0" fontId="13" fillId="3" borderId="11" xfId="0" applyFont="1" applyFill="1" applyBorder="1" applyAlignment="1">
      <alignment vertical="center" wrapText="1"/>
    </xf>
    <xf numFmtId="0" fontId="11" fillId="3" borderId="11" xfId="1" applyFont="1" applyFill="1" applyBorder="1" applyAlignment="1">
      <alignment vertical="center"/>
    </xf>
    <xf numFmtId="0" fontId="35" fillId="3" borderId="11" xfId="0" applyFont="1" applyFill="1" applyBorder="1" applyAlignment="1">
      <alignment horizontal="left" vertical="center" wrapText="1"/>
    </xf>
    <xf numFmtId="0" fontId="9" fillId="3" borderId="11" xfId="0" applyFont="1" applyFill="1" applyBorder="1" applyAlignment="1">
      <alignment vertical="center" wrapText="1"/>
    </xf>
    <xf numFmtId="0" fontId="13" fillId="41" borderId="11" xfId="0" applyFont="1" applyFill="1" applyBorder="1" applyAlignment="1">
      <alignment horizontal="left" vertical="center" wrapText="1"/>
    </xf>
    <xf numFmtId="0" fontId="10" fillId="47" borderId="11" xfId="0" applyFont="1" applyFill="1" applyBorder="1" applyAlignment="1">
      <alignment horizontal="left" vertical="center" wrapText="1"/>
    </xf>
    <xf numFmtId="0" fontId="37" fillId="3" borderId="11" xfId="0" applyFont="1" applyFill="1" applyBorder="1" applyAlignment="1">
      <alignment horizontal="left" vertical="center" wrapText="1"/>
    </xf>
    <xf numFmtId="0" fontId="9" fillId="41" borderId="11" xfId="0" applyFont="1" applyFill="1" applyBorder="1" applyAlignment="1">
      <alignment horizontal="left" vertical="center" wrapText="1"/>
    </xf>
    <xf numFmtId="1" fontId="13" fillId="41" borderId="11" xfId="0" applyNumberFormat="1" applyFont="1" applyFill="1" applyBorder="1" applyAlignment="1">
      <alignment horizontal="left" vertical="center" wrapText="1"/>
    </xf>
    <xf numFmtId="1" fontId="10" fillId="47" borderId="11" xfId="0" applyNumberFormat="1" applyFont="1" applyFill="1" applyBorder="1" applyAlignment="1">
      <alignment horizontal="left" vertical="center" wrapText="1"/>
    </xf>
    <xf numFmtId="1" fontId="37" fillId="3" borderId="11" xfId="0" applyNumberFormat="1" applyFont="1" applyFill="1" applyBorder="1" applyAlignment="1">
      <alignment horizontal="left" vertical="center" wrapText="1"/>
    </xf>
    <xf numFmtId="1" fontId="10" fillId="41" borderId="11" xfId="0" applyNumberFormat="1" applyFont="1" applyFill="1" applyBorder="1" applyAlignment="1">
      <alignment horizontal="left" vertical="center" wrapText="1"/>
    </xf>
    <xf numFmtId="1" fontId="9" fillId="41" borderId="11" xfId="0" applyNumberFormat="1" applyFont="1" applyFill="1" applyBorder="1" applyAlignment="1">
      <alignment horizontal="left" vertical="center" wrapText="1"/>
    </xf>
    <xf numFmtId="165" fontId="13" fillId="41" borderId="11" xfId="0" applyNumberFormat="1" applyFont="1" applyFill="1" applyBorder="1" applyAlignment="1">
      <alignment horizontal="left" vertical="center" wrapText="1"/>
    </xf>
    <xf numFmtId="14" fontId="10" fillId="3" borderId="11" xfId="0" applyNumberFormat="1" applyFont="1" applyFill="1" applyBorder="1" applyAlignment="1">
      <alignment horizontal="center" vertical="center" wrapText="1"/>
    </xf>
    <xf numFmtId="171" fontId="10" fillId="47" borderId="11" xfId="0" applyNumberFormat="1" applyFont="1" applyFill="1" applyBorder="1" applyAlignment="1">
      <alignment horizontal="left" vertical="center" wrapText="1"/>
    </xf>
    <xf numFmtId="165" fontId="37" fillId="3" borderId="11" xfId="0" applyNumberFormat="1" applyFont="1" applyFill="1" applyBorder="1" applyAlignment="1">
      <alignment horizontal="left" vertical="center" wrapText="1"/>
    </xf>
    <xf numFmtId="165" fontId="10" fillId="41" borderId="11" xfId="0" applyNumberFormat="1" applyFont="1" applyFill="1" applyBorder="1" applyAlignment="1">
      <alignment horizontal="left" vertical="center" wrapText="1"/>
    </xf>
    <xf numFmtId="165" fontId="9" fillId="41" borderId="11" xfId="0" applyNumberFormat="1" applyFont="1" applyFill="1" applyBorder="1" applyAlignment="1">
      <alignment horizontal="left" vertical="center" wrapText="1"/>
    </xf>
    <xf numFmtId="0" fontId="13" fillId="3" borderId="11" xfId="0" applyFont="1" applyFill="1" applyBorder="1" applyAlignment="1">
      <alignment wrapText="1"/>
    </xf>
    <xf numFmtId="49" fontId="9" fillId="3" borderId="11" xfId="0" applyNumberFormat="1" applyFont="1" applyFill="1" applyBorder="1" applyAlignment="1">
      <alignment vertical="center" wrapText="1"/>
    </xf>
    <xf numFmtId="0" fontId="40" fillId="3" borderId="11" xfId="0" applyFont="1" applyFill="1" applyBorder="1" applyAlignment="1">
      <alignment horizontal="left" vertical="center" wrapText="1"/>
    </xf>
    <xf numFmtId="0" fontId="15" fillId="41" borderId="11" xfId="1" applyFont="1" applyFill="1" applyBorder="1" applyAlignment="1">
      <alignment horizontal="left" vertical="center" wrapText="1"/>
    </xf>
    <xf numFmtId="0" fontId="11" fillId="41" borderId="11" xfId="1" applyFont="1" applyFill="1" applyBorder="1" applyAlignment="1">
      <alignment horizontal="left" vertical="center" wrapText="1"/>
    </xf>
    <xf numFmtId="0" fontId="41" fillId="5" borderId="11" xfId="1" applyFont="1" applyFill="1" applyBorder="1" applyAlignment="1" applyProtection="1">
      <alignment horizontal="left" vertical="center" wrapText="1"/>
    </xf>
    <xf numFmtId="0" fontId="11" fillId="3" borderId="11" xfId="1" applyFont="1" applyFill="1" applyBorder="1" applyAlignment="1" applyProtection="1"/>
    <xf numFmtId="0" fontId="9" fillId="3" borderId="11" xfId="0" applyFont="1" applyFill="1" applyBorder="1" applyAlignment="1">
      <alignment horizontal="left" wrapText="1"/>
    </xf>
    <xf numFmtId="0" fontId="10" fillId="41" borderId="11" xfId="0" applyFont="1" applyFill="1" applyBorder="1" applyAlignment="1">
      <alignment horizontal="left" vertical="center" wrapText="1"/>
    </xf>
    <xf numFmtId="0" fontId="15" fillId="3" borderId="11" xfId="1" applyFont="1" applyFill="1" applyBorder="1" applyAlignment="1">
      <alignment horizontal="left" vertical="center" wrapText="1"/>
    </xf>
    <xf numFmtId="0" fontId="11" fillId="47" borderId="11" xfId="1" applyFont="1" applyFill="1" applyBorder="1" applyAlignment="1">
      <alignment horizontal="left" vertical="center" wrapText="1"/>
    </xf>
    <xf numFmtId="0" fontId="11" fillId="3" borderId="11" xfId="1" applyFont="1" applyFill="1" applyBorder="1" applyAlignment="1">
      <alignment vertical="top" wrapText="1"/>
    </xf>
    <xf numFmtId="0" fontId="36" fillId="3" borderId="11" xfId="0" applyFont="1" applyFill="1" applyBorder="1" applyAlignment="1">
      <alignment horizontal="left" vertical="center" wrapText="1"/>
    </xf>
    <xf numFmtId="166" fontId="13" fillId="41" borderId="11" xfId="0" applyNumberFormat="1" applyFont="1" applyFill="1" applyBorder="1" applyAlignment="1">
      <alignment horizontal="left" vertical="center" wrapText="1"/>
    </xf>
    <xf numFmtId="166" fontId="10" fillId="47" borderId="11" xfId="0" applyNumberFormat="1" applyFont="1" applyFill="1" applyBorder="1" applyAlignment="1">
      <alignment horizontal="left" vertical="center" wrapText="1"/>
    </xf>
    <xf numFmtId="166" fontId="14" fillId="3" borderId="11" xfId="0" applyNumberFormat="1" applyFont="1" applyFill="1" applyBorder="1" applyAlignment="1">
      <alignment horizontal="center" vertical="center" wrapText="1"/>
    </xf>
    <xf numFmtId="166" fontId="10" fillId="41" borderId="11" xfId="0" applyNumberFormat="1" applyFont="1" applyFill="1" applyBorder="1" applyAlignment="1">
      <alignment horizontal="left" vertical="center" wrapText="1"/>
    </xf>
    <xf numFmtId="0" fontId="38" fillId="3" borderId="11" xfId="0" applyFont="1" applyFill="1" applyBorder="1" applyAlignment="1">
      <alignment vertical="center" wrapText="1"/>
    </xf>
    <xf numFmtId="166" fontId="13" fillId="3" borderId="11" xfId="2" applyNumberFormat="1" applyFont="1" applyFill="1" applyBorder="1" applyAlignment="1">
      <alignment horizontal="left" vertical="center" wrapText="1"/>
    </xf>
    <xf numFmtId="10" fontId="13" fillId="41" borderId="11" xfId="0" applyNumberFormat="1" applyFont="1" applyFill="1" applyBorder="1" applyAlignment="1">
      <alignment horizontal="left" vertical="center" wrapText="1"/>
    </xf>
    <xf numFmtId="10" fontId="10" fillId="47" borderId="11" xfId="0" applyNumberFormat="1" applyFont="1" applyFill="1" applyBorder="1" applyAlignment="1">
      <alignment horizontal="left" vertical="center" wrapText="1"/>
    </xf>
    <xf numFmtId="10" fontId="10" fillId="41" borderId="11" xfId="0" applyNumberFormat="1" applyFont="1" applyFill="1" applyBorder="1" applyAlignment="1">
      <alignment horizontal="left" vertical="center" wrapText="1"/>
    </xf>
    <xf numFmtId="169" fontId="9" fillId="3" borderId="11" xfId="0" applyNumberFormat="1" applyFont="1" applyFill="1" applyBorder="1" applyAlignment="1">
      <alignment horizontal="left" vertical="center" wrapText="1"/>
    </xf>
    <xf numFmtId="166" fontId="38" fillId="3" borderId="11" xfId="0" applyNumberFormat="1" applyFont="1" applyFill="1" applyBorder="1" applyAlignment="1">
      <alignment horizontal="left" vertical="center" wrapText="1"/>
    </xf>
    <xf numFmtId="10" fontId="38" fillId="3" borderId="11" xfId="0" applyNumberFormat="1" applyFont="1" applyFill="1" applyBorder="1" applyAlignment="1">
      <alignment horizontal="left" vertical="center" wrapText="1"/>
    </xf>
    <xf numFmtId="166" fontId="37" fillId="3" borderId="11" xfId="0" applyNumberFormat="1" applyFont="1" applyFill="1" applyBorder="1" applyAlignment="1">
      <alignment horizontal="left" vertical="center" wrapText="1"/>
    </xf>
    <xf numFmtId="10" fontId="37" fillId="3" borderId="11" xfId="0" applyNumberFormat="1" applyFont="1" applyFill="1" applyBorder="1" applyAlignment="1">
      <alignment horizontal="left" vertical="center" wrapText="1"/>
    </xf>
    <xf numFmtId="0" fontId="35" fillId="3" borderId="11" xfId="0" applyFont="1" applyFill="1" applyBorder="1" applyAlignment="1">
      <alignment horizontal="left" vertical="center"/>
    </xf>
    <xf numFmtId="168" fontId="10" fillId="41" borderId="11" xfId="0" applyNumberFormat="1" applyFont="1" applyFill="1" applyBorder="1" applyAlignment="1">
      <alignment horizontal="left" vertical="center" wrapText="1"/>
    </xf>
    <xf numFmtId="166" fontId="10" fillId="3" borderId="11" xfId="0" applyNumberFormat="1" applyFont="1" applyFill="1" applyBorder="1" applyAlignment="1">
      <alignment horizontal="left" vertical="center"/>
    </xf>
    <xf numFmtId="0" fontId="13" fillId="41" borderId="11" xfId="0" applyNumberFormat="1" applyFont="1" applyFill="1" applyBorder="1" applyAlignment="1">
      <alignment horizontal="left" vertical="center" wrapText="1"/>
    </xf>
    <xf numFmtId="167" fontId="13" fillId="41" borderId="11" xfId="0" applyNumberFormat="1" applyFont="1" applyFill="1" applyBorder="1" applyAlignment="1">
      <alignment horizontal="left" vertical="center" wrapText="1"/>
    </xf>
    <xf numFmtId="172" fontId="10" fillId="3" borderId="11" xfId="0" applyNumberFormat="1" applyFont="1" applyFill="1" applyBorder="1" applyAlignment="1">
      <alignment horizontal="left" vertical="center" wrapText="1"/>
    </xf>
    <xf numFmtId="2" fontId="10" fillId="47" borderId="11" xfId="0" applyNumberFormat="1" applyFont="1" applyFill="1" applyBorder="1" applyAlignment="1">
      <alignment horizontal="left" vertical="center" wrapText="1"/>
    </xf>
    <xf numFmtId="2" fontId="10" fillId="41" borderId="11" xfId="0" applyNumberFormat="1" applyFont="1" applyFill="1" applyBorder="1" applyAlignment="1">
      <alignment horizontal="left" vertical="center" wrapText="1"/>
    </xf>
    <xf numFmtId="169" fontId="10" fillId="5" borderId="11" xfId="0" applyNumberFormat="1" applyFont="1" applyFill="1" applyBorder="1" applyAlignment="1">
      <alignment horizontal="left" vertical="center" wrapText="1"/>
    </xf>
    <xf numFmtId="3" fontId="13" fillId="41" borderId="11" xfId="0" applyNumberFormat="1" applyFont="1" applyFill="1" applyBorder="1" applyAlignment="1">
      <alignment horizontal="left" vertical="center" wrapText="1"/>
    </xf>
    <xf numFmtId="3" fontId="10" fillId="47" borderId="11" xfId="0" applyNumberFormat="1" applyFont="1" applyFill="1" applyBorder="1" applyAlignment="1">
      <alignment horizontal="left" vertical="center" wrapText="1"/>
    </xf>
    <xf numFmtId="3" fontId="37" fillId="3" borderId="11" xfId="0" applyNumberFormat="1" applyFont="1" applyFill="1" applyBorder="1" applyAlignment="1">
      <alignment horizontal="left" vertical="center" wrapText="1"/>
    </xf>
    <xf numFmtId="3" fontId="10" fillId="41" borderId="11" xfId="0" applyNumberFormat="1" applyFont="1" applyFill="1" applyBorder="1" applyAlignment="1">
      <alignment horizontal="left" vertical="center" wrapText="1"/>
    </xf>
    <xf numFmtId="3" fontId="18" fillId="3" borderId="11" xfId="1" applyNumberFormat="1" applyFont="1" applyFill="1" applyBorder="1" applyAlignment="1">
      <alignment horizontal="left" vertical="center" wrapText="1"/>
    </xf>
    <xf numFmtId="0" fontId="35" fillId="3" borderId="11" xfId="0" applyFont="1" applyFill="1" applyBorder="1" applyAlignment="1">
      <alignment vertical="center" wrapText="1"/>
    </xf>
    <xf numFmtId="3" fontId="14" fillId="41" borderId="11" xfId="0" applyNumberFormat="1" applyFont="1" applyFill="1" applyBorder="1" applyAlignment="1">
      <alignment horizontal="left" vertical="center" wrapText="1"/>
    </xf>
    <xf numFmtId="3" fontId="12" fillId="47" borderId="11" xfId="0" applyNumberFormat="1" applyFont="1" applyFill="1" applyBorder="1" applyAlignment="1">
      <alignment horizontal="left" vertical="center" wrapText="1"/>
    </xf>
    <xf numFmtId="3" fontId="12" fillId="41" borderId="11" xfId="0" applyNumberFormat="1" applyFont="1" applyFill="1" applyBorder="1" applyAlignment="1">
      <alignment horizontal="left" vertical="center" wrapText="1"/>
    </xf>
    <xf numFmtId="166" fontId="15" fillId="3" borderId="11" xfId="1" applyNumberFormat="1" applyFont="1" applyFill="1" applyBorder="1" applyAlignment="1">
      <alignment horizontal="left" vertical="center" wrapText="1"/>
    </xf>
    <xf numFmtId="166" fontId="11" fillId="3" borderId="11" xfId="1" applyNumberFormat="1" applyFont="1" applyFill="1" applyBorder="1" applyAlignment="1">
      <alignment horizontal="left" vertical="center" wrapText="1"/>
    </xf>
    <xf numFmtId="10" fontId="15" fillId="41" borderId="11" xfId="1" applyNumberFormat="1" applyFont="1" applyFill="1" applyBorder="1" applyAlignment="1">
      <alignment horizontal="left" vertical="center" wrapText="1"/>
    </xf>
    <xf numFmtId="0" fontId="44" fillId="41" borderId="11" xfId="0" applyFont="1" applyFill="1" applyBorder="1" applyAlignment="1">
      <alignment horizontal="left" vertical="center" wrapText="1"/>
    </xf>
    <xf numFmtId="0" fontId="11" fillId="3" borderId="11" xfId="1" applyFont="1" applyFill="1" applyBorder="1" applyAlignment="1">
      <alignment horizontal="justify" vertical="center"/>
    </xf>
    <xf numFmtId="3" fontId="9" fillId="3" borderId="11" xfId="0" applyNumberFormat="1" applyFont="1" applyFill="1" applyBorder="1" applyAlignment="1">
      <alignment horizontal="center" vertical="center" wrapText="1"/>
    </xf>
    <xf numFmtId="0" fontId="9" fillId="3" borderId="11" xfId="0" applyFont="1" applyFill="1" applyBorder="1" applyAlignment="1">
      <alignment horizontal="justify" vertical="center" wrapText="1"/>
    </xf>
    <xf numFmtId="0" fontId="9" fillId="41" borderId="11" xfId="0" applyFont="1" applyFill="1" applyBorder="1" applyAlignment="1">
      <alignment horizontal="left" vertical="center"/>
    </xf>
    <xf numFmtId="3" fontId="9" fillId="41" borderId="11" xfId="0" applyNumberFormat="1" applyFont="1" applyFill="1" applyBorder="1" applyAlignment="1">
      <alignment horizontal="left" vertical="center" wrapText="1"/>
    </xf>
    <xf numFmtId="0" fontId="9" fillId="3" borderId="11" xfId="0" applyFont="1" applyFill="1" applyBorder="1" applyAlignment="1">
      <alignment horizontal="center" wrapText="1"/>
    </xf>
    <xf numFmtId="167" fontId="10" fillId="47" borderId="11" xfId="0" applyNumberFormat="1" applyFont="1" applyFill="1" applyBorder="1" applyAlignment="1">
      <alignment horizontal="left" vertical="center" wrapText="1"/>
    </xf>
    <xf numFmtId="167" fontId="10" fillId="41" borderId="11" xfId="0" applyNumberFormat="1" applyFont="1" applyFill="1" applyBorder="1" applyAlignment="1">
      <alignment horizontal="left" vertical="center" wrapText="1"/>
    </xf>
    <xf numFmtId="0" fontId="10" fillId="3" borderId="11" xfId="1" applyFont="1" applyFill="1" applyBorder="1" applyAlignment="1">
      <alignment vertical="top" wrapText="1"/>
    </xf>
    <xf numFmtId="0" fontId="18" fillId="3" borderId="11" xfId="1" applyFont="1" applyFill="1" applyBorder="1" applyAlignment="1">
      <alignment wrapText="1"/>
    </xf>
    <xf numFmtId="0" fontId="11" fillId="3" borderId="11" xfId="1" applyFont="1" applyFill="1" applyBorder="1" applyAlignment="1" applyProtection="1">
      <alignment vertical="center" wrapText="1"/>
    </xf>
    <xf numFmtId="0" fontId="32" fillId="0" borderId="67" xfId="0" applyFont="1" applyBorder="1" applyAlignment="1">
      <alignment horizontal="center" vertical="center" wrapText="1"/>
    </xf>
    <xf numFmtId="0" fontId="69" fillId="0" borderId="68" xfId="0" applyFont="1" applyBorder="1" applyAlignment="1">
      <alignment horizontal="left" vertical="center" wrapText="1"/>
    </xf>
    <xf numFmtId="0" fontId="69" fillId="0" borderId="67" xfId="0" applyFont="1" applyBorder="1" applyAlignment="1">
      <alignment horizontal="left" vertical="center" wrapText="1"/>
    </xf>
    <xf numFmtId="0" fontId="69" fillId="0" borderId="51" xfId="0" applyFont="1" applyBorder="1" applyAlignment="1">
      <alignment horizontal="left" vertical="center" wrapText="1"/>
    </xf>
    <xf numFmtId="0" fontId="69" fillId="0" borderId="69" xfId="0" applyFont="1" applyBorder="1" applyAlignment="1">
      <alignment horizontal="left" vertical="center" wrapText="1"/>
    </xf>
    <xf numFmtId="0" fontId="69" fillId="0" borderId="70" xfId="0" applyFont="1" applyBorder="1" applyAlignment="1">
      <alignment horizontal="left" vertical="center" wrapText="1"/>
    </xf>
    <xf numFmtId="0" fontId="71" fillId="0" borderId="71" xfId="0" applyFont="1" applyBorder="1" applyAlignment="1">
      <alignment horizontal="left" vertical="center" wrapText="1"/>
    </xf>
    <xf numFmtId="0" fontId="71" fillId="0" borderId="68" xfId="0" applyFont="1" applyBorder="1" applyAlignment="1">
      <alignment horizontal="left" vertical="center" wrapText="1"/>
    </xf>
    <xf numFmtId="0" fontId="69" fillId="0" borderId="64" xfId="0" applyFont="1" applyBorder="1" applyAlignment="1">
      <alignment horizontal="left" vertical="center" wrapText="1"/>
    </xf>
    <xf numFmtId="0" fontId="69" fillId="0" borderId="72" xfId="0" applyFont="1" applyBorder="1" applyAlignment="1">
      <alignment horizontal="left" vertical="center" wrapText="1"/>
    </xf>
    <xf numFmtId="0" fontId="69" fillId="0" borderId="64" xfId="0" applyFont="1" applyBorder="1" applyAlignment="1">
      <alignment horizontal="left" vertical="center"/>
    </xf>
    <xf numFmtId="0" fontId="69" fillId="0" borderId="68" xfId="0" applyFont="1" applyBorder="1" applyAlignment="1">
      <alignment vertical="center" wrapText="1"/>
    </xf>
    <xf numFmtId="0" fontId="69" fillId="0" borderId="64" xfId="0" applyFont="1" applyBorder="1" applyAlignment="1">
      <alignment vertical="center" wrapText="1"/>
    </xf>
    <xf numFmtId="0" fontId="69" fillId="0" borderId="51" xfId="0" applyFont="1" applyBorder="1" applyAlignment="1">
      <alignment vertical="center" wrapText="1"/>
    </xf>
    <xf numFmtId="0" fontId="69" fillId="0" borderId="30" xfId="0" applyFont="1" applyBorder="1" applyAlignment="1">
      <alignment horizontal="left" vertical="center" wrapText="1"/>
    </xf>
    <xf numFmtId="0" fontId="69" fillId="0" borderId="73" xfId="0" applyFont="1" applyBorder="1" applyAlignment="1">
      <alignment horizontal="left" vertical="center" wrapText="1"/>
    </xf>
    <xf numFmtId="0" fontId="69" fillId="0" borderId="58" xfId="0" applyFont="1" applyBorder="1" applyAlignment="1">
      <alignment horizontal="left" vertical="center" wrapText="1"/>
    </xf>
    <xf numFmtId="0" fontId="69" fillId="0" borderId="48" xfId="0" applyFont="1" applyBorder="1" applyAlignment="1">
      <alignment horizontal="left" vertical="center" wrapText="1"/>
    </xf>
    <xf numFmtId="0" fontId="69" fillId="0" borderId="74" xfId="0" applyFont="1" applyBorder="1" applyAlignment="1">
      <alignment horizontal="left" vertical="center" wrapText="1"/>
    </xf>
    <xf numFmtId="0" fontId="69" fillId="0" borderId="0" xfId="0" applyFont="1" applyBorder="1" applyAlignment="1">
      <alignment horizontal="left" vertical="center" wrapText="1"/>
    </xf>
    <xf numFmtId="0" fontId="84" fillId="8" borderId="11" xfId="0" applyFont="1" applyFill="1" applyBorder="1" applyAlignment="1">
      <alignment horizontal="left" vertical="center" wrapText="1"/>
    </xf>
    <xf numFmtId="0" fontId="84" fillId="8" borderId="11" xfId="0" applyFont="1" applyFill="1" applyBorder="1" applyAlignment="1">
      <alignment horizontal="center" vertical="center" wrapText="1"/>
    </xf>
    <xf numFmtId="0" fontId="85" fillId="8" borderId="11" xfId="0" applyFont="1" applyFill="1" applyBorder="1" applyAlignment="1">
      <alignment horizontal="left"/>
    </xf>
    <xf numFmtId="0" fontId="86" fillId="8" borderId="11" xfId="0" applyFont="1" applyFill="1" applyBorder="1" applyAlignment="1">
      <alignment horizontal="left" vertical="center" wrapText="1"/>
    </xf>
    <xf numFmtId="0" fontId="87" fillId="8" borderId="11" xfId="0" applyFont="1" applyFill="1" applyBorder="1" applyAlignment="1">
      <alignment horizontal="left" vertical="center" wrapText="1"/>
    </xf>
    <xf numFmtId="0" fontId="84" fillId="14" borderId="11" xfId="0" applyFont="1" applyFill="1" applyBorder="1" applyAlignment="1">
      <alignment horizontal="left" vertical="center" wrapText="1"/>
    </xf>
    <xf numFmtId="0" fontId="86" fillId="8" borderId="11" xfId="0" applyFont="1" applyFill="1" applyBorder="1" applyAlignment="1">
      <alignment horizontal="center" vertical="center" wrapText="1"/>
    </xf>
    <xf numFmtId="0" fontId="86" fillId="11" borderId="11" xfId="0" applyFont="1" applyFill="1" applyBorder="1" applyAlignment="1">
      <alignment horizontal="left" vertical="center" wrapText="1"/>
    </xf>
    <xf numFmtId="186" fontId="84" fillId="11" borderId="11" xfId="11" applyFont="1" applyFill="1" applyBorder="1" applyAlignment="1">
      <alignment horizontal="left" vertical="center" wrapText="1"/>
    </xf>
    <xf numFmtId="186" fontId="87" fillId="13" borderId="11" xfId="11" applyFont="1" applyFill="1" applyBorder="1" applyAlignment="1">
      <alignment horizontal="left" vertical="center" wrapText="1"/>
    </xf>
    <xf numFmtId="0" fontId="86" fillId="14" borderId="11" xfId="0" applyFont="1" applyFill="1" applyBorder="1" applyAlignment="1">
      <alignment horizontal="left" vertical="center" wrapText="1"/>
    </xf>
    <xf numFmtId="0" fontId="84" fillId="8" borderId="11" xfId="0" applyFont="1" applyFill="1" applyBorder="1" applyAlignment="1">
      <alignment vertical="center" wrapText="1"/>
    </xf>
    <xf numFmtId="0" fontId="85" fillId="8" borderId="11" xfId="0" applyFont="1" applyFill="1" applyBorder="1"/>
    <xf numFmtId="0" fontId="85" fillId="8" borderId="11" xfId="0" applyFont="1" applyFill="1" applyBorder="1" applyAlignment="1">
      <alignment horizontal="center" wrapText="1"/>
    </xf>
    <xf numFmtId="0" fontId="86" fillId="12" borderId="11" xfId="0" applyFont="1" applyFill="1" applyBorder="1" applyAlignment="1">
      <alignment horizontal="left" vertical="center" wrapText="1"/>
    </xf>
    <xf numFmtId="187" fontId="84" fillId="11" borderId="11" xfId="11" applyNumberFormat="1" applyFont="1" applyFill="1" applyBorder="1" applyAlignment="1">
      <alignment horizontal="left" vertical="center" wrapText="1"/>
    </xf>
    <xf numFmtId="0" fontId="86" fillId="8" borderId="11" xfId="0" applyFont="1" applyFill="1" applyBorder="1" applyAlignment="1">
      <alignment vertical="center" wrapText="1"/>
    </xf>
    <xf numFmtId="0" fontId="86" fillId="8" borderId="11" xfId="0" applyFont="1" applyFill="1" applyBorder="1" applyAlignment="1">
      <alignment horizontal="left" vertical="top" wrapText="1"/>
    </xf>
    <xf numFmtId="1" fontId="86" fillId="8" borderId="11" xfId="0" applyNumberFormat="1" applyFont="1" applyFill="1" applyBorder="1" applyAlignment="1">
      <alignment horizontal="left" vertical="center" wrapText="1"/>
    </xf>
    <xf numFmtId="1" fontId="87" fillId="8" borderId="11" xfId="0" applyNumberFormat="1" applyFont="1" applyFill="1" applyBorder="1" applyAlignment="1">
      <alignment horizontal="left" vertical="center" wrapText="1"/>
    </xf>
    <xf numFmtId="1" fontId="84" fillId="14" borderId="11" xfId="0" applyNumberFormat="1" applyFont="1" applyFill="1" applyBorder="1" applyAlignment="1">
      <alignment horizontal="left" vertical="center" wrapText="1"/>
    </xf>
    <xf numFmtId="1" fontId="86" fillId="8" borderId="11" xfId="0" applyNumberFormat="1" applyFont="1" applyFill="1" applyBorder="1" applyAlignment="1">
      <alignment horizontal="center" vertical="center" wrapText="1"/>
    </xf>
    <xf numFmtId="1" fontId="84" fillId="8" borderId="11" xfId="0" applyNumberFormat="1" applyFont="1" applyFill="1" applyBorder="1" applyAlignment="1">
      <alignment horizontal="center" vertical="center" wrapText="1"/>
    </xf>
    <xf numFmtId="1" fontId="84" fillId="8" borderId="11" xfId="0" applyNumberFormat="1" applyFont="1" applyFill="1" applyBorder="1" applyAlignment="1">
      <alignment horizontal="left" vertical="center" wrapText="1"/>
    </xf>
    <xf numFmtId="1" fontId="86" fillId="11" borderId="11" xfId="0" applyNumberFormat="1" applyFont="1" applyFill="1" applyBorder="1" applyAlignment="1">
      <alignment horizontal="left" vertical="center" wrapText="1"/>
    </xf>
    <xf numFmtId="188" fontId="84" fillId="11" borderId="11" xfId="11" applyNumberFormat="1" applyFont="1" applyFill="1" applyBorder="1" applyAlignment="1">
      <alignment horizontal="left" vertical="center" wrapText="1"/>
    </xf>
    <xf numFmtId="1" fontId="87" fillId="13" borderId="11" xfId="11" applyNumberFormat="1" applyFont="1" applyFill="1" applyBorder="1" applyAlignment="1">
      <alignment horizontal="left" vertical="center" wrapText="1"/>
    </xf>
    <xf numFmtId="1" fontId="86" fillId="14" borderId="11" xfId="0" applyNumberFormat="1" applyFont="1" applyFill="1" applyBorder="1" applyAlignment="1">
      <alignment horizontal="left" vertical="center" wrapText="1"/>
    </xf>
    <xf numFmtId="165" fontId="86" fillId="8" borderId="11" xfId="0" applyNumberFormat="1" applyFont="1" applyFill="1" applyBorder="1" applyAlignment="1">
      <alignment horizontal="left" vertical="center" wrapText="1"/>
    </xf>
    <xf numFmtId="171" fontId="86" fillId="8" borderId="11" xfId="0" applyNumberFormat="1" applyFont="1" applyFill="1" applyBorder="1" applyAlignment="1">
      <alignment horizontal="left" vertical="center" wrapText="1"/>
    </xf>
    <xf numFmtId="182" fontId="84" fillId="14" borderId="11" xfId="0" applyNumberFormat="1" applyFont="1" applyFill="1" applyBorder="1" applyAlignment="1">
      <alignment horizontal="left" vertical="center" wrapText="1"/>
    </xf>
    <xf numFmtId="165" fontId="86" fillId="8" borderId="11" xfId="0" applyNumberFormat="1" applyFont="1" applyFill="1" applyBorder="1" applyAlignment="1">
      <alignment horizontal="center" vertical="center" wrapText="1"/>
    </xf>
    <xf numFmtId="165" fontId="84" fillId="8" borderId="11" xfId="0" applyNumberFormat="1" applyFont="1" applyFill="1" applyBorder="1" applyAlignment="1">
      <alignment horizontal="center" vertical="center" wrapText="1"/>
    </xf>
    <xf numFmtId="165" fontId="84" fillId="8" borderId="11" xfId="0" applyNumberFormat="1" applyFont="1" applyFill="1" applyBorder="1" applyAlignment="1">
      <alignment horizontal="left" vertical="center" wrapText="1"/>
    </xf>
    <xf numFmtId="14" fontId="86" fillId="8" borderId="11" xfId="0" applyNumberFormat="1" applyFont="1" applyFill="1" applyBorder="1" applyAlignment="1">
      <alignment horizontal="left" vertical="center" wrapText="1"/>
    </xf>
    <xf numFmtId="185" fontId="86" fillId="11" borderId="11" xfId="0" applyNumberFormat="1" applyFont="1" applyFill="1" applyBorder="1" applyAlignment="1">
      <alignment horizontal="left" vertical="center" wrapText="1"/>
    </xf>
    <xf numFmtId="171" fontId="87" fillId="13" borderId="11" xfId="11" applyNumberFormat="1" applyFont="1" applyFill="1" applyBorder="1" applyAlignment="1">
      <alignment horizontal="left" vertical="center" wrapText="1"/>
    </xf>
    <xf numFmtId="171" fontId="86" fillId="14" borderId="11" xfId="0" applyNumberFormat="1" applyFont="1" applyFill="1" applyBorder="1" applyAlignment="1">
      <alignment horizontal="left" vertical="center" wrapText="1"/>
    </xf>
    <xf numFmtId="171" fontId="84" fillId="14" borderId="11" xfId="0" applyNumberFormat="1" applyFont="1" applyFill="1" applyBorder="1" applyAlignment="1">
      <alignment horizontal="left" vertical="center" wrapText="1"/>
    </xf>
    <xf numFmtId="14" fontId="86" fillId="14" borderId="11" xfId="0" applyNumberFormat="1" applyFont="1" applyFill="1" applyBorder="1" applyAlignment="1">
      <alignment horizontal="left" vertical="center" wrapText="1"/>
    </xf>
    <xf numFmtId="0" fontId="89" fillId="8" borderId="11" xfId="0" applyFont="1" applyFill="1" applyBorder="1" applyAlignment="1">
      <alignment horizontal="left" vertical="center" wrapText="1"/>
    </xf>
    <xf numFmtId="49" fontId="86" fillId="8" borderId="11" xfId="0" applyNumberFormat="1" applyFont="1" applyFill="1" applyBorder="1" applyAlignment="1">
      <alignment horizontal="left" vertical="center" wrapText="1"/>
    </xf>
    <xf numFmtId="173" fontId="86" fillId="8" borderId="11" xfId="0" applyNumberFormat="1" applyFont="1" applyFill="1" applyBorder="1" applyAlignment="1">
      <alignment horizontal="left" vertical="center" wrapText="1"/>
    </xf>
    <xf numFmtId="14" fontId="86" fillId="8" borderId="11" xfId="0" applyNumberFormat="1" applyFont="1" applyFill="1" applyBorder="1" applyAlignment="1">
      <alignment horizontal="center" vertical="center" wrapText="1"/>
    </xf>
    <xf numFmtId="179" fontId="86" fillId="14" borderId="11" xfId="0" applyNumberFormat="1" applyFont="1" applyFill="1" applyBorder="1" applyAlignment="1">
      <alignment horizontal="left" vertical="center" wrapText="1"/>
    </xf>
    <xf numFmtId="14" fontId="89" fillId="8" borderId="11" xfId="0" applyNumberFormat="1" applyFont="1" applyFill="1" applyBorder="1" applyAlignment="1">
      <alignment horizontal="left" vertical="center" wrapText="1"/>
    </xf>
    <xf numFmtId="0" fontId="84" fillId="8" borderId="11" xfId="0" applyFont="1" applyFill="1" applyBorder="1" applyAlignment="1">
      <alignment horizontal="left" vertical="top" wrapText="1"/>
    </xf>
    <xf numFmtId="0" fontId="85" fillId="8" borderId="11" xfId="0" applyFont="1" applyFill="1" applyBorder="1" applyAlignment="1">
      <alignment horizontal="left" vertical="center" wrapText="1"/>
    </xf>
    <xf numFmtId="0" fontId="85" fillId="8" borderId="11" xfId="0" applyFont="1" applyFill="1" applyBorder="1" applyAlignment="1">
      <alignment wrapText="1"/>
    </xf>
    <xf numFmtId="0" fontId="90" fillId="8" borderId="11" xfId="0" applyFont="1" applyFill="1" applyBorder="1" applyAlignment="1">
      <alignment horizontal="left" vertical="center" wrapText="1"/>
    </xf>
    <xf numFmtId="0" fontId="84" fillId="8" borderId="11" xfId="0" applyFont="1" applyFill="1" applyBorder="1" applyAlignment="1">
      <alignment horizontal="center" vertical="top" wrapText="1"/>
    </xf>
    <xf numFmtId="49" fontId="84" fillId="8" borderId="11" xfId="0" applyNumberFormat="1" applyFont="1" applyFill="1" applyBorder="1" applyAlignment="1">
      <alignment vertical="center" wrapText="1"/>
    </xf>
    <xf numFmtId="0" fontId="91" fillId="8" borderId="11" xfId="8" applyFont="1" applyFill="1" applyBorder="1" applyAlignment="1" applyProtection="1">
      <alignment wrapText="1"/>
    </xf>
    <xf numFmtId="0" fontId="84" fillId="8" borderId="11" xfId="0" applyFont="1" applyFill="1" applyBorder="1" applyAlignment="1">
      <alignment wrapText="1"/>
    </xf>
    <xf numFmtId="0" fontId="86" fillId="8" borderId="11" xfId="0" applyFont="1" applyFill="1" applyBorder="1" applyAlignment="1">
      <alignment vertical="top" wrapText="1"/>
    </xf>
    <xf numFmtId="0" fontId="91" fillId="8" borderId="11" xfId="1" applyFont="1" applyFill="1" applyBorder="1" applyAlignment="1">
      <alignment horizontal="left" vertical="center" wrapText="1"/>
    </xf>
    <xf numFmtId="0" fontId="86" fillId="8" borderId="11" xfId="0" applyFont="1" applyFill="1" applyBorder="1" applyAlignment="1">
      <alignment horizontal="justify" vertical="center" wrapText="1"/>
    </xf>
    <xf numFmtId="0" fontId="85" fillId="8" borderId="11" xfId="0" applyFont="1" applyFill="1" applyBorder="1" applyAlignment="1">
      <alignment horizontal="center" vertical="center" wrapText="1"/>
    </xf>
    <xf numFmtId="0" fontId="91" fillId="8" borderId="11" xfId="1" applyFont="1" applyFill="1" applyBorder="1" applyAlignment="1" applyProtection="1">
      <alignment horizontal="left" vertical="center" wrapText="1"/>
    </xf>
    <xf numFmtId="0" fontId="91" fillId="8" borderId="11" xfId="8" applyFont="1" applyFill="1" applyBorder="1" applyAlignment="1" applyProtection="1">
      <alignment horizontal="left" vertical="center" wrapText="1"/>
    </xf>
    <xf numFmtId="0" fontId="92" fillId="14" borderId="11" xfId="0" applyFont="1" applyFill="1" applyBorder="1" applyAlignment="1">
      <alignment horizontal="left" vertical="center" wrapText="1"/>
    </xf>
    <xf numFmtId="0" fontId="91" fillId="8" borderId="11" xfId="1" applyFont="1" applyFill="1" applyBorder="1" applyAlignment="1">
      <alignment horizontal="center" vertical="center"/>
    </xf>
    <xf numFmtId="0" fontId="91" fillId="8" borderId="11" xfId="9" applyFont="1" applyFill="1" applyBorder="1" applyAlignment="1" applyProtection="1">
      <alignment horizontal="left" vertical="center" wrapText="1"/>
    </xf>
    <xf numFmtId="0" fontId="91" fillId="8" borderId="11" xfId="5" applyFont="1" applyFill="1" applyBorder="1" applyAlignment="1">
      <alignment horizontal="left" vertical="center" wrapText="1"/>
    </xf>
    <xf numFmtId="0" fontId="91" fillId="8" borderId="11" xfId="5" applyFont="1" applyFill="1" applyBorder="1" applyAlignment="1">
      <alignment horizontal="center" vertical="center" wrapText="1"/>
    </xf>
    <xf numFmtId="0" fontId="91" fillId="8" borderId="11" xfId="9" applyFont="1" applyFill="1" applyBorder="1" applyAlignment="1" applyProtection="1">
      <alignment horizontal="center" vertical="center" wrapText="1"/>
    </xf>
    <xf numFmtId="0" fontId="91" fillId="8" borderId="11" xfId="10" applyFont="1" applyFill="1" applyBorder="1" applyAlignment="1" applyProtection="1">
      <alignment horizontal="center" vertical="center" wrapText="1"/>
    </xf>
    <xf numFmtId="0" fontId="91" fillId="8" borderId="11" xfId="10" applyFont="1" applyFill="1" applyBorder="1" applyAlignment="1" applyProtection="1">
      <alignment horizontal="center" wrapText="1"/>
    </xf>
    <xf numFmtId="0" fontId="93" fillId="8" borderId="11" xfId="1" applyFont="1" applyFill="1" applyBorder="1" applyAlignment="1">
      <alignment horizontal="left" vertical="center" wrapText="1"/>
    </xf>
    <xf numFmtId="0" fontId="91" fillId="11" borderId="11" xfId="1" applyFont="1" applyFill="1" applyBorder="1" applyAlignment="1">
      <alignment horizontal="left" vertical="center" wrapText="1"/>
    </xf>
    <xf numFmtId="0" fontId="91" fillId="12" borderId="11" xfId="1" applyFont="1" applyFill="1" applyBorder="1" applyAlignment="1" applyProtection="1">
      <alignment horizontal="left" vertical="center" wrapText="1"/>
    </xf>
    <xf numFmtId="0" fontId="91" fillId="8" borderId="11" xfId="8" applyFont="1" applyFill="1" applyBorder="1" applyAlignment="1" applyProtection="1">
      <alignment horizontal="center" vertical="center" wrapText="1"/>
    </xf>
    <xf numFmtId="0" fontId="94" fillId="13" borderId="11" xfId="1" applyNumberFormat="1" applyFont="1" applyFill="1" applyBorder="1" applyAlignment="1" applyProtection="1">
      <alignment horizontal="left" vertical="center" wrapText="1"/>
    </xf>
    <xf numFmtId="0" fontId="91" fillId="8" borderId="11" xfId="1" applyFont="1" applyFill="1" applyBorder="1" applyAlignment="1">
      <alignment vertical="center" wrapText="1"/>
    </xf>
    <xf numFmtId="0" fontId="95" fillId="8" borderId="11" xfId="1" applyFont="1" applyFill="1" applyBorder="1" applyAlignment="1" applyProtection="1">
      <alignment horizontal="left" vertical="center" wrapText="1"/>
    </xf>
    <xf numFmtId="0" fontId="91" fillId="8" borderId="11" xfId="8" applyFont="1" applyFill="1" applyBorder="1" applyAlignment="1" applyProtection="1"/>
    <xf numFmtId="0" fontId="91" fillId="8" borderId="11" xfId="1" applyFont="1" applyFill="1" applyBorder="1"/>
    <xf numFmtId="0" fontId="84" fillId="14" borderId="11" xfId="1" applyFont="1" applyFill="1" applyBorder="1" applyAlignment="1" applyProtection="1">
      <alignment horizontal="left" vertical="center" wrapText="1"/>
    </xf>
    <xf numFmtId="0" fontId="91" fillId="14" borderId="11" xfId="1" applyFont="1" applyFill="1" applyBorder="1" applyAlignment="1">
      <alignment horizontal="left" vertical="center" wrapText="1"/>
    </xf>
    <xf numFmtId="0" fontId="91" fillId="8" borderId="11" xfId="1" applyFont="1" applyFill="1" applyBorder="1" applyAlignment="1">
      <alignment horizontal="center" vertical="center" wrapText="1"/>
    </xf>
    <xf numFmtId="0" fontId="91" fillId="8" borderId="11" xfId="5" applyFont="1" applyFill="1" applyBorder="1" applyAlignment="1" applyProtection="1">
      <alignment horizontal="left" vertical="center" wrapText="1"/>
    </xf>
    <xf numFmtId="0" fontId="91" fillId="8" borderId="11" xfId="1" applyFont="1" applyFill="1" applyBorder="1" applyAlignment="1">
      <alignment horizontal="justify" vertical="center" wrapText="1"/>
    </xf>
    <xf numFmtId="0" fontId="96" fillId="8" borderId="11" xfId="13" applyFont="1" applyFill="1" applyBorder="1" applyAlignment="1">
      <alignment horizontal="center" vertical="center" wrapText="1"/>
    </xf>
    <xf numFmtId="0" fontId="96" fillId="8" borderId="11" xfId="13" applyFont="1" applyFill="1" applyBorder="1" applyAlignment="1">
      <alignment horizontal="left" vertical="center" wrapText="1"/>
    </xf>
    <xf numFmtId="0" fontId="91" fillId="8" borderId="11" xfId="13" applyFont="1" applyFill="1" applyBorder="1" applyAlignment="1">
      <alignment horizontal="left" vertical="center" wrapText="1"/>
    </xf>
    <xf numFmtId="165" fontId="91" fillId="8" borderId="11" xfId="13" applyNumberFormat="1" applyFont="1" applyFill="1" applyBorder="1" applyAlignment="1">
      <alignment horizontal="center" vertical="center" wrapText="1"/>
    </xf>
    <xf numFmtId="0" fontId="91" fillId="8" borderId="11" xfId="13" applyFont="1" applyFill="1" applyBorder="1" applyAlignment="1">
      <alignment horizontal="center" vertical="center" wrapText="1"/>
    </xf>
    <xf numFmtId="0" fontId="91" fillId="8" borderId="11" xfId="13" applyFont="1" applyFill="1" applyBorder="1" applyAlignment="1" applyProtection="1">
      <alignment horizontal="center" vertical="center" wrapText="1"/>
    </xf>
    <xf numFmtId="0" fontId="97" fillId="8" borderId="11" xfId="8" applyFont="1" applyFill="1" applyBorder="1" applyAlignment="1" applyProtection="1">
      <alignment horizontal="center" vertical="center" wrapText="1"/>
    </xf>
    <xf numFmtId="0" fontId="86" fillId="8" borderId="11" xfId="0" applyFont="1" applyFill="1" applyBorder="1" applyAlignment="1">
      <alignment horizontal="left" wrapText="1"/>
    </xf>
    <xf numFmtId="0" fontId="86" fillId="14" borderId="11" xfId="0" applyFont="1" applyFill="1" applyBorder="1" applyAlignment="1">
      <alignment horizontal="left" vertical="top" wrapText="1"/>
    </xf>
    <xf numFmtId="166" fontId="84" fillId="8" borderId="11" xfId="0" applyNumberFormat="1" applyFont="1" applyFill="1" applyBorder="1" applyAlignment="1">
      <alignment horizontal="left" vertical="center" wrapText="1"/>
    </xf>
    <xf numFmtId="46" fontId="86" fillId="8" borderId="11" xfId="0" applyNumberFormat="1" applyFont="1" applyFill="1" applyBorder="1" applyAlignment="1">
      <alignment horizontal="center" vertical="top" wrapText="1"/>
    </xf>
    <xf numFmtId="166" fontId="86" fillId="8" borderId="11" xfId="0" applyNumberFormat="1" applyFont="1" applyFill="1" applyBorder="1" applyAlignment="1">
      <alignment horizontal="left" vertical="center" wrapText="1"/>
    </xf>
    <xf numFmtId="167" fontId="86" fillId="8" borderId="11" xfId="0" applyNumberFormat="1" applyFont="1" applyFill="1" applyBorder="1" applyAlignment="1">
      <alignment horizontal="left" vertical="center" wrapText="1"/>
    </xf>
    <xf numFmtId="166" fontId="86" fillId="14" borderId="11" xfId="0" applyNumberFormat="1" applyFont="1" applyFill="1" applyBorder="1" applyAlignment="1">
      <alignment horizontal="left" vertical="center" wrapText="1"/>
    </xf>
    <xf numFmtId="0" fontId="98" fillId="8" borderId="11" xfId="0" applyFont="1" applyFill="1" applyBorder="1" applyAlignment="1">
      <alignment horizontal="left" vertical="center" wrapText="1"/>
    </xf>
    <xf numFmtId="166" fontId="86" fillId="8" borderId="11" xfId="0" applyNumberFormat="1" applyFont="1" applyFill="1" applyBorder="1" applyAlignment="1">
      <alignment horizontal="center" vertical="center" wrapText="1"/>
    </xf>
    <xf numFmtId="166" fontId="86" fillId="11" borderId="11" xfId="0" applyNumberFormat="1" applyFont="1" applyFill="1" applyBorder="1" applyAlignment="1">
      <alignment horizontal="left" vertical="center" wrapText="1"/>
    </xf>
    <xf numFmtId="166" fontId="86" fillId="12" borderId="11" xfId="0" applyNumberFormat="1" applyFont="1" applyFill="1" applyBorder="1" applyAlignment="1">
      <alignment horizontal="left" vertical="center" wrapText="1"/>
    </xf>
    <xf numFmtId="166" fontId="84" fillId="11" borderId="11" xfId="11" applyNumberFormat="1" applyFont="1" applyFill="1" applyBorder="1" applyAlignment="1">
      <alignment horizontal="left" vertical="center" wrapText="1"/>
    </xf>
    <xf numFmtId="166" fontId="87" fillId="13" borderId="11" xfId="11" applyNumberFormat="1" applyFont="1" applyFill="1" applyBorder="1" applyAlignment="1">
      <alignment horizontal="left" vertical="center" wrapText="1"/>
    </xf>
    <xf numFmtId="2" fontId="86" fillId="8" borderId="11" xfId="0" applyNumberFormat="1" applyFont="1" applyFill="1" applyBorder="1" applyAlignment="1">
      <alignment horizontal="left" vertical="center" wrapText="1"/>
    </xf>
    <xf numFmtId="0" fontId="85" fillId="8" borderId="11" xfId="0" applyFont="1" applyFill="1" applyBorder="1" applyAlignment="1">
      <alignment horizontal="center" vertical="center"/>
    </xf>
    <xf numFmtId="0" fontId="93" fillId="8" borderId="11" xfId="0" applyFont="1" applyFill="1" applyBorder="1" applyAlignment="1">
      <alignment horizontal="left" vertical="center" wrapText="1"/>
    </xf>
    <xf numFmtId="4" fontId="86" fillId="8" borderId="11" xfId="0" applyNumberFormat="1" applyFont="1" applyFill="1" applyBorder="1" applyAlignment="1">
      <alignment horizontal="left" vertical="center" wrapText="1"/>
    </xf>
    <xf numFmtId="10" fontId="86" fillId="8" borderId="11" xfId="0" applyNumberFormat="1" applyFont="1" applyFill="1" applyBorder="1" applyAlignment="1">
      <alignment horizontal="left" vertical="center" wrapText="1"/>
    </xf>
    <xf numFmtId="10" fontId="86" fillId="14" borderId="11" xfId="0" applyNumberFormat="1" applyFont="1" applyFill="1" applyBorder="1" applyAlignment="1">
      <alignment horizontal="left" vertical="center" wrapText="1"/>
    </xf>
    <xf numFmtId="10" fontId="89" fillId="8" borderId="11" xfId="0" applyNumberFormat="1" applyFont="1" applyFill="1" applyBorder="1" applyAlignment="1">
      <alignment horizontal="left" vertical="center" wrapText="1"/>
    </xf>
    <xf numFmtId="10" fontId="86" fillId="8" borderId="11" xfId="0" applyNumberFormat="1" applyFont="1" applyFill="1" applyBorder="1" applyAlignment="1">
      <alignment horizontal="center" vertical="center" wrapText="1"/>
    </xf>
    <xf numFmtId="10" fontId="84" fillId="8" borderId="11" xfId="0" applyNumberFormat="1" applyFont="1" applyFill="1" applyBorder="1" applyAlignment="1">
      <alignment horizontal="left" vertical="center" wrapText="1"/>
    </xf>
    <xf numFmtId="10" fontId="86" fillId="11" borderId="11" xfId="0" applyNumberFormat="1" applyFont="1" applyFill="1" applyBorder="1" applyAlignment="1">
      <alignment horizontal="left" vertical="center" wrapText="1"/>
    </xf>
    <xf numFmtId="10" fontId="86" fillId="12" borderId="11" xfId="0" applyNumberFormat="1" applyFont="1" applyFill="1" applyBorder="1" applyAlignment="1">
      <alignment horizontal="left" vertical="center" wrapText="1"/>
    </xf>
    <xf numFmtId="189" fontId="84" fillId="11" borderId="11" xfId="11" applyNumberFormat="1" applyFont="1" applyFill="1" applyBorder="1" applyAlignment="1">
      <alignment horizontal="left" vertical="center" wrapText="1"/>
    </xf>
    <xf numFmtId="9" fontId="86" fillId="8" borderId="11" xfId="0" applyNumberFormat="1" applyFont="1" applyFill="1" applyBorder="1" applyAlignment="1">
      <alignment horizontal="left" vertical="center" wrapText="1"/>
    </xf>
    <xf numFmtId="174" fontId="84" fillId="8" borderId="11" xfId="0" applyNumberFormat="1" applyFont="1" applyFill="1" applyBorder="1" applyAlignment="1">
      <alignment horizontal="left" vertical="center" wrapText="1"/>
    </xf>
    <xf numFmtId="10" fontId="87" fillId="13" borderId="11" xfId="11" applyNumberFormat="1" applyFont="1" applyFill="1" applyBorder="1" applyAlignment="1">
      <alignment horizontal="left" vertical="center" wrapText="1"/>
    </xf>
    <xf numFmtId="174" fontId="86" fillId="8" borderId="11" xfId="0" applyNumberFormat="1" applyFont="1" applyFill="1" applyBorder="1" applyAlignment="1">
      <alignment horizontal="left" vertical="center" wrapText="1"/>
    </xf>
    <xf numFmtId="174" fontId="86" fillId="14" borderId="11" xfId="0" applyNumberFormat="1" applyFont="1" applyFill="1" applyBorder="1" applyAlignment="1">
      <alignment horizontal="left" vertical="center" wrapText="1"/>
    </xf>
    <xf numFmtId="4" fontId="86" fillId="14" borderId="11" xfId="0" applyNumberFormat="1" applyFont="1" applyFill="1" applyBorder="1" applyAlignment="1">
      <alignment horizontal="left" vertical="center" wrapText="1"/>
    </xf>
    <xf numFmtId="9" fontId="86" fillId="8" borderId="11" xfId="0" applyNumberFormat="1" applyFont="1" applyFill="1" applyBorder="1" applyAlignment="1">
      <alignment horizontal="center" vertical="center" wrapText="1"/>
    </xf>
    <xf numFmtId="10" fontId="86" fillId="8" borderId="11" xfId="3" applyNumberFormat="1" applyFont="1" applyFill="1" applyBorder="1" applyAlignment="1">
      <alignment horizontal="left" vertical="center" wrapText="1"/>
    </xf>
    <xf numFmtId="168" fontId="86" fillId="8" borderId="11" xfId="0" applyNumberFormat="1" applyFont="1" applyFill="1" applyBorder="1" applyAlignment="1">
      <alignment horizontal="center" vertical="center" wrapText="1"/>
    </xf>
    <xf numFmtId="169" fontId="86" fillId="8" borderId="11" xfId="0" applyNumberFormat="1" applyFont="1" applyFill="1" applyBorder="1" applyAlignment="1">
      <alignment horizontal="left" vertical="center" wrapText="1"/>
    </xf>
    <xf numFmtId="181" fontId="86" fillId="8" borderId="11" xfId="0" applyNumberFormat="1" applyFont="1" applyFill="1" applyBorder="1" applyAlignment="1">
      <alignment horizontal="left" vertical="center" wrapText="1"/>
    </xf>
    <xf numFmtId="10" fontId="85" fillId="8" borderId="11" xfId="0" applyNumberFormat="1" applyFont="1" applyFill="1" applyBorder="1" applyAlignment="1">
      <alignment horizontal="center" vertical="center" wrapText="1"/>
    </xf>
    <xf numFmtId="168" fontId="86" fillId="8" borderId="11" xfId="0" applyNumberFormat="1" applyFont="1" applyFill="1" applyBorder="1" applyAlignment="1">
      <alignment horizontal="left" vertical="center" wrapText="1"/>
    </xf>
    <xf numFmtId="2" fontId="89" fillId="8" borderId="11" xfId="0" applyNumberFormat="1" applyFont="1" applyFill="1" applyBorder="1" applyAlignment="1">
      <alignment horizontal="left" vertical="center" wrapText="1"/>
    </xf>
    <xf numFmtId="3" fontId="86" fillId="8" borderId="11" xfId="0" applyNumberFormat="1" applyFont="1" applyFill="1" applyBorder="1" applyAlignment="1">
      <alignment horizontal="left" vertical="center" wrapText="1"/>
    </xf>
    <xf numFmtId="166" fontId="86" fillId="15" borderId="11" xfId="0" applyNumberFormat="1" applyFont="1" applyFill="1" applyBorder="1" applyAlignment="1">
      <alignment horizontal="left" vertical="center" wrapText="1"/>
    </xf>
    <xf numFmtId="9" fontId="89" fillId="8" borderId="11" xfId="0" applyNumberFormat="1" applyFont="1" applyFill="1" applyBorder="1" applyAlignment="1">
      <alignment horizontal="left" vertical="center" wrapText="1"/>
    </xf>
    <xf numFmtId="10" fontId="86" fillId="15" borderId="11" xfId="0" applyNumberFormat="1" applyFont="1" applyFill="1" applyBorder="1" applyAlignment="1">
      <alignment horizontal="left" vertical="center" wrapText="1"/>
    </xf>
    <xf numFmtId="194" fontId="86" fillId="8" borderId="11" xfId="0" applyNumberFormat="1" applyFont="1" applyFill="1" applyBorder="1" applyAlignment="1">
      <alignment horizontal="left" vertical="center" wrapText="1"/>
    </xf>
    <xf numFmtId="0" fontId="89" fillId="8" borderId="11" xfId="0" applyFont="1" applyFill="1" applyBorder="1" applyAlignment="1">
      <alignment horizontal="left" vertical="center"/>
    </xf>
    <xf numFmtId="191" fontId="86" fillId="8" borderId="11" xfId="0" applyNumberFormat="1" applyFont="1" applyFill="1" applyBorder="1" applyAlignment="1">
      <alignment horizontal="center" vertical="center" wrapText="1"/>
    </xf>
    <xf numFmtId="167" fontId="84" fillId="8" borderId="11" xfId="0" applyNumberFormat="1" applyFont="1" applyFill="1" applyBorder="1" applyAlignment="1">
      <alignment horizontal="left" vertical="center" wrapText="1"/>
    </xf>
    <xf numFmtId="2" fontId="86" fillId="8" borderId="11" xfId="6" applyNumberFormat="1" applyFont="1" applyFill="1" applyBorder="1" applyAlignment="1">
      <alignment horizontal="left" vertical="center" wrapText="1"/>
    </xf>
    <xf numFmtId="193" fontId="86" fillId="8" borderId="11" xfId="0" applyNumberFormat="1" applyFont="1" applyFill="1" applyBorder="1" applyAlignment="1">
      <alignment horizontal="left" vertical="center" wrapText="1"/>
    </xf>
    <xf numFmtId="0" fontId="86" fillId="8" borderId="11" xfId="0" applyFont="1" applyFill="1" applyBorder="1" applyAlignment="1">
      <alignment horizontal="center" vertical="center"/>
    </xf>
    <xf numFmtId="168" fontId="86" fillId="8" borderId="11" xfId="3" applyNumberFormat="1" applyFont="1" applyFill="1" applyBorder="1" applyAlignment="1">
      <alignment horizontal="left" vertical="center" wrapText="1"/>
    </xf>
    <xf numFmtId="2" fontId="86" fillId="8" borderId="11" xfId="0" applyNumberFormat="1" applyFont="1" applyFill="1" applyBorder="1" applyAlignment="1">
      <alignment horizontal="center" vertical="center" wrapText="1"/>
    </xf>
    <xf numFmtId="170" fontId="86" fillId="8" borderId="11" xfId="0" applyNumberFormat="1" applyFont="1" applyFill="1" applyBorder="1" applyAlignment="1">
      <alignment horizontal="left" vertical="center" wrapText="1"/>
    </xf>
    <xf numFmtId="167" fontId="86" fillId="14" borderId="11" xfId="0" applyNumberFormat="1" applyFont="1" applyFill="1" applyBorder="1" applyAlignment="1">
      <alignment horizontal="left" vertical="center" wrapText="1"/>
    </xf>
    <xf numFmtId="167" fontId="86" fillId="8" borderId="11" xfId="0" applyNumberFormat="1" applyFont="1" applyFill="1" applyBorder="1" applyAlignment="1">
      <alignment horizontal="center" vertical="center" wrapText="1"/>
    </xf>
    <xf numFmtId="192" fontId="86" fillId="8" borderId="11" xfId="0" applyNumberFormat="1" applyFont="1" applyFill="1" applyBorder="1" applyAlignment="1">
      <alignment horizontal="left" vertical="center" wrapText="1"/>
    </xf>
    <xf numFmtId="166" fontId="86" fillId="8" borderId="11" xfId="0" applyNumberFormat="1" applyFont="1" applyFill="1" applyBorder="1" applyAlignment="1">
      <alignment horizontal="justify" vertical="center" wrapText="1"/>
    </xf>
    <xf numFmtId="3" fontId="86" fillId="14" borderId="11" xfId="0" applyNumberFormat="1" applyFont="1" applyFill="1" applyBorder="1" applyAlignment="1">
      <alignment horizontal="left" vertical="center" wrapText="1"/>
    </xf>
    <xf numFmtId="3" fontId="86" fillId="8" borderId="11" xfId="0" applyNumberFormat="1" applyFont="1" applyFill="1" applyBorder="1" applyAlignment="1">
      <alignment horizontal="center" vertical="center" wrapText="1"/>
    </xf>
    <xf numFmtId="3" fontId="84" fillId="8" borderId="11" xfId="0" applyNumberFormat="1" applyFont="1" applyFill="1" applyBorder="1" applyAlignment="1">
      <alignment horizontal="left" vertical="center" wrapText="1"/>
    </xf>
    <xf numFmtId="3" fontId="86" fillId="11" borderId="11" xfId="0" applyNumberFormat="1" applyFont="1" applyFill="1" applyBorder="1" applyAlignment="1">
      <alignment horizontal="left" vertical="center" wrapText="1"/>
    </xf>
    <xf numFmtId="3" fontId="86" fillId="12" borderId="11" xfId="0" applyNumberFormat="1" applyFont="1" applyFill="1" applyBorder="1" applyAlignment="1">
      <alignment horizontal="left" vertical="center" wrapText="1"/>
    </xf>
    <xf numFmtId="190" fontId="84" fillId="11" borderId="11" xfId="11" applyNumberFormat="1" applyFont="1" applyFill="1" applyBorder="1" applyAlignment="1">
      <alignment horizontal="left" vertical="center" wrapText="1"/>
    </xf>
    <xf numFmtId="3" fontId="87" fillId="13" borderId="11" xfId="11" applyNumberFormat="1" applyFont="1" applyFill="1" applyBorder="1" applyAlignment="1">
      <alignment horizontal="left" vertical="center" wrapText="1"/>
    </xf>
    <xf numFmtId="3" fontId="86" fillId="15" borderId="11" xfId="0" applyNumberFormat="1" applyFont="1" applyFill="1" applyBorder="1" applyAlignment="1">
      <alignment horizontal="left" vertical="center" wrapText="1"/>
    </xf>
    <xf numFmtId="3" fontId="85" fillId="8" borderId="11" xfId="0" applyNumberFormat="1" applyFont="1" applyFill="1" applyBorder="1" applyAlignment="1">
      <alignment horizontal="center" vertical="center" wrapText="1"/>
    </xf>
    <xf numFmtId="183" fontId="86" fillId="14" borderId="11" xfId="0" applyNumberFormat="1" applyFont="1" applyFill="1" applyBorder="1" applyAlignment="1">
      <alignment horizontal="left" vertical="center" wrapText="1"/>
    </xf>
    <xf numFmtId="3" fontId="88" fillId="8" borderId="11" xfId="0" applyNumberFormat="1" applyFont="1" applyFill="1" applyBorder="1" applyAlignment="1">
      <alignment horizontal="left" vertical="center" wrapText="1"/>
    </xf>
    <xf numFmtId="3" fontId="88" fillId="14" borderId="11" xfId="0" applyNumberFormat="1" applyFont="1" applyFill="1" applyBorder="1" applyAlignment="1">
      <alignment horizontal="left" vertical="center" wrapText="1"/>
    </xf>
    <xf numFmtId="3" fontId="88" fillId="8" borderId="11" xfId="0" applyNumberFormat="1" applyFont="1" applyFill="1" applyBorder="1" applyAlignment="1">
      <alignment horizontal="center" vertical="center" wrapText="1"/>
    </xf>
    <xf numFmtId="3" fontId="88" fillId="11" borderId="11" xfId="0" applyNumberFormat="1" applyFont="1" applyFill="1" applyBorder="1" applyAlignment="1">
      <alignment horizontal="left" vertical="center" wrapText="1"/>
    </xf>
    <xf numFmtId="3" fontId="88" fillId="12" borderId="11" xfId="0" applyNumberFormat="1" applyFont="1" applyFill="1" applyBorder="1" applyAlignment="1">
      <alignment horizontal="left" vertical="center" wrapText="1"/>
    </xf>
    <xf numFmtId="190" fontId="90" fillId="11" borderId="11" xfId="11" applyNumberFormat="1" applyFont="1" applyFill="1" applyBorder="1" applyAlignment="1">
      <alignment horizontal="left" vertical="center" wrapText="1"/>
    </xf>
    <xf numFmtId="3" fontId="99" fillId="13" borderId="11" xfId="11" applyNumberFormat="1" applyFont="1" applyFill="1" applyBorder="1" applyAlignment="1">
      <alignment horizontal="left" vertical="center" wrapText="1"/>
    </xf>
    <xf numFmtId="3" fontId="90" fillId="8" borderId="11" xfId="0" applyNumberFormat="1" applyFont="1" applyFill="1" applyBorder="1" applyAlignment="1">
      <alignment horizontal="left" vertical="center" wrapText="1"/>
    </xf>
    <xf numFmtId="0" fontId="84" fillId="14" borderId="11" xfId="0" applyFont="1" applyFill="1" applyBorder="1" applyAlignment="1">
      <alignment horizontal="left" vertical="top" wrapText="1"/>
    </xf>
    <xf numFmtId="0" fontId="85" fillId="14" borderId="11" xfId="0" applyFont="1" applyFill="1" applyBorder="1" applyAlignment="1">
      <alignment horizontal="left" vertical="top" wrapText="1"/>
    </xf>
    <xf numFmtId="9" fontId="84" fillId="8" borderId="11" xfId="0" applyNumberFormat="1" applyFont="1" applyFill="1" applyBorder="1" applyAlignment="1">
      <alignment horizontal="left" vertical="center" wrapText="1"/>
    </xf>
    <xf numFmtId="174" fontId="86" fillId="8" borderId="11" xfId="3" applyNumberFormat="1" applyFont="1" applyFill="1" applyBorder="1" applyAlignment="1">
      <alignment horizontal="left" vertical="center" wrapText="1"/>
    </xf>
    <xf numFmtId="10" fontId="86" fillId="8" borderId="11" xfId="1" applyNumberFormat="1" applyFont="1" applyFill="1" applyBorder="1" applyAlignment="1" applyProtection="1">
      <alignment horizontal="left" vertical="center" wrapText="1"/>
    </xf>
    <xf numFmtId="9" fontId="86" fillId="14" borderId="11" xfId="0" applyNumberFormat="1" applyFont="1" applyFill="1" applyBorder="1" applyAlignment="1">
      <alignment horizontal="left" vertical="center" wrapText="1"/>
    </xf>
    <xf numFmtId="174" fontId="86" fillId="8" borderId="11" xfId="0" applyNumberFormat="1" applyFont="1" applyFill="1" applyBorder="1" applyAlignment="1">
      <alignment horizontal="center" vertical="center" wrapText="1"/>
    </xf>
    <xf numFmtId="184" fontId="86" fillId="14" borderId="11" xfId="0" applyNumberFormat="1" applyFont="1" applyFill="1" applyBorder="1" applyAlignment="1">
      <alignment horizontal="left" vertical="center" wrapText="1"/>
    </xf>
    <xf numFmtId="10" fontId="93" fillId="8" borderId="11" xfId="1" applyNumberFormat="1" applyFont="1" applyFill="1" applyBorder="1" applyAlignment="1">
      <alignment horizontal="left" vertical="center" wrapText="1"/>
    </xf>
    <xf numFmtId="166" fontId="100" fillId="8" borderId="11" xfId="16" applyNumberFormat="1" applyFont="1" applyFill="1" applyBorder="1" applyAlignment="1">
      <alignment horizontal="left" vertical="center" wrapText="1"/>
    </xf>
    <xf numFmtId="0" fontId="86" fillId="8" borderId="11" xfId="3" applyNumberFormat="1" applyFont="1" applyFill="1" applyBorder="1" applyAlignment="1" applyProtection="1">
      <alignment horizontal="left" vertical="center" wrapText="1"/>
    </xf>
    <xf numFmtId="166" fontId="86" fillId="16" borderId="11" xfId="0" applyNumberFormat="1" applyFont="1" applyFill="1" applyBorder="1" applyAlignment="1">
      <alignment horizontal="left" vertical="center" wrapText="1"/>
    </xf>
    <xf numFmtId="166" fontId="85" fillId="8" borderId="11" xfId="0" applyNumberFormat="1" applyFont="1" applyFill="1" applyBorder="1" applyAlignment="1">
      <alignment horizontal="center" vertical="center" wrapText="1"/>
    </xf>
    <xf numFmtId="10" fontId="91" fillId="8" borderId="11" xfId="1" applyNumberFormat="1" applyFont="1" applyFill="1" applyBorder="1" applyAlignment="1">
      <alignment horizontal="left" vertical="center" wrapText="1"/>
    </xf>
    <xf numFmtId="10" fontId="91" fillId="8" borderId="11" xfId="1" applyNumberFormat="1" applyFont="1" applyFill="1" applyBorder="1" applyAlignment="1" applyProtection="1">
      <alignment horizontal="left" vertical="center" wrapText="1"/>
    </xf>
    <xf numFmtId="10" fontId="91" fillId="8" borderId="11" xfId="8" applyNumberFormat="1" applyFont="1" applyFill="1" applyBorder="1" applyAlignment="1" applyProtection="1">
      <alignment horizontal="left" vertical="center" wrapText="1"/>
    </xf>
    <xf numFmtId="10" fontId="91" fillId="8" borderId="11" xfId="1" quotePrefix="1" applyNumberFormat="1" applyFont="1" applyFill="1" applyBorder="1" applyAlignment="1">
      <alignment horizontal="left" vertical="center" wrapText="1"/>
    </xf>
    <xf numFmtId="166" fontId="91" fillId="8" borderId="11" xfId="8" applyNumberFormat="1" applyFont="1" applyFill="1" applyBorder="1" applyAlignment="1" applyProtection="1">
      <alignment horizontal="left" vertical="center" wrapText="1"/>
    </xf>
    <xf numFmtId="10" fontId="92" fillId="14" borderId="11" xfId="0" applyNumberFormat="1" applyFont="1" applyFill="1" applyBorder="1" applyAlignment="1">
      <alignment horizontal="left" vertical="center" wrapText="1"/>
    </xf>
    <xf numFmtId="10" fontId="91" fillId="8" borderId="11" xfId="5" applyNumberFormat="1" applyFont="1" applyFill="1" applyBorder="1" applyAlignment="1">
      <alignment horizontal="left" vertical="center" wrapText="1"/>
    </xf>
    <xf numFmtId="10" fontId="91" fillId="8" borderId="11" xfId="5" applyNumberFormat="1" applyFont="1" applyFill="1" applyBorder="1" applyAlignment="1">
      <alignment horizontal="center" vertical="center" wrapText="1"/>
    </xf>
    <xf numFmtId="10" fontId="91" fillId="8" borderId="11" xfId="9" applyNumberFormat="1" applyFont="1" applyFill="1" applyBorder="1" applyAlignment="1" applyProtection="1">
      <alignment horizontal="center" vertical="center" wrapText="1"/>
    </xf>
    <xf numFmtId="10" fontId="91" fillId="8" borderId="11" xfId="10" applyNumberFormat="1" applyFont="1" applyFill="1" applyBorder="1" applyAlignment="1" applyProtection="1">
      <alignment horizontal="center" vertical="center" wrapText="1"/>
    </xf>
    <xf numFmtId="10" fontId="91" fillId="8" borderId="11" xfId="9" applyNumberFormat="1" applyFont="1" applyFill="1" applyBorder="1" applyAlignment="1" applyProtection="1">
      <alignment horizontal="left" vertical="center" wrapText="1"/>
    </xf>
    <xf numFmtId="3" fontId="91" fillId="8" borderId="11" xfId="1" applyNumberFormat="1" applyFont="1" applyFill="1" applyBorder="1" applyAlignment="1">
      <alignment horizontal="left" vertical="center" wrapText="1"/>
    </xf>
    <xf numFmtId="10" fontId="91" fillId="11" borderId="11" xfId="1" applyNumberFormat="1" applyFont="1" applyFill="1" applyBorder="1" applyAlignment="1">
      <alignment horizontal="left" vertical="center" wrapText="1"/>
    </xf>
    <xf numFmtId="0" fontId="91" fillId="8" borderId="11" xfId="8" applyFont="1" applyFill="1" applyBorder="1" applyAlignment="1" applyProtection="1">
      <alignment vertical="center" wrapText="1"/>
    </xf>
    <xf numFmtId="10" fontId="91" fillId="14" borderId="11" xfId="1" applyNumberFormat="1" applyFont="1" applyFill="1" applyBorder="1" applyAlignment="1">
      <alignment horizontal="left" vertical="center" wrapText="1"/>
    </xf>
    <xf numFmtId="0" fontId="101" fillId="8" borderId="11" xfId="0" applyFont="1" applyFill="1" applyBorder="1"/>
    <xf numFmtId="166" fontId="91" fillId="8" borderId="11" xfId="1" applyNumberFormat="1" applyFont="1" applyFill="1" applyBorder="1" applyAlignment="1">
      <alignment horizontal="left" vertical="center" wrapText="1"/>
    </xf>
    <xf numFmtId="10" fontId="91" fillId="8" borderId="11" xfId="1" applyNumberFormat="1" applyFont="1" applyFill="1" applyBorder="1" applyAlignment="1">
      <alignment horizontal="center" vertical="center" wrapText="1"/>
    </xf>
    <xf numFmtId="10" fontId="91" fillId="8" borderId="11" xfId="5" applyNumberFormat="1" applyFont="1" applyFill="1" applyBorder="1" applyAlignment="1" applyProtection="1">
      <alignment horizontal="left" vertical="center" wrapText="1"/>
    </xf>
    <xf numFmtId="10" fontId="91" fillId="16" borderId="11" xfId="0" applyNumberFormat="1" applyFont="1" applyFill="1" applyBorder="1" applyAlignment="1">
      <alignment horizontal="left" vertical="center" wrapText="1"/>
    </xf>
    <xf numFmtId="10" fontId="91" fillId="8" borderId="11" xfId="13" applyNumberFormat="1" applyFont="1" applyFill="1" applyBorder="1" applyAlignment="1">
      <alignment horizontal="left" vertical="center" wrapText="1"/>
    </xf>
    <xf numFmtId="10" fontId="91" fillId="8" borderId="11" xfId="8" applyNumberFormat="1" applyFont="1" applyFill="1" applyBorder="1" applyAlignment="1" applyProtection="1">
      <alignment horizontal="center" vertical="center" wrapText="1"/>
    </xf>
    <xf numFmtId="10" fontId="97" fillId="8" borderId="11" xfId="8" applyNumberFormat="1" applyFont="1" applyFill="1" applyBorder="1" applyAlignment="1" applyProtection="1">
      <alignment horizontal="center" vertical="center" wrapText="1"/>
    </xf>
    <xf numFmtId="3" fontId="84" fillId="8" borderId="11" xfId="0" applyNumberFormat="1" applyFont="1" applyFill="1" applyBorder="1" applyAlignment="1">
      <alignment horizontal="center" vertical="center" wrapText="1"/>
    </xf>
    <xf numFmtId="3" fontId="102" fillId="8" borderId="11" xfId="0" applyNumberFormat="1" applyFont="1" applyFill="1" applyBorder="1" applyAlignment="1">
      <alignment horizontal="left" vertical="center" wrapText="1"/>
    </xf>
    <xf numFmtId="0" fontId="85" fillId="8" borderId="11" xfId="0" applyFont="1" applyFill="1" applyBorder="1" applyAlignment="1">
      <alignment horizontal="center"/>
    </xf>
    <xf numFmtId="0" fontId="86" fillId="14" borderId="11" xfId="1" applyFont="1" applyFill="1" applyBorder="1" applyAlignment="1">
      <alignment horizontal="left" vertical="center" wrapText="1"/>
    </xf>
    <xf numFmtId="0" fontId="86" fillId="8" borderId="11" xfId="8" applyFont="1" applyFill="1" applyBorder="1" applyAlignment="1" applyProtection="1">
      <alignment horizontal="center" vertical="center" wrapText="1"/>
    </xf>
    <xf numFmtId="3" fontId="86" fillId="8" borderId="11" xfId="0" quotePrefix="1" applyNumberFormat="1" applyFont="1" applyFill="1" applyBorder="1" applyAlignment="1">
      <alignment horizontal="left" vertical="center" wrapText="1"/>
    </xf>
    <xf numFmtId="0" fontId="84" fillId="8" borderId="11" xfId="0" applyFont="1" applyFill="1" applyBorder="1" applyAlignment="1">
      <alignment horizontal="justify" vertical="center" wrapText="1"/>
    </xf>
    <xf numFmtId="0" fontId="85" fillId="8" borderId="11" xfId="0" applyFont="1" applyFill="1" applyBorder="1" applyAlignment="1">
      <alignment horizontal="left" vertical="top" wrapText="1"/>
    </xf>
    <xf numFmtId="49" fontId="84" fillId="11" borderId="11" xfId="11" applyNumberFormat="1" applyFont="1" applyFill="1" applyBorder="1" applyAlignment="1">
      <alignment horizontal="left" vertical="center" wrapText="1"/>
    </xf>
    <xf numFmtId="0" fontId="102" fillId="8" borderId="11" xfId="0" applyFont="1" applyFill="1" applyBorder="1" applyAlignment="1">
      <alignment horizontal="left" vertical="center" wrapText="1"/>
    </xf>
    <xf numFmtId="0" fontId="96" fillId="8" borderId="11" xfId="1" applyFont="1" applyFill="1" applyBorder="1" applyAlignment="1">
      <alignment horizontal="left" vertical="center" wrapText="1"/>
    </xf>
    <xf numFmtId="0" fontId="93" fillId="8" borderId="11" xfId="1" applyFont="1" applyFill="1" applyBorder="1" applyAlignment="1" applyProtection="1">
      <alignment wrapText="1"/>
    </xf>
    <xf numFmtId="0" fontId="86" fillId="8" borderId="11" xfId="1" applyFont="1" applyFill="1" applyBorder="1" applyAlignment="1">
      <alignment horizontal="left" vertical="center" wrapText="1"/>
    </xf>
    <xf numFmtId="49" fontId="91" fillId="8" borderId="11" xfId="1" applyNumberFormat="1" applyFont="1" applyFill="1" applyBorder="1" applyAlignment="1">
      <alignment horizontal="left" vertical="center" wrapText="1"/>
    </xf>
    <xf numFmtId="0" fontId="85" fillId="8" borderId="11" xfId="0" applyFont="1" applyFill="1" applyBorder="1" applyAlignment="1">
      <alignment horizontal="left" vertical="center"/>
    </xf>
    <xf numFmtId="0" fontId="85" fillId="8" borderId="11" xfId="8" applyFont="1" applyFill="1" applyBorder="1" applyAlignment="1" applyProtection="1">
      <alignment horizontal="center" vertical="center" wrapText="1"/>
    </xf>
    <xf numFmtId="3" fontId="86" fillId="8" borderId="11" xfId="1" applyNumberFormat="1" applyFont="1" applyFill="1" applyBorder="1" applyAlignment="1">
      <alignment horizontal="left" vertical="center" wrapText="1"/>
    </xf>
    <xf numFmtId="3" fontId="91" fillId="8" borderId="11" xfId="8" applyNumberFormat="1" applyFont="1" applyFill="1" applyBorder="1" applyAlignment="1" applyProtection="1">
      <alignment horizontal="left" vertical="center" wrapText="1"/>
    </xf>
    <xf numFmtId="3" fontId="91" fillId="8" borderId="11" xfId="1" applyNumberFormat="1" applyFont="1" applyFill="1" applyBorder="1" applyAlignment="1" applyProtection="1">
      <alignment horizontal="left" vertical="center" wrapText="1"/>
    </xf>
    <xf numFmtId="3" fontId="91" fillId="14" borderId="11" xfId="1" applyNumberFormat="1" applyFont="1" applyFill="1" applyBorder="1" applyAlignment="1">
      <alignment horizontal="left" vertical="center" wrapText="1"/>
    </xf>
    <xf numFmtId="3" fontId="91" fillId="8" borderId="11" xfId="8" applyNumberFormat="1" applyFont="1" applyFill="1" applyBorder="1" applyAlignment="1" applyProtection="1">
      <alignment horizontal="center" vertical="center" wrapText="1"/>
    </xf>
    <xf numFmtId="0" fontId="94" fillId="13" borderId="11" xfId="12" applyFont="1" applyFill="1" applyBorder="1" applyAlignment="1">
      <alignment horizontal="left" vertical="center" wrapText="1"/>
    </xf>
    <xf numFmtId="0" fontId="91" fillId="14" borderId="11" xfId="8" applyFont="1" applyFill="1" applyBorder="1" applyAlignment="1" applyProtection="1">
      <alignment horizontal="left" vertical="center" wrapText="1"/>
    </xf>
    <xf numFmtId="0" fontId="103" fillId="14" borderId="11" xfId="1" applyFont="1" applyFill="1" applyBorder="1" applyAlignment="1" applyProtection="1">
      <alignment horizontal="left" vertical="center" wrapText="1"/>
    </xf>
    <xf numFmtId="0" fontId="91" fillId="8" borderId="11" xfId="1" applyFont="1" applyFill="1" applyBorder="1" applyAlignment="1">
      <alignment wrapText="1"/>
    </xf>
    <xf numFmtId="0" fontId="86" fillId="8" borderId="11" xfId="1" applyFont="1" applyFill="1" applyBorder="1" applyAlignment="1" applyProtection="1">
      <alignment horizontal="left" vertical="top" wrapText="1"/>
    </xf>
    <xf numFmtId="49" fontId="34" fillId="48" borderId="1" xfId="0" applyNumberFormat="1" applyFont="1" applyFill="1" applyBorder="1" applyAlignment="1">
      <alignment horizontal="center" vertical="center" wrapText="1"/>
    </xf>
    <xf numFmtId="0" fontId="34" fillId="48" borderId="1" xfId="0" applyFont="1" applyFill="1" applyBorder="1" applyAlignment="1">
      <alignment horizontal="center" vertical="center" wrapText="1"/>
    </xf>
    <xf numFmtId="49" fontId="34" fillId="48" borderId="21" xfId="0" applyNumberFormat="1" applyFont="1" applyFill="1" applyBorder="1" applyAlignment="1">
      <alignment horizontal="center" vertical="center" wrapText="1"/>
    </xf>
    <xf numFmtId="0" fontId="34" fillId="48" borderId="29" xfId="0" applyFont="1" applyFill="1" applyBorder="1" applyAlignment="1">
      <alignment horizontal="center" vertical="center" wrapText="1"/>
    </xf>
    <xf numFmtId="0" fontId="34" fillId="48" borderId="66" xfId="0" applyFont="1" applyFill="1" applyBorder="1" applyAlignment="1">
      <alignment horizontal="center" vertical="center" wrapText="1"/>
    </xf>
    <xf numFmtId="0" fontId="82" fillId="48" borderId="11" xfId="0" applyFont="1" applyFill="1" applyBorder="1" applyAlignment="1">
      <alignment horizontal="center" vertical="center" wrapText="1"/>
    </xf>
    <xf numFmtId="0" fontId="83" fillId="48" borderId="11" xfId="0" applyFont="1" applyFill="1" applyBorder="1" applyAlignment="1">
      <alignment horizontal="center" vertical="center" wrapText="1"/>
    </xf>
    <xf numFmtId="0" fontId="67" fillId="48" borderId="8" xfId="0" applyFont="1" applyFill="1" applyBorder="1" applyAlignment="1">
      <alignment horizontal="center" vertical="center" wrapText="1"/>
    </xf>
    <xf numFmtId="0" fontId="68" fillId="49" borderId="0" xfId="0" applyFont="1" applyFill="1"/>
    <xf numFmtId="0" fontId="10" fillId="0" borderId="11" xfId="0"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49" fontId="10" fillId="9" borderId="11" xfId="0" applyNumberFormat="1" applyFont="1" applyFill="1" applyBorder="1" applyAlignment="1">
      <alignment horizontal="center" vertical="center" wrapText="1"/>
    </xf>
    <xf numFmtId="49" fontId="10" fillId="0" borderId="11" xfId="0" applyNumberFormat="1" applyFont="1" applyBorder="1" applyAlignment="1">
      <alignment horizontal="center" vertical="center" wrapText="1"/>
    </xf>
    <xf numFmtId="49" fontId="10" fillId="8" borderId="11" xfId="0" applyNumberFormat="1" applyFont="1" applyFill="1" applyBorder="1" applyAlignment="1">
      <alignment horizontal="center" vertical="center" wrapText="1"/>
    </xf>
    <xf numFmtId="0" fontId="10" fillId="0" borderId="11" xfId="0" applyFont="1" applyBorder="1" applyAlignment="1">
      <alignment horizontal="center" vertical="center"/>
    </xf>
    <xf numFmtId="1" fontId="10" fillId="0" borderId="11" xfId="0" applyNumberFormat="1" applyFont="1" applyFill="1" applyBorder="1" applyAlignment="1">
      <alignment horizontal="center" vertical="center" wrapText="1"/>
    </xf>
    <xf numFmtId="0" fontId="35" fillId="0" borderId="11" xfId="0" applyFont="1" applyBorder="1" applyAlignment="1">
      <alignment horizontal="center" vertical="center" wrapText="1"/>
    </xf>
    <xf numFmtId="165" fontId="13" fillId="3" borderId="11" xfId="0" applyNumberFormat="1" applyFont="1" applyFill="1" applyBorder="1" applyAlignment="1">
      <alignment horizontal="center" vertical="center" wrapText="1"/>
    </xf>
    <xf numFmtId="165" fontId="9" fillId="3" borderId="11" xfId="0" applyNumberFormat="1" applyFont="1" applyFill="1" applyBorder="1" applyAlignment="1">
      <alignment horizontal="center" vertical="center" wrapText="1"/>
    </xf>
    <xf numFmtId="14" fontId="9" fillId="3" borderId="11" xfId="0" applyNumberFormat="1" applyFont="1" applyFill="1" applyBorder="1" applyAlignment="1">
      <alignment horizontal="center" vertical="center" wrapText="1"/>
    </xf>
    <xf numFmtId="3" fontId="10" fillId="38" borderId="11" xfId="0" applyNumberFormat="1" applyFont="1" applyFill="1" applyBorder="1" applyAlignment="1">
      <alignment horizontal="center" vertical="center" wrapText="1"/>
    </xf>
    <xf numFmtId="14" fontId="13" fillId="3" borderId="11" xfId="0" applyNumberFormat="1" applyFont="1" applyFill="1" applyBorder="1" applyAlignment="1">
      <alignment horizontal="center" vertical="center"/>
    </xf>
    <xf numFmtId="173" fontId="10" fillId="3" borderId="11" xfId="0" applyNumberFormat="1" applyFont="1" applyFill="1" applyBorder="1" applyAlignment="1">
      <alignment horizontal="center" vertical="center" wrapText="1"/>
    </xf>
    <xf numFmtId="179" fontId="10" fillId="5" borderId="11" xfId="0" applyNumberFormat="1" applyFont="1" applyFill="1" applyBorder="1" applyAlignment="1">
      <alignment horizontal="center" vertical="center" wrapText="1"/>
    </xf>
    <xf numFmtId="165" fontId="10" fillId="3" borderId="11" xfId="4" applyNumberFormat="1" applyFont="1" applyFill="1" applyBorder="1" applyAlignment="1">
      <alignment horizontal="center" vertical="center" wrapText="1"/>
    </xf>
    <xf numFmtId="0" fontId="14" fillId="0" borderId="11" xfId="0" applyFont="1" applyBorder="1" applyAlignment="1">
      <alignment horizontal="center" vertical="center"/>
    </xf>
    <xf numFmtId="0" fontId="9" fillId="8" borderId="11" xfId="0" applyFont="1" applyFill="1" applyBorder="1" applyAlignment="1">
      <alignment horizontal="center" vertical="center" wrapText="1"/>
    </xf>
    <xf numFmtId="165" fontId="10" fillId="8" borderId="11" xfId="0" applyNumberFormat="1" applyFont="1" applyFill="1" applyBorder="1" applyAlignment="1">
      <alignment horizontal="center" vertical="center" wrapText="1"/>
    </xf>
    <xf numFmtId="171" fontId="10" fillId="8" borderId="11" xfId="0" applyNumberFormat="1" applyFont="1" applyFill="1" applyBorder="1" applyAlignment="1">
      <alignment horizontal="center" vertical="center" wrapText="1"/>
    </xf>
    <xf numFmtId="0" fontId="11" fillId="8" borderId="11" xfId="1" applyFont="1" applyFill="1" applyBorder="1" applyAlignment="1">
      <alignment horizontal="center" vertical="center"/>
    </xf>
    <xf numFmtId="14" fontId="10" fillId="8" borderId="11" xfId="0" applyNumberFormat="1" applyFont="1" applyFill="1" applyBorder="1" applyAlignment="1">
      <alignment horizontal="center" vertical="center" wrapText="1"/>
    </xf>
    <xf numFmtId="0" fontId="10" fillId="8" borderId="11" xfId="0" applyFont="1" applyFill="1" applyBorder="1" applyAlignment="1">
      <alignment horizontal="center" vertical="center" wrapText="1"/>
    </xf>
    <xf numFmtId="1" fontId="10" fillId="8" borderId="11" xfId="0" applyNumberFormat="1" applyFont="1" applyFill="1" applyBorder="1" applyAlignment="1">
      <alignment horizontal="center" vertical="center" wrapText="1"/>
    </xf>
    <xf numFmtId="0" fontId="11" fillId="8" borderId="11" xfId="5" applyFont="1" applyFill="1" applyBorder="1" applyAlignment="1">
      <alignment horizontal="center" vertical="center" wrapText="1"/>
    </xf>
    <xf numFmtId="168" fontId="10" fillId="8" borderId="11" xfId="0" applyNumberFormat="1" applyFont="1" applyFill="1" applyBorder="1" applyAlignment="1">
      <alignment horizontal="center" vertical="center" wrapText="1"/>
    </xf>
    <xf numFmtId="166" fontId="10" fillId="8" borderId="11" xfId="0" applyNumberFormat="1" applyFont="1" applyFill="1" applyBorder="1" applyAlignment="1">
      <alignment horizontal="center" vertical="center" wrapText="1"/>
    </xf>
    <xf numFmtId="10" fontId="10" fillId="8" borderId="11" xfId="0" applyNumberFormat="1" applyFont="1" applyFill="1" applyBorder="1" applyAlignment="1">
      <alignment horizontal="center" vertical="center" wrapText="1"/>
    </xf>
    <xf numFmtId="3" fontId="10" fillId="8" borderId="11" xfId="0" applyNumberFormat="1" applyFont="1" applyFill="1" applyBorder="1" applyAlignment="1">
      <alignment horizontal="center" vertical="center" wrapText="1"/>
    </xf>
    <xf numFmtId="2" fontId="10" fillId="8" borderId="11" xfId="0" applyNumberFormat="1" applyFont="1" applyFill="1" applyBorder="1" applyAlignment="1">
      <alignment horizontal="center" vertical="center" wrapText="1"/>
    </xf>
    <xf numFmtId="3" fontId="12" fillId="8" borderId="11" xfId="0" applyNumberFormat="1" applyFont="1" applyFill="1" applyBorder="1" applyAlignment="1">
      <alignment horizontal="center" vertical="center" wrapText="1"/>
    </xf>
    <xf numFmtId="10" fontId="11" fillId="8" borderId="11" xfId="5" applyNumberFormat="1" applyFont="1" applyFill="1" applyBorder="1" applyAlignment="1">
      <alignment horizontal="center" vertical="center" wrapText="1"/>
    </xf>
    <xf numFmtId="0" fontId="11" fillId="8" borderId="11" xfId="10" applyFont="1" applyFill="1" applyBorder="1" applyAlignment="1" applyProtection="1">
      <alignment horizontal="center" vertical="center" wrapText="1"/>
    </xf>
    <xf numFmtId="0" fontId="11" fillId="8" borderId="11" xfId="9" applyFont="1" applyFill="1" applyBorder="1" applyAlignment="1" applyProtection="1">
      <alignment horizontal="center" vertical="center" wrapText="1"/>
    </xf>
    <xf numFmtId="10" fontId="11" fillId="8" borderId="11" xfId="9" applyNumberFormat="1" applyFont="1" applyFill="1" applyBorder="1" applyAlignment="1" applyProtection="1">
      <alignment horizontal="center" vertical="center" wrapText="1"/>
    </xf>
    <xf numFmtId="1" fontId="9" fillId="8" borderId="11" xfId="0" applyNumberFormat="1" applyFont="1" applyFill="1" applyBorder="1" applyAlignment="1">
      <alignment horizontal="center" vertical="center" wrapText="1"/>
    </xf>
    <xf numFmtId="14" fontId="9" fillId="8" borderId="11" xfId="0" applyNumberFormat="1" applyFont="1" applyFill="1" applyBorder="1" applyAlignment="1">
      <alignment horizontal="center" vertical="center" wrapText="1"/>
    </xf>
    <xf numFmtId="10" fontId="11" fillId="8" borderId="11" xfId="10" applyNumberFormat="1" applyFont="1" applyFill="1" applyBorder="1" applyAlignment="1" applyProtection="1">
      <alignment horizontal="center" vertical="center" wrapText="1"/>
    </xf>
    <xf numFmtId="165" fontId="9" fillId="8" borderId="11" xfId="0" applyNumberFormat="1" applyFont="1" applyFill="1" applyBorder="1" applyAlignment="1">
      <alignment horizontal="center" vertical="center" wrapText="1"/>
    </xf>
    <xf numFmtId="9" fontId="10" fillId="8" borderId="11" xfId="0" applyNumberFormat="1" applyFont="1" applyFill="1" applyBorder="1" applyAlignment="1">
      <alignment horizontal="center" vertical="center" wrapText="1"/>
    </xf>
    <xf numFmtId="0" fontId="11" fillId="8" borderId="11" xfId="1" applyFont="1" applyFill="1" applyBorder="1" applyAlignment="1">
      <alignment horizontal="center" vertical="center" wrapText="1"/>
    </xf>
    <xf numFmtId="185" fontId="10" fillId="11" borderId="11" xfId="0" applyNumberFormat="1" applyFont="1" applyFill="1" applyBorder="1" applyAlignment="1">
      <alignment horizontal="center" vertical="center" wrapText="1"/>
    </xf>
    <xf numFmtId="191" fontId="10" fillId="8" borderId="11" xfId="0" applyNumberFormat="1" applyFont="1" applyFill="1" applyBorder="1" applyAlignment="1">
      <alignment horizontal="center" vertical="center" wrapText="1"/>
    </xf>
    <xf numFmtId="3" fontId="9" fillId="8" borderId="11" xfId="0" applyNumberFormat="1" applyFont="1" applyFill="1" applyBorder="1" applyAlignment="1">
      <alignment horizontal="center" vertical="center" wrapText="1"/>
    </xf>
    <xf numFmtId="0" fontId="11" fillId="8" borderId="11" xfId="8" applyFont="1" applyFill="1" applyBorder="1" applyAlignment="1" applyProtection="1">
      <alignment horizontal="center" vertical="center" wrapText="1"/>
    </xf>
    <xf numFmtId="171" fontId="37" fillId="13" borderId="11" xfId="11" applyNumberFormat="1" applyFont="1" applyFill="1" applyBorder="1" applyAlignment="1">
      <alignment horizontal="center" vertical="center" wrapText="1"/>
    </xf>
    <xf numFmtId="14" fontId="10" fillId="14" borderId="11" xfId="0" applyNumberFormat="1" applyFont="1" applyFill="1" applyBorder="1" applyAlignment="1">
      <alignment horizontal="center" vertical="center" wrapText="1"/>
    </xf>
    <xf numFmtId="179" fontId="10" fillId="14" borderId="11" xfId="0" applyNumberFormat="1" applyFont="1" applyFill="1" applyBorder="1" applyAlignment="1">
      <alignment horizontal="center" vertical="center" wrapText="1"/>
    </xf>
    <xf numFmtId="0" fontId="13" fillId="8" borderId="11" xfId="0" applyFont="1" applyFill="1" applyBorder="1" applyAlignment="1">
      <alignment horizontal="center" vertical="center" wrapText="1"/>
    </xf>
    <xf numFmtId="168" fontId="13" fillId="8" borderId="11" xfId="0" applyNumberFormat="1" applyFont="1" applyFill="1" applyBorder="1" applyAlignment="1">
      <alignment horizontal="center" vertical="center"/>
    </xf>
    <xf numFmtId="0" fontId="13" fillId="8" borderId="11" xfId="0" applyFont="1" applyFill="1" applyBorder="1" applyAlignment="1">
      <alignment horizontal="center" vertical="center"/>
    </xf>
    <xf numFmtId="167" fontId="10" fillId="8" borderId="11" xfId="0" applyNumberFormat="1" applyFont="1" applyFill="1" applyBorder="1" applyAlignment="1">
      <alignment horizontal="center" vertical="center" wrapText="1"/>
    </xf>
    <xf numFmtId="10" fontId="11" fillId="8" borderId="11" xfId="1" applyNumberFormat="1" applyFont="1" applyFill="1" applyBorder="1" applyAlignment="1">
      <alignment horizontal="center" vertical="center" wrapText="1"/>
    </xf>
    <xf numFmtId="0" fontId="16" fillId="8" borderId="11" xfId="13" applyFont="1" applyFill="1" applyBorder="1" applyAlignment="1">
      <alignment horizontal="center" vertical="center" wrapText="1"/>
    </xf>
    <xf numFmtId="0" fontId="10" fillId="8" borderId="11" xfId="0" applyFont="1" applyFill="1" applyBorder="1" applyAlignment="1">
      <alignment horizontal="center" vertical="center"/>
    </xf>
    <xf numFmtId="165" fontId="11" fillId="8" borderId="11" xfId="13" applyNumberFormat="1" applyFont="1" applyFill="1" applyBorder="1" applyAlignment="1">
      <alignment horizontal="center" vertical="center" wrapText="1"/>
    </xf>
    <xf numFmtId="0" fontId="11" fillId="8" borderId="11" xfId="13" applyFont="1" applyFill="1" applyBorder="1" applyAlignment="1">
      <alignment horizontal="center" vertical="center" wrapText="1"/>
    </xf>
    <xf numFmtId="3" fontId="11" fillId="8" borderId="11" xfId="8" applyNumberFormat="1" applyFont="1" applyFill="1" applyBorder="1" applyAlignment="1" applyProtection="1">
      <alignment horizontal="center" vertical="center" wrapText="1"/>
    </xf>
    <xf numFmtId="3" fontId="13" fillId="8" borderId="11" xfId="0" applyNumberFormat="1" applyFont="1" applyFill="1" applyBorder="1" applyAlignment="1">
      <alignment horizontal="center" vertical="center" wrapText="1"/>
    </xf>
    <xf numFmtId="2" fontId="13" fillId="8" borderId="11" xfId="0" applyNumberFormat="1" applyFont="1" applyFill="1" applyBorder="1" applyAlignment="1">
      <alignment horizontal="center" vertical="center" wrapText="1"/>
    </xf>
    <xf numFmtId="174" fontId="10" fillId="8" borderId="11" xfId="0" applyNumberFormat="1" applyFont="1" applyFill="1" applyBorder="1" applyAlignment="1">
      <alignment horizontal="center" vertical="center" wrapText="1"/>
    </xf>
    <xf numFmtId="0" fontId="11" fillId="8" borderId="11" xfId="13" applyFont="1" applyFill="1" applyBorder="1" applyAlignment="1" applyProtection="1">
      <alignment horizontal="center" vertical="center" wrapText="1"/>
    </xf>
    <xf numFmtId="10" fontId="11" fillId="8" borderId="11" xfId="8" applyNumberFormat="1" applyFont="1" applyFill="1" applyBorder="1" applyAlignment="1" applyProtection="1">
      <alignment horizontal="center" vertical="center" wrapText="1"/>
    </xf>
    <xf numFmtId="0" fontId="15" fillId="8" borderId="11" xfId="8" applyFont="1" applyFill="1" applyBorder="1" applyAlignment="1" applyProtection="1">
      <alignment horizontal="center" vertical="center" wrapText="1"/>
    </xf>
    <xf numFmtId="10" fontId="13" fillId="8" borderId="11" xfId="0" applyNumberFormat="1" applyFont="1" applyFill="1" applyBorder="1" applyAlignment="1">
      <alignment horizontal="center" vertical="center" wrapText="1"/>
    </xf>
    <xf numFmtId="166" fontId="13" fillId="8" borderId="11" xfId="0" applyNumberFormat="1" applyFont="1" applyFill="1" applyBorder="1" applyAlignment="1">
      <alignment horizontal="center" vertical="center" wrapText="1"/>
    </xf>
    <xf numFmtId="10" fontId="15" fillId="8" borderId="11" xfId="8" applyNumberFormat="1" applyFont="1" applyFill="1" applyBorder="1" applyAlignment="1" applyProtection="1">
      <alignment horizontal="center" vertical="center" wrapText="1"/>
    </xf>
    <xf numFmtId="0" fontId="13" fillId="8" borderId="11" xfId="8" applyFont="1" applyFill="1" applyBorder="1" applyAlignment="1" applyProtection="1">
      <alignment horizontal="center" vertical="center" wrapText="1"/>
    </xf>
    <xf numFmtId="0" fontId="10" fillId="8" borderId="11" xfId="8" applyFont="1" applyFill="1" applyBorder="1" applyAlignment="1" applyProtection="1">
      <alignment horizontal="center" vertical="center" wrapText="1"/>
    </xf>
    <xf numFmtId="0" fontId="13" fillId="0" borderId="11" xfId="0" applyFont="1" applyBorder="1" applyAlignment="1">
      <alignment horizontal="center" vertical="center"/>
    </xf>
    <xf numFmtId="46" fontId="10" fillId="8" borderId="11" xfId="0" applyNumberFormat="1" applyFont="1" applyFill="1" applyBorder="1" applyAlignment="1">
      <alignment horizontal="center" vertical="center" wrapText="1"/>
    </xf>
    <xf numFmtId="0" fontId="10" fillId="9" borderId="11" xfId="0"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5" fillId="9" borderId="11" xfId="0" applyFont="1" applyFill="1" applyBorder="1" applyAlignment="1">
      <alignment horizontal="center" vertical="center" wrapText="1"/>
    </xf>
    <xf numFmtId="0" fontId="36" fillId="0" borderId="11" xfId="0" applyFont="1" applyBorder="1" applyAlignment="1">
      <alignment horizontal="center" vertical="center" wrapText="1"/>
    </xf>
    <xf numFmtId="0" fontId="35" fillId="8" borderId="11" xfId="0" applyFont="1" applyFill="1" applyBorder="1" applyAlignment="1">
      <alignment horizontal="center" vertical="center" wrapText="1"/>
    </xf>
    <xf numFmtId="0" fontId="35" fillId="0" borderId="11" xfId="0" applyFont="1" applyBorder="1" applyAlignment="1">
      <alignment horizontal="center" vertical="center"/>
    </xf>
    <xf numFmtId="0" fontId="35" fillId="38" borderId="11" xfId="0" applyFont="1" applyFill="1" applyBorder="1" applyAlignment="1">
      <alignment horizontal="center" vertical="center" wrapText="1"/>
    </xf>
    <xf numFmtId="1" fontId="9" fillId="3" borderId="11" xfId="0" applyNumberFormat="1" applyFont="1" applyFill="1" applyBorder="1" applyAlignment="1">
      <alignment horizontal="center" vertical="center" wrapText="1"/>
    </xf>
    <xf numFmtId="169" fontId="10" fillId="3" borderId="11" xfId="0" applyNumberFormat="1" applyFont="1" applyFill="1" applyBorder="1" applyAlignment="1">
      <alignment horizontal="center" vertical="center" wrapText="1"/>
    </xf>
    <xf numFmtId="168" fontId="9" fillId="3" borderId="11" xfId="0" applyNumberFormat="1" applyFont="1" applyFill="1" applyBorder="1" applyAlignment="1">
      <alignment horizontal="center" vertical="center" wrapText="1"/>
    </xf>
    <xf numFmtId="10" fontId="9" fillId="3" borderId="11"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0" fontId="15" fillId="3" borderId="11" xfId="1" applyFont="1" applyFill="1" applyBorder="1" applyAlignment="1">
      <alignment horizontal="center" vertical="center" wrapText="1"/>
    </xf>
    <xf numFmtId="10" fontId="13" fillId="3" borderId="11" xfId="0" applyNumberFormat="1" applyFont="1" applyFill="1" applyBorder="1" applyAlignment="1">
      <alignment horizontal="center" vertical="center" wrapText="1"/>
    </xf>
    <xf numFmtId="166" fontId="13" fillId="3" borderId="11" xfId="0" applyNumberFormat="1" applyFont="1" applyFill="1" applyBorder="1" applyAlignment="1">
      <alignment horizontal="center" vertical="center" wrapText="1"/>
    </xf>
    <xf numFmtId="2" fontId="13" fillId="3" borderId="11" xfId="0" applyNumberFormat="1" applyFont="1" applyFill="1" applyBorder="1" applyAlignment="1">
      <alignment horizontal="center" vertical="center" wrapText="1"/>
    </xf>
    <xf numFmtId="3" fontId="14" fillId="41" borderId="11" xfId="0" applyNumberFormat="1" applyFont="1" applyFill="1" applyBorder="1" applyAlignment="1">
      <alignment horizontal="center" vertical="center" wrapText="1"/>
    </xf>
    <xf numFmtId="166" fontId="15" fillId="3" borderId="11" xfId="1" applyNumberFormat="1" applyFont="1" applyFill="1" applyBorder="1" applyAlignment="1">
      <alignment horizontal="center" vertical="center" wrapText="1"/>
    </xf>
    <xf numFmtId="0" fontId="13" fillId="3" borderId="11" xfId="0" applyFont="1" applyFill="1" applyBorder="1" applyAlignment="1">
      <alignment horizontal="center" vertical="center"/>
    </xf>
    <xf numFmtId="49" fontId="10" fillId="3" borderId="11" xfId="0" applyNumberFormat="1" applyFont="1" applyFill="1" applyBorder="1" applyAlignment="1">
      <alignment horizontal="center" vertical="center" wrapText="1"/>
    </xf>
    <xf numFmtId="168" fontId="9" fillId="8" borderId="11" xfId="0" applyNumberFormat="1" applyFont="1" applyFill="1" applyBorder="1" applyAlignment="1">
      <alignment horizontal="center" vertical="center" wrapText="1"/>
    </xf>
    <xf numFmtId="10" fontId="9" fillId="8" borderId="11" xfId="0" applyNumberFormat="1" applyFont="1" applyFill="1" applyBorder="1" applyAlignment="1">
      <alignment horizontal="center" vertical="center" wrapText="1"/>
    </xf>
    <xf numFmtId="2" fontId="9" fillId="8" borderId="11" xfId="0" applyNumberFormat="1" applyFont="1" applyFill="1" applyBorder="1" applyAlignment="1">
      <alignment horizontal="center" vertical="center" wrapText="1"/>
    </xf>
    <xf numFmtId="0" fontId="10" fillId="8" borderId="11" xfId="1" applyFont="1" applyFill="1" applyBorder="1" applyAlignment="1">
      <alignment horizontal="center" vertical="center" wrapText="1"/>
    </xf>
    <xf numFmtId="166" fontId="9" fillId="8" borderId="11" xfId="0" applyNumberFormat="1" applyFont="1" applyFill="1" applyBorder="1" applyAlignment="1">
      <alignment horizontal="center" vertical="center" wrapText="1"/>
    </xf>
    <xf numFmtId="3" fontId="17" fillId="8" borderId="11" xfId="0" applyNumberFormat="1" applyFont="1" applyFill="1" applyBorder="1" applyAlignment="1">
      <alignment horizontal="center" vertical="center" wrapText="1"/>
    </xf>
    <xf numFmtId="0" fontId="10" fillId="8" borderId="11" xfId="1" applyFont="1" applyFill="1" applyBorder="1" applyAlignment="1">
      <alignment horizontal="center" vertical="center"/>
    </xf>
    <xf numFmtId="0" fontId="10" fillId="3" borderId="11" xfId="1" applyFont="1" applyFill="1" applyBorder="1" applyAlignment="1">
      <alignment horizontal="center" vertical="center" wrapText="1"/>
    </xf>
    <xf numFmtId="0" fontId="11" fillId="3" borderId="11" xfId="1" applyFont="1" applyFill="1" applyBorder="1" applyAlignment="1">
      <alignment horizontal="center" vertical="center"/>
    </xf>
    <xf numFmtId="0" fontId="37" fillId="8" borderId="11" xfId="0" applyFont="1" applyFill="1" applyBorder="1" applyAlignment="1">
      <alignment horizontal="center" vertical="center" wrapText="1"/>
    </xf>
    <xf numFmtId="0" fontId="11" fillId="8" borderId="11" xfId="1" applyFont="1" applyFill="1" applyBorder="1" applyAlignment="1" applyProtection="1">
      <alignment horizontal="center" vertical="center" wrapText="1"/>
    </xf>
    <xf numFmtId="0" fontId="16" fillId="8" borderId="11" xfId="1" applyFont="1" applyFill="1" applyBorder="1" applyAlignment="1">
      <alignment horizontal="center" vertical="center" wrapText="1"/>
    </xf>
    <xf numFmtId="1" fontId="37" fillId="8" borderId="11" xfId="0" applyNumberFormat="1" applyFont="1" applyFill="1" applyBorder="1" applyAlignment="1">
      <alignment horizontal="center" vertical="center" wrapText="1"/>
    </xf>
    <xf numFmtId="10" fontId="11" fillId="8" borderId="11" xfId="1" applyNumberFormat="1" applyFont="1" applyFill="1" applyBorder="1" applyAlignment="1" applyProtection="1">
      <alignment horizontal="center" vertical="center" wrapText="1"/>
    </xf>
    <xf numFmtId="0" fontId="106" fillId="8" borderId="11" xfId="1" applyFont="1" applyFill="1" applyBorder="1" applyAlignment="1" applyProtection="1">
      <alignment horizontal="center" vertical="center" wrapText="1"/>
    </xf>
    <xf numFmtId="0" fontId="9" fillId="10" borderId="11" xfId="0" applyFont="1" applyFill="1" applyBorder="1" applyAlignment="1">
      <alignment horizontal="center" vertical="center" wrapText="1"/>
    </xf>
    <xf numFmtId="10" fontId="10" fillId="8" borderId="11" xfId="3" applyNumberFormat="1" applyFont="1" applyFill="1" applyBorder="1" applyAlignment="1">
      <alignment horizontal="center" vertical="center" wrapText="1"/>
    </xf>
    <xf numFmtId="3" fontId="14" fillId="3" borderId="11" xfId="0" applyNumberFormat="1" applyFont="1" applyFill="1" applyBorder="1" applyAlignment="1">
      <alignment horizontal="center" vertical="center" wrapText="1"/>
    </xf>
    <xf numFmtId="167" fontId="13" fillId="3" borderId="11" xfId="0" applyNumberFormat="1" applyFont="1" applyFill="1" applyBorder="1" applyAlignment="1">
      <alignment horizontal="center" vertical="center" wrapText="1"/>
    </xf>
    <xf numFmtId="164" fontId="10" fillId="3" borderId="11" xfId="2" applyFont="1" applyFill="1" applyBorder="1" applyAlignment="1">
      <alignment horizontal="center" vertical="center" wrapText="1"/>
    </xf>
    <xf numFmtId="0" fontId="16" fillId="3" borderId="11" xfId="1" applyFont="1" applyFill="1" applyBorder="1" applyAlignment="1">
      <alignment horizontal="center" vertical="center" wrapText="1"/>
    </xf>
    <xf numFmtId="3" fontId="11" fillId="3" borderId="11" xfId="1" applyNumberFormat="1" applyFont="1" applyFill="1" applyBorder="1" applyAlignment="1">
      <alignment horizontal="center" vertical="center" wrapText="1"/>
    </xf>
    <xf numFmtId="9" fontId="9" fillId="3" borderId="11" xfId="0" applyNumberFormat="1" applyFont="1" applyFill="1" applyBorder="1" applyAlignment="1">
      <alignment horizontal="center" vertical="center" wrapText="1"/>
    </xf>
    <xf numFmtId="2" fontId="9" fillId="3" borderId="11" xfId="0" applyNumberFormat="1" applyFont="1" applyFill="1" applyBorder="1" applyAlignment="1">
      <alignment horizontal="center" vertical="center" wrapText="1"/>
    </xf>
    <xf numFmtId="10" fontId="11" fillId="8" borderId="11" xfId="1" quotePrefix="1" applyNumberFormat="1" applyFont="1" applyFill="1" applyBorder="1" applyAlignment="1">
      <alignment horizontal="center" vertical="center" wrapText="1"/>
    </xf>
    <xf numFmtId="10" fontId="11" fillId="3" borderId="11" xfId="1" applyNumberFormat="1" applyFont="1" applyFill="1" applyBorder="1" applyAlignment="1" applyProtection="1">
      <alignment horizontal="center" vertical="center" wrapText="1"/>
    </xf>
    <xf numFmtId="170" fontId="10" fillId="8" borderId="11" xfId="0" applyNumberFormat="1" applyFont="1" applyFill="1" applyBorder="1" applyAlignment="1">
      <alignment horizontal="center" vertical="center" wrapText="1"/>
    </xf>
    <xf numFmtId="4" fontId="10" fillId="8" borderId="11" xfId="0" applyNumberFormat="1" applyFont="1" applyFill="1" applyBorder="1" applyAlignment="1">
      <alignment horizontal="center" vertical="center" wrapText="1"/>
    </xf>
    <xf numFmtId="166" fontId="11" fillId="8" borderId="11" xfId="8" applyNumberFormat="1" applyFont="1" applyFill="1" applyBorder="1" applyAlignment="1" applyProtection="1">
      <alignment horizontal="center" vertical="center" wrapText="1"/>
    </xf>
    <xf numFmtId="168" fontId="10" fillId="3" borderId="11" xfId="3" applyNumberFormat="1" applyFont="1" applyFill="1" applyBorder="1" applyAlignment="1">
      <alignment horizontal="center" vertical="center" wrapText="1"/>
    </xf>
    <xf numFmtId="167" fontId="9" fillId="3" borderId="11" xfId="0" applyNumberFormat="1" applyFont="1" applyFill="1" applyBorder="1" applyAlignment="1">
      <alignment horizontal="center" vertical="center" wrapText="1"/>
    </xf>
    <xf numFmtId="169" fontId="13" fillId="3" borderId="11" xfId="0" applyNumberFormat="1" applyFont="1" applyFill="1" applyBorder="1" applyAlignment="1">
      <alignment horizontal="center" vertical="center" wrapText="1"/>
    </xf>
    <xf numFmtId="0" fontId="18" fillId="3" borderId="11" xfId="0" applyFont="1" applyFill="1" applyBorder="1" applyAlignment="1">
      <alignment horizontal="center" vertical="center" wrapText="1"/>
    </xf>
    <xf numFmtId="3" fontId="10" fillId="8" borderId="11" xfId="0" quotePrefix="1" applyNumberFormat="1" applyFont="1" applyFill="1" applyBorder="1" applyAlignment="1">
      <alignment horizontal="center" vertical="center" wrapText="1"/>
    </xf>
    <xf numFmtId="0" fontId="13" fillId="40" borderId="11" xfId="0" applyFont="1" applyFill="1" applyBorder="1" applyAlignment="1">
      <alignment horizontal="center" vertical="center" wrapText="1"/>
    </xf>
    <xf numFmtId="1" fontId="13" fillId="8" borderId="11" xfId="0" applyNumberFormat="1" applyFont="1" applyFill="1" applyBorder="1" applyAlignment="1">
      <alignment horizontal="center" vertical="center" wrapText="1"/>
    </xf>
    <xf numFmtId="165" fontId="13" fillId="8" borderId="11" xfId="0" applyNumberFormat="1" applyFont="1" applyFill="1" applyBorder="1" applyAlignment="1">
      <alignment horizontal="center" vertical="center" wrapText="1"/>
    </xf>
    <xf numFmtId="4" fontId="13" fillId="8" borderId="11" xfId="0" applyNumberFormat="1" applyFont="1" applyFill="1" applyBorder="1" applyAlignment="1">
      <alignment horizontal="center" vertical="center" wrapText="1"/>
    </xf>
    <xf numFmtId="3" fontId="14" fillId="8" borderId="11" xfId="0" applyNumberFormat="1" applyFont="1" applyFill="1" applyBorder="1" applyAlignment="1">
      <alignment horizontal="center" vertical="center" wrapText="1"/>
    </xf>
    <xf numFmtId="166" fontId="11" fillId="8" borderId="11" xfId="1" applyNumberFormat="1" applyFont="1" applyFill="1" applyBorder="1" applyAlignment="1">
      <alignment horizontal="center" vertical="center" wrapText="1"/>
    </xf>
    <xf numFmtId="3" fontId="10" fillId="8" borderId="11" xfId="1" applyNumberFormat="1" applyFont="1" applyFill="1" applyBorder="1" applyAlignment="1">
      <alignment horizontal="center" vertical="center" wrapText="1"/>
    </xf>
    <xf numFmtId="3" fontId="11" fillId="8" borderId="11" xfId="1" applyNumberFormat="1" applyFont="1" applyFill="1" applyBorder="1" applyAlignment="1">
      <alignment horizontal="center" vertical="center" wrapText="1"/>
    </xf>
    <xf numFmtId="10" fontId="18" fillId="3" borderId="11" xfId="1" applyNumberFormat="1" applyFont="1" applyFill="1" applyBorder="1" applyAlignment="1" applyProtection="1">
      <alignment horizontal="center" vertical="center" wrapText="1"/>
    </xf>
    <xf numFmtId="0" fontId="18" fillId="3" borderId="11" xfId="1" applyFont="1" applyFill="1" applyBorder="1" applyAlignment="1" applyProtection="1">
      <alignment horizontal="center" vertical="center" wrapText="1"/>
    </xf>
    <xf numFmtId="168" fontId="13" fillId="3" borderId="11" xfId="0" applyNumberFormat="1" applyFont="1" applyFill="1" applyBorder="1" applyAlignment="1">
      <alignment horizontal="center" vertical="center"/>
    </xf>
    <xf numFmtId="175" fontId="10" fillId="3" borderId="11" xfId="0" applyNumberFormat="1" applyFont="1" applyFill="1" applyBorder="1" applyAlignment="1">
      <alignment horizontal="center" vertical="center" wrapText="1"/>
    </xf>
    <xf numFmtId="176" fontId="10" fillId="3" borderId="11" xfId="0" applyNumberFormat="1" applyFont="1" applyFill="1" applyBorder="1" applyAlignment="1">
      <alignment horizontal="center" vertical="center" wrapText="1"/>
    </xf>
    <xf numFmtId="168" fontId="36" fillId="8" borderId="11" xfId="0" applyNumberFormat="1" applyFont="1" applyFill="1" applyBorder="1" applyAlignment="1">
      <alignment horizontal="center" vertical="center" wrapText="1"/>
    </xf>
    <xf numFmtId="0" fontId="36" fillId="8" borderId="11" xfId="0" applyFont="1" applyFill="1" applyBorder="1" applyAlignment="1">
      <alignment horizontal="center" vertical="center" wrapText="1"/>
    </xf>
    <xf numFmtId="10" fontId="35" fillId="8" borderId="11" xfId="0" applyNumberFormat="1" applyFont="1" applyFill="1" applyBorder="1" applyAlignment="1">
      <alignment horizontal="center" vertical="center" wrapText="1"/>
    </xf>
    <xf numFmtId="168" fontId="35" fillId="8" borderId="11" xfId="0" applyNumberFormat="1" applyFont="1" applyFill="1" applyBorder="1" applyAlignment="1">
      <alignment horizontal="center" vertical="center" wrapText="1"/>
    </xf>
    <xf numFmtId="9" fontId="35" fillId="8" borderId="11" xfId="0" applyNumberFormat="1" applyFont="1" applyFill="1" applyBorder="1" applyAlignment="1">
      <alignment horizontal="center" vertical="center" wrapText="1"/>
    </xf>
    <xf numFmtId="0" fontId="35" fillId="8" borderId="11" xfId="0" applyFont="1" applyFill="1" applyBorder="1" applyAlignment="1">
      <alignment horizontal="center" vertical="center"/>
    </xf>
    <xf numFmtId="0" fontId="13" fillId="3" borderId="11" xfId="1" applyFont="1" applyFill="1" applyBorder="1" applyAlignment="1">
      <alignment horizontal="center" vertical="center" wrapText="1"/>
    </xf>
    <xf numFmtId="49" fontId="9" fillId="3" borderId="11" xfId="0" applyNumberFormat="1" applyFont="1" applyFill="1" applyBorder="1" applyAlignment="1">
      <alignment horizontal="center" vertical="center" wrapText="1"/>
    </xf>
    <xf numFmtId="4" fontId="9" fillId="3" borderId="11" xfId="0" applyNumberFormat="1" applyFont="1" applyFill="1" applyBorder="1" applyAlignment="1">
      <alignment horizontal="center" vertical="center" wrapText="1"/>
    </xf>
    <xf numFmtId="3" fontId="17" fillId="3" borderId="11" xfId="0" applyNumberFormat="1" applyFont="1" applyFill="1" applyBorder="1" applyAlignment="1">
      <alignment horizontal="center" vertical="center" wrapText="1"/>
    </xf>
    <xf numFmtId="2" fontId="17" fillId="3" borderId="11" xfId="0" applyNumberFormat="1" applyFont="1" applyFill="1" applyBorder="1" applyAlignment="1">
      <alignment horizontal="center" vertical="center" wrapText="1"/>
    </xf>
    <xf numFmtId="9" fontId="9" fillId="8" borderId="11" xfId="0" applyNumberFormat="1" applyFont="1" applyFill="1" applyBorder="1" applyAlignment="1">
      <alignment horizontal="center" vertical="center" wrapText="1"/>
    </xf>
    <xf numFmtId="174" fontId="10" fillId="8" borderId="11" xfId="3" applyNumberFormat="1" applyFont="1" applyFill="1" applyBorder="1" applyAlignment="1">
      <alignment horizontal="center" vertical="center" wrapText="1"/>
    </xf>
    <xf numFmtId="0" fontId="18" fillId="8" borderId="11" xfId="1" applyFont="1" applyFill="1" applyBorder="1" applyAlignment="1">
      <alignment horizontal="center" vertical="center" wrapText="1"/>
    </xf>
    <xf numFmtId="10" fontId="18" fillId="8" borderId="11" xfId="1" applyNumberFormat="1" applyFont="1" applyFill="1" applyBorder="1" applyAlignment="1">
      <alignment horizontal="center" vertical="center" wrapText="1"/>
    </xf>
    <xf numFmtId="0" fontId="18" fillId="8" borderId="11" xfId="1" applyFont="1" applyFill="1" applyBorder="1" applyAlignment="1" applyProtection="1">
      <alignment horizontal="center" vertical="center" wrapText="1"/>
    </xf>
    <xf numFmtId="166" fontId="109" fillId="8" borderId="11" xfId="7" applyNumberFormat="1" applyFont="1" applyFill="1" applyBorder="1" applyAlignment="1">
      <alignment horizontal="center" vertical="center" wrapText="1"/>
    </xf>
    <xf numFmtId="168" fontId="12" fillId="3" borderId="11" xfId="0" applyNumberFormat="1" applyFont="1" applyFill="1" applyBorder="1" applyAlignment="1">
      <alignment horizontal="center" vertical="center" wrapText="1"/>
    </xf>
    <xf numFmtId="0" fontId="12" fillId="3" borderId="11" xfId="0" applyFont="1" applyFill="1" applyBorder="1" applyAlignment="1">
      <alignment horizontal="center" vertical="center" wrapText="1"/>
    </xf>
    <xf numFmtId="10" fontId="12" fillId="3" borderId="11" xfId="0" applyNumberFormat="1" applyFont="1" applyFill="1" applyBorder="1" applyAlignment="1">
      <alignment horizontal="center" vertical="center" wrapText="1"/>
    </xf>
    <xf numFmtId="4" fontId="12" fillId="3" borderId="11" xfId="0" applyNumberFormat="1" applyFont="1" applyFill="1" applyBorder="1" applyAlignment="1">
      <alignment horizontal="center" vertical="center" wrapText="1"/>
    </xf>
    <xf numFmtId="166" fontId="12" fillId="3" borderId="11" xfId="0" applyNumberFormat="1" applyFont="1" applyFill="1" applyBorder="1" applyAlignment="1">
      <alignment horizontal="center" vertical="center" wrapText="1"/>
    </xf>
    <xf numFmtId="2" fontId="12" fillId="3" borderId="11" xfId="0" applyNumberFormat="1" applyFont="1" applyFill="1" applyBorder="1" applyAlignment="1">
      <alignment horizontal="center" vertical="center" wrapText="1"/>
    </xf>
    <xf numFmtId="181" fontId="10" fillId="3" borderId="11" xfId="0" applyNumberFormat="1" applyFont="1" applyFill="1" applyBorder="1" applyAlignment="1">
      <alignment horizontal="center" vertical="center" wrapText="1"/>
    </xf>
    <xf numFmtId="3" fontId="38" fillId="8" borderId="11" xfId="0" applyNumberFormat="1" applyFont="1" applyFill="1" applyBorder="1" applyAlignment="1">
      <alignment horizontal="center" vertical="center" wrapText="1"/>
    </xf>
    <xf numFmtId="169" fontId="10" fillId="8" borderId="11" xfId="0" applyNumberFormat="1" applyFont="1" applyFill="1" applyBorder="1" applyAlignment="1">
      <alignment horizontal="center" vertical="center" wrapText="1"/>
    </xf>
    <xf numFmtId="10" fontId="10" fillId="8" borderId="11" xfId="1" applyNumberFormat="1" applyFont="1" applyFill="1" applyBorder="1" applyAlignment="1" applyProtection="1">
      <alignment horizontal="center" vertical="center" wrapText="1"/>
    </xf>
    <xf numFmtId="3" fontId="10" fillId="3" borderId="11" xfId="0" quotePrefix="1" applyNumberFormat="1" applyFont="1" applyFill="1" applyBorder="1" applyAlignment="1">
      <alignment horizontal="center" vertical="center" wrapText="1"/>
    </xf>
    <xf numFmtId="0" fontId="10" fillId="11" borderId="11" xfId="0" applyFont="1" applyFill="1" applyBorder="1" applyAlignment="1">
      <alignment horizontal="center" vertical="center" wrapText="1"/>
    </xf>
    <xf numFmtId="1" fontId="10" fillId="11" borderId="11" xfId="0" applyNumberFormat="1" applyFont="1" applyFill="1" applyBorder="1" applyAlignment="1">
      <alignment horizontal="center" vertical="center" wrapText="1"/>
    </xf>
    <xf numFmtId="0" fontId="11" fillId="11" borderId="11" xfId="1" applyFont="1" applyFill="1" applyBorder="1" applyAlignment="1">
      <alignment horizontal="center" vertical="center" wrapText="1"/>
    </xf>
    <xf numFmtId="10" fontId="10" fillId="11" borderId="11" xfId="0" applyNumberFormat="1" applyFont="1" applyFill="1" applyBorder="1" applyAlignment="1">
      <alignment horizontal="center" vertical="center" wrapText="1"/>
    </xf>
    <xf numFmtId="166" fontId="10" fillId="11" borderId="11" xfId="0" applyNumberFormat="1" applyFont="1" applyFill="1" applyBorder="1" applyAlignment="1">
      <alignment horizontal="center" vertical="center" wrapText="1"/>
    </xf>
    <xf numFmtId="3" fontId="10" fillId="11" borderId="11" xfId="0" applyNumberFormat="1" applyFont="1" applyFill="1" applyBorder="1" applyAlignment="1">
      <alignment horizontal="center" vertical="center" wrapText="1"/>
    </xf>
    <xf numFmtId="2" fontId="10" fillId="11" borderId="11" xfId="0" applyNumberFormat="1" applyFont="1" applyFill="1" applyBorder="1" applyAlignment="1">
      <alignment horizontal="center" vertical="center" wrapText="1"/>
    </xf>
    <xf numFmtId="10" fontId="11" fillId="11" borderId="11" xfId="1" applyNumberFormat="1"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11" fillId="12" borderId="11" xfId="1" applyFont="1" applyFill="1" applyBorder="1" applyAlignment="1" applyProtection="1">
      <alignment horizontal="center" vertical="center" wrapText="1"/>
    </xf>
    <xf numFmtId="168" fontId="10" fillId="12" borderId="11" xfId="0" applyNumberFormat="1" applyFont="1" applyFill="1" applyBorder="1" applyAlignment="1">
      <alignment horizontal="center" vertical="center" wrapText="1"/>
    </xf>
    <xf numFmtId="166" fontId="10" fillId="12" borderId="11" xfId="0" applyNumberFormat="1" applyFont="1" applyFill="1" applyBorder="1" applyAlignment="1">
      <alignment horizontal="center" vertical="center" wrapText="1"/>
    </xf>
    <xf numFmtId="10" fontId="10" fillId="12" borderId="11" xfId="0" applyNumberFormat="1" applyFont="1" applyFill="1" applyBorder="1" applyAlignment="1">
      <alignment horizontal="center" vertical="center" wrapText="1"/>
    </xf>
    <xf numFmtId="2" fontId="10" fillId="12" borderId="11" xfId="0" applyNumberFormat="1" applyFont="1" applyFill="1" applyBorder="1" applyAlignment="1">
      <alignment horizontal="center" vertical="center" wrapText="1"/>
    </xf>
    <xf numFmtId="3" fontId="10" fillId="12" borderId="11" xfId="0" applyNumberFormat="1" applyFont="1" applyFill="1" applyBorder="1" applyAlignment="1">
      <alignment horizontal="center" vertical="center" wrapText="1"/>
    </xf>
    <xf numFmtId="3" fontId="12" fillId="12" borderId="11" xfId="0" applyNumberFormat="1" applyFont="1" applyFill="1" applyBorder="1" applyAlignment="1">
      <alignment horizontal="center" vertical="center" wrapText="1"/>
    </xf>
    <xf numFmtId="186" fontId="9" fillId="11" borderId="11" xfId="11" applyFont="1" applyFill="1" applyBorder="1" applyAlignment="1">
      <alignment horizontal="center" vertical="center" wrapText="1"/>
    </xf>
    <xf numFmtId="187" fontId="9" fillId="11" borderId="11" xfId="11" applyNumberFormat="1" applyFont="1" applyFill="1" applyBorder="1" applyAlignment="1">
      <alignment horizontal="center" vertical="center" wrapText="1"/>
    </xf>
    <xf numFmtId="188" fontId="9" fillId="11" borderId="11" xfId="11" applyNumberFormat="1" applyFont="1" applyFill="1" applyBorder="1" applyAlignment="1">
      <alignment horizontal="center" vertical="center" wrapText="1"/>
    </xf>
    <xf numFmtId="168" fontId="9" fillId="11" borderId="11" xfId="11" applyNumberFormat="1" applyFont="1" applyFill="1" applyBorder="1" applyAlignment="1">
      <alignment horizontal="center" vertical="center" wrapText="1"/>
    </xf>
    <xf numFmtId="166" fontId="9" fillId="11" borderId="11" xfId="11" applyNumberFormat="1" applyFont="1" applyFill="1" applyBorder="1" applyAlignment="1">
      <alignment horizontal="center" vertical="center" wrapText="1"/>
    </xf>
    <xf numFmtId="189" fontId="9" fillId="11" borderId="11" xfId="11" applyNumberFormat="1" applyFont="1" applyFill="1" applyBorder="1" applyAlignment="1">
      <alignment horizontal="center" vertical="center" wrapText="1"/>
    </xf>
    <xf numFmtId="190" fontId="9" fillId="11" borderId="11" xfId="11" applyNumberFormat="1" applyFont="1" applyFill="1" applyBorder="1" applyAlignment="1">
      <alignment horizontal="center" vertical="center" wrapText="1"/>
    </xf>
    <xf numFmtId="2" fontId="9" fillId="11" borderId="11" xfId="11" applyNumberFormat="1" applyFont="1" applyFill="1" applyBorder="1" applyAlignment="1">
      <alignment horizontal="center" vertical="center" wrapText="1"/>
    </xf>
    <xf numFmtId="190" fontId="17" fillId="11" borderId="11" xfId="11" applyNumberFormat="1" applyFont="1" applyFill="1" applyBorder="1" applyAlignment="1">
      <alignment horizontal="center" vertical="center" wrapText="1"/>
    </xf>
    <xf numFmtId="10" fontId="11" fillId="5" borderId="11" xfId="1" applyNumberFormat="1" applyFont="1" applyFill="1" applyBorder="1" applyAlignment="1" applyProtection="1">
      <alignment horizontal="center" vertical="center" wrapText="1"/>
    </xf>
    <xf numFmtId="0" fontId="10" fillId="5" borderId="11" xfId="0" applyFont="1" applyFill="1" applyBorder="1" applyAlignment="1">
      <alignment horizontal="center" vertical="center" wrapText="1"/>
    </xf>
    <xf numFmtId="0" fontId="9" fillId="5" borderId="11" xfId="0" applyFont="1" applyFill="1" applyBorder="1" applyAlignment="1">
      <alignment horizontal="center" vertical="center" wrapText="1"/>
    </xf>
    <xf numFmtId="10" fontId="10" fillId="5" borderId="11" xfId="0" applyNumberFormat="1" applyFont="1" applyFill="1" applyBorder="1" applyAlignment="1">
      <alignment horizontal="center" vertical="center" wrapText="1"/>
    </xf>
    <xf numFmtId="166" fontId="10" fillId="5" borderId="11" xfId="0" applyNumberFormat="1" applyFont="1" applyFill="1" applyBorder="1" applyAlignment="1">
      <alignment horizontal="center" vertical="center" wrapText="1"/>
    </xf>
    <xf numFmtId="1" fontId="10" fillId="5" borderId="11" xfId="0" applyNumberFormat="1" applyFont="1" applyFill="1" applyBorder="1" applyAlignment="1">
      <alignment horizontal="center" vertical="center" wrapText="1"/>
    </xf>
    <xf numFmtId="0" fontId="10" fillId="6" borderId="11" xfId="0" applyFont="1" applyFill="1" applyBorder="1" applyAlignment="1">
      <alignment horizontal="center" vertical="center" wrapText="1"/>
    </xf>
    <xf numFmtId="168" fontId="10" fillId="5" borderId="11" xfId="0" applyNumberFormat="1" applyFont="1" applyFill="1" applyBorder="1" applyAlignment="1">
      <alignment horizontal="center" vertical="center" wrapText="1"/>
    </xf>
    <xf numFmtId="168" fontId="10" fillId="6" borderId="11" xfId="0" applyNumberFormat="1" applyFont="1" applyFill="1" applyBorder="1" applyAlignment="1">
      <alignment horizontal="center" vertical="center" wrapText="1"/>
    </xf>
    <xf numFmtId="10" fontId="10" fillId="6" borderId="11" xfId="0" applyNumberFormat="1" applyFont="1" applyFill="1" applyBorder="1" applyAlignment="1">
      <alignment horizontal="center" vertical="center" wrapText="1"/>
    </xf>
    <xf numFmtId="2" fontId="10" fillId="5"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2" fillId="5" borderId="11" xfId="0" applyNumberFormat="1" applyFont="1" applyFill="1" applyBorder="1" applyAlignment="1">
      <alignment horizontal="center" vertical="center" wrapText="1"/>
    </xf>
    <xf numFmtId="3" fontId="10" fillId="6" borderId="11" xfId="0" applyNumberFormat="1" applyFont="1" applyFill="1" applyBorder="1" applyAlignment="1">
      <alignment horizontal="center" vertical="center" wrapText="1"/>
    </xf>
    <xf numFmtId="167" fontId="10" fillId="5" borderId="11" xfId="0" applyNumberFormat="1" applyFont="1" applyFill="1" applyBorder="1" applyAlignment="1">
      <alignment horizontal="center" vertical="center" wrapText="1"/>
    </xf>
    <xf numFmtId="0" fontId="11" fillId="5" borderId="11" xfId="1" applyFont="1" applyFill="1" applyBorder="1" applyAlignment="1" applyProtection="1">
      <alignment horizontal="center" vertical="center" wrapText="1"/>
    </xf>
    <xf numFmtId="177" fontId="10" fillId="3" borderId="11" xfId="0" applyNumberFormat="1" applyFont="1" applyFill="1" applyBorder="1" applyAlignment="1">
      <alignment horizontal="center" vertical="center" wrapText="1"/>
    </xf>
    <xf numFmtId="178" fontId="10" fillId="3" borderId="11" xfId="0" applyNumberFormat="1" applyFont="1" applyFill="1" applyBorder="1" applyAlignment="1">
      <alignment horizontal="center" vertical="center" wrapText="1"/>
    </xf>
    <xf numFmtId="0" fontId="10" fillId="3" borderId="11" xfId="4" applyFont="1" applyFill="1" applyBorder="1" applyAlignment="1">
      <alignment horizontal="center" vertical="center" wrapText="1"/>
    </xf>
    <xf numFmtId="1" fontId="10" fillId="3" borderId="11" xfId="4" applyNumberFormat="1" applyFont="1" applyFill="1" applyBorder="1" applyAlignment="1">
      <alignment horizontal="center" vertical="center" wrapText="1"/>
    </xf>
    <xf numFmtId="0" fontId="11" fillId="3" borderId="11" xfId="5" applyFont="1" applyFill="1" applyBorder="1" applyAlignment="1">
      <alignment horizontal="center" vertical="center" wrapText="1"/>
    </xf>
    <xf numFmtId="168" fontId="10" fillId="3" borderId="11" xfId="4" applyNumberFormat="1" applyFont="1" applyFill="1" applyBorder="1" applyAlignment="1">
      <alignment horizontal="center" vertical="center" wrapText="1"/>
    </xf>
    <xf numFmtId="10" fontId="10" fillId="3" borderId="11" xfId="4" applyNumberFormat="1" applyFont="1" applyFill="1" applyBorder="1" applyAlignment="1">
      <alignment horizontal="center" vertical="center" wrapText="1"/>
    </xf>
    <xf numFmtId="3" fontId="10" fillId="3" borderId="11" xfId="4" applyNumberFormat="1" applyFont="1" applyFill="1" applyBorder="1" applyAlignment="1">
      <alignment horizontal="center" vertical="center" wrapText="1"/>
    </xf>
    <xf numFmtId="2" fontId="10" fillId="3" borderId="11" xfId="4" applyNumberFormat="1" applyFont="1" applyFill="1" applyBorder="1" applyAlignment="1">
      <alignment horizontal="center" vertical="center" wrapText="1"/>
    </xf>
    <xf numFmtId="3" fontId="12" fillId="3" borderId="11" xfId="4" applyNumberFormat="1" applyFont="1" applyFill="1" applyBorder="1" applyAlignment="1">
      <alignment horizontal="center" vertical="center" wrapText="1"/>
    </xf>
    <xf numFmtId="174" fontId="10" fillId="3" borderId="11" xfId="4" applyNumberFormat="1" applyFont="1" applyFill="1" applyBorder="1" applyAlignment="1">
      <alignment horizontal="center" vertical="center" wrapText="1"/>
    </xf>
    <xf numFmtId="166" fontId="10" fillId="3" borderId="11" xfId="4" applyNumberFormat="1" applyFont="1" applyFill="1" applyBorder="1" applyAlignment="1">
      <alignment horizontal="center" vertical="center" wrapText="1"/>
    </xf>
    <xf numFmtId="174" fontId="9" fillId="8" borderId="11" xfId="0" applyNumberFormat="1" applyFont="1" applyFill="1" applyBorder="1" applyAlignment="1">
      <alignment horizontal="center" vertical="center" wrapText="1"/>
    </xf>
    <xf numFmtId="0" fontId="42" fillId="3" borderId="11" xfId="0" applyFont="1" applyFill="1" applyBorder="1" applyAlignment="1">
      <alignment horizontal="center" vertical="center" wrapText="1"/>
    </xf>
    <xf numFmtId="186" fontId="37" fillId="13" borderId="11" xfId="11" applyFont="1" applyFill="1" applyBorder="1" applyAlignment="1">
      <alignment horizontal="center" vertical="center" wrapText="1"/>
    </xf>
    <xf numFmtId="1" fontId="37" fillId="13" borderId="11" xfId="11" applyNumberFormat="1" applyFont="1" applyFill="1" applyBorder="1" applyAlignment="1">
      <alignment horizontal="center" vertical="center" wrapText="1"/>
    </xf>
    <xf numFmtId="0" fontId="111" fillId="13" borderId="11" xfId="1" applyNumberFormat="1" applyFont="1" applyFill="1" applyBorder="1" applyAlignment="1" applyProtection="1">
      <alignment horizontal="center" vertical="center" wrapText="1"/>
    </xf>
    <xf numFmtId="168" fontId="37" fillId="13" borderId="11" xfId="11" applyNumberFormat="1" applyFont="1" applyFill="1" applyBorder="1" applyAlignment="1">
      <alignment horizontal="center" vertical="center" wrapText="1"/>
    </xf>
    <xf numFmtId="166" fontId="37" fillId="13" borderId="11" xfId="11" applyNumberFormat="1" applyFont="1" applyFill="1" applyBorder="1" applyAlignment="1">
      <alignment horizontal="center" vertical="center" wrapText="1"/>
    </xf>
    <xf numFmtId="10" fontId="37" fillId="13" borderId="11" xfId="11" applyNumberFormat="1" applyFont="1" applyFill="1" applyBorder="1" applyAlignment="1">
      <alignment horizontal="center" vertical="center" wrapText="1"/>
    </xf>
    <xf numFmtId="3" fontId="37" fillId="13" borderId="11" xfId="11" applyNumberFormat="1" applyFont="1" applyFill="1" applyBorder="1" applyAlignment="1">
      <alignment horizontal="center" vertical="center" wrapText="1"/>
    </xf>
    <xf numFmtId="2" fontId="37" fillId="13" borderId="11" xfId="11" applyNumberFormat="1" applyFont="1" applyFill="1" applyBorder="1" applyAlignment="1">
      <alignment horizontal="center" vertical="center" wrapText="1"/>
    </xf>
    <xf numFmtId="3" fontId="110" fillId="13" borderId="11" xfId="11" applyNumberFormat="1" applyFont="1" applyFill="1" applyBorder="1" applyAlignment="1">
      <alignment horizontal="center" vertical="center" wrapText="1"/>
    </xf>
    <xf numFmtId="0" fontId="111" fillId="13" borderId="11" xfId="12" applyFont="1" applyFill="1" applyBorder="1" applyAlignment="1">
      <alignment horizontal="center" vertical="center" wrapText="1"/>
    </xf>
    <xf numFmtId="0" fontId="11" fillId="8" borderId="11" xfId="8" applyFont="1" applyFill="1" applyBorder="1" applyAlignment="1" applyProtection="1">
      <alignment horizontal="center" vertical="center"/>
    </xf>
    <xf numFmtId="0" fontId="10" fillId="14" borderId="11" xfId="0" applyFont="1" applyFill="1" applyBorder="1" applyAlignment="1">
      <alignment horizontal="center" vertical="center" wrapText="1"/>
    </xf>
    <xf numFmtId="1" fontId="10" fillId="14" borderId="11" xfId="0" applyNumberFormat="1" applyFont="1" applyFill="1" applyBorder="1" applyAlignment="1">
      <alignment horizontal="center" vertical="center" wrapText="1"/>
    </xf>
    <xf numFmtId="168" fontId="10" fillId="14" borderId="11" xfId="0" applyNumberFormat="1" applyFont="1" applyFill="1" applyBorder="1" applyAlignment="1">
      <alignment horizontal="center" vertical="center" wrapText="1"/>
    </xf>
    <xf numFmtId="166" fontId="10" fillId="14" borderId="11" xfId="0" applyNumberFormat="1" applyFont="1" applyFill="1" applyBorder="1" applyAlignment="1">
      <alignment horizontal="center" vertical="center" wrapText="1"/>
    </xf>
    <xf numFmtId="10" fontId="10" fillId="14" borderId="11" xfId="0" applyNumberFormat="1" applyFont="1" applyFill="1" applyBorder="1" applyAlignment="1">
      <alignment horizontal="center" vertical="center" wrapText="1"/>
    </xf>
    <xf numFmtId="3" fontId="10" fillId="14" borderId="11" xfId="0" applyNumberFormat="1" applyFont="1" applyFill="1" applyBorder="1" applyAlignment="1">
      <alignment horizontal="center" vertical="center" wrapText="1"/>
    </xf>
    <xf numFmtId="2" fontId="10" fillId="14" borderId="11" xfId="0" applyNumberFormat="1" applyFont="1" applyFill="1" applyBorder="1" applyAlignment="1">
      <alignment horizontal="center" vertical="center" wrapText="1"/>
    </xf>
    <xf numFmtId="3" fontId="12" fillId="14" borderId="11" xfId="0" applyNumberFormat="1" applyFont="1" applyFill="1" applyBorder="1" applyAlignment="1">
      <alignment horizontal="center" vertical="center" wrapText="1"/>
    </xf>
    <xf numFmtId="9" fontId="10" fillId="14" borderId="11" xfId="0" applyNumberFormat="1" applyFont="1" applyFill="1" applyBorder="1" applyAlignment="1">
      <alignment horizontal="center" vertical="center" wrapText="1"/>
    </xf>
    <xf numFmtId="0" fontId="11" fillId="14" borderId="11" xfId="8" applyFont="1" applyFill="1" applyBorder="1" applyAlignment="1" applyProtection="1">
      <alignment horizontal="center" vertical="center" wrapText="1"/>
    </xf>
    <xf numFmtId="49" fontId="9" fillId="8" borderId="11" xfId="0" applyNumberFormat="1" applyFont="1" applyFill="1" applyBorder="1" applyAlignment="1">
      <alignment horizontal="center" vertical="center" wrapText="1"/>
    </xf>
    <xf numFmtId="167" fontId="9" fillId="8" borderId="11" xfId="0" applyNumberFormat="1" applyFont="1" applyFill="1" applyBorder="1" applyAlignment="1">
      <alignment horizontal="center" vertical="center" wrapText="1"/>
    </xf>
    <xf numFmtId="49" fontId="11" fillId="8" borderId="11" xfId="1" applyNumberFormat="1" applyFont="1" applyFill="1" applyBorder="1" applyAlignment="1">
      <alignment horizontal="center" vertical="center" wrapText="1"/>
    </xf>
    <xf numFmtId="2" fontId="10" fillId="8" borderId="11" xfId="6" applyNumberFormat="1" applyFont="1" applyFill="1" applyBorder="1" applyAlignment="1">
      <alignment horizontal="center" vertical="center" wrapText="1"/>
    </xf>
    <xf numFmtId="0" fontId="11" fillId="8" borderId="11" xfId="5" applyFont="1" applyFill="1" applyBorder="1" applyAlignment="1" applyProtection="1">
      <alignment horizontal="center" vertical="center" wrapText="1"/>
    </xf>
    <xf numFmtId="171" fontId="10" fillId="14" borderId="11" xfId="0" applyNumberFormat="1" applyFont="1" applyFill="1" applyBorder="1" applyAlignment="1">
      <alignment horizontal="center" vertical="center" wrapText="1"/>
    </xf>
    <xf numFmtId="174" fontId="10" fillId="14" borderId="11" xfId="0" applyNumberFormat="1" applyFont="1" applyFill="1" applyBorder="1" applyAlignment="1">
      <alignment horizontal="center" vertical="center" wrapText="1"/>
    </xf>
    <xf numFmtId="0" fontId="10" fillId="8" borderId="11" xfId="3" applyNumberFormat="1" applyFont="1" applyFill="1" applyBorder="1" applyAlignment="1" applyProtection="1">
      <alignment horizontal="center" vertical="center" wrapText="1"/>
    </xf>
    <xf numFmtId="0" fontId="9" fillId="14" borderId="11" xfId="0" applyFont="1" applyFill="1" applyBorder="1" applyAlignment="1">
      <alignment horizontal="center" vertical="center" wrapText="1"/>
    </xf>
    <xf numFmtId="1" fontId="9" fillId="14" borderId="11" xfId="0" applyNumberFormat="1" applyFont="1" applyFill="1" applyBorder="1" applyAlignment="1">
      <alignment horizontal="center" vertical="center" wrapText="1"/>
    </xf>
    <xf numFmtId="171" fontId="9" fillId="14" borderId="11" xfId="0" applyNumberFormat="1" applyFont="1" applyFill="1" applyBorder="1" applyAlignment="1">
      <alignment horizontal="center" vertical="center" wrapText="1"/>
    </xf>
    <xf numFmtId="0" fontId="9" fillId="14" borderId="11" xfId="1" applyFont="1" applyFill="1" applyBorder="1" applyAlignment="1" applyProtection="1">
      <alignment horizontal="center" vertical="center" wrapText="1"/>
    </xf>
    <xf numFmtId="0" fontId="13" fillId="14" borderId="11" xfId="0" applyFont="1" applyFill="1" applyBorder="1" applyAlignment="1">
      <alignment horizontal="center" vertical="center" wrapText="1"/>
    </xf>
    <xf numFmtId="0" fontId="44" fillId="14" borderId="11" xfId="1" applyFont="1" applyFill="1" applyBorder="1" applyAlignment="1" applyProtection="1">
      <alignment horizontal="center" vertical="center" wrapText="1"/>
    </xf>
    <xf numFmtId="181" fontId="10" fillId="8" borderId="11" xfId="0" applyNumberFormat="1" applyFont="1" applyFill="1" applyBorder="1" applyAlignment="1">
      <alignment horizontal="center" vertical="center" wrapText="1"/>
    </xf>
    <xf numFmtId="0" fontId="11" fillId="14" borderId="11" xfId="1" applyFont="1" applyFill="1" applyBorder="1" applyAlignment="1">
      <alignment horizontal="center" vertical="center" wrapText="1"/>
    </xf>
    <xf numFmtId="167" fontId="10" fillId="14" borderId="11" xfId="0" applyNumberFormat="1" applyFont="1" applyFill="1" applyBorder="1" applyAlignment="1">
      <alignment horizontal="center" vertical="center" wrapText="1"/>
    </xf>
    <xf numFmtId="10" fontId="11" fillId="14" borderId="11" xfId="1" applyNumberFormat="1" applyFont="1" applyFill="1" applyBorder="1" applyAlignment="1">
      <alignment horizontal="center" vertical="center" wrapText="1"/>
    </xf>
    <xf numFmtId="0" fontId="10" fillId="14" borderId="11" xfId="1" applyFont="1" applyFill="1" applyBorder="1" applyAlignment="1">
      <alignment horizontal="center" vertical="center" wrapText="1"/>
    </xf>
    <xf numFmtId="0" fontId="112" fillId="8" borderId="11" xfId="0" applyFont="1" applyFill="1" applyBorder="1" applyAlignment="1">
      <alignment horizontal="center" vertical="center"/>
    </xf>
    <xf numFmtId="168" fontId="18" fillId="8" borderId="11" xfId="0" applyNumberFormat="1" applyFont="1" applyFill="1" applyBorder="1" applyAlignment="1">
      <alignment horizontal="center" vertical="center" wrapText="1"/>
    </xf>
    <xf numFmtId="0" fontId="18" fillId="8" borderId="11" xfId="0" applyFont="1" applyFill="1" applyBorder="1" applyAlignment="1">
      <alignment horizontal="center" vertical="center" wrapText="1"/>
    </xf>
    <xf numFmtId="3" fontId="11" fillId="8" borderId="11" xfId="1" applyNumberFormat="1" applyFont="1" applyFill="1" applyBorder="1" applyAlignment="1" applyProtection="1">
      <alignment horizontal="center" vertical="center" wrapText="1"/>
    </xf>
    <xf numFmtId="0" fontId="38" fillId="8" borderId="11" xfId="0" applyFont="1" applyFill="1" applyBorder="1" applyAlignment="1">
      <alignment horizontal="center" vertical="center" wrapText="1"/>
    </xf>
    <xf numFmtId="14" fontId="35" fillId="8" borderId="11" xfId="0" applyNumberFormat="1" applyFont="1" applyFill="1" applyBorder="1" applyAlignment="1">
      <alignment horizontal="center" vertical="center" wrapText="1"/>
    </xf>
    <xf numFmtId="192" fontId="10" fillId="8" borderId="11" xfId="0" applyNumberFormat="1" applyFont="1" applyFill="1" applyBorder="1" applyAlignment="1">
      <alignment horizontal="center" vertical="center" wrapText="1"/>
    </xf>
    <xf numFmtId="193" fontId="10" fillId="8" borderId="11" xfId="0" applyNumberFormat="1" applyFont="1" applyFill="1" applyBorder="1" applyAlignment="1">
      <alignment horizontal="center" vertical="center" wrapText="1"/>
    </xf>
    <xf numFmtId="0" fontId="10" fillId="8" borderId="11" xfId="0" applyNumberFormat="1" applyFont="1" applyFill="1" applyBorder="1" applyAlignment="1">
      <alignment horizontal="center" vertical="center" wrapText="1"/>
    </xf>
    <xf numFmtId="168" fontId="10" fillId="15" borderId="11" xfId="0" applyNumberFormat="1" applyFont="1" applyFill="1" applyBorder="1" applyAlignment="1">
      <alignment horizontal="center" vertical="center" wrapText="1"/>
    </xf>
    <xf numFmtId="10" fontId="10" fillId="15" borderId="11" xfId="0" applyNumberFormat="1" applyFont="1" applyFill="1" applyBorder="1" applyAlignment="1">
      <alignment horizontal="center" vertical="center" wrapText="1"/>
    </xf>
    <xf numFmtId="3" fontId="10" fillId="15" borderId="11" xfId="0" applyNumberFormat="1" applyFont="1" applyFill="1" applyBorder="1" applyAlignment="1">
      <alignment horizontal="center" vertical="center" wrapText="1"/>
    </xf>
    <xf numFmtId="3" fontId="11" fillId="14" borderId="11" xfId="1" applyNumberFormat="1" applyFont="1" applyFill="1" applyBorder="1" applyAlignment="1">
      <alignment horizontal="center" vertical="center" wrapText="1"/>
    </xf>
    <xf numFmtId="4" fontId="10" fillId="14" borderId="11" xfId="0" applyNumberFormat="1" applyFont="1" applyFill="1" applyBorder="1" applyAlignment="1">
      <alignment horizontal="center" vertical="center" wrapText="1"/>
    </xf>
    <xf numFmtId="173" fontId="10" fillId="8" borderId="11" xfId="0" applyNumberFormat="1" applyFont="1" applyFill="1" applyBorder="1" applyAlignment="1">
      <alignment horizontal="center" vertical="center" wrapText="1"/>
    </xf>
    <xf numFmtId="10" fontId="11" fillId="8" borderId="11" xfId="5" applyNumberFormat="1" applyFont="1" applyFill="1" applyBorder="1" applyAlignment="1" applyProtection="1">
      <alignment horizontal="center" vertical="center" wrapText="1"/>
    </xf>
    <xf numFmtId="166" fontId="10" fillId="16" borderId="11" xfId="0" applyNumberFormat="1" applyFont="1" applyFill="1" applyBorder="1" applyAlignment="1">
      <alignment horizontal="center" vertical="center" wrapText="1"/>
    </xf>
    <xf numFmtId="10" fontId="11" fillId="16" borderId="11" xfId="0" applyNumberFormat="1" applyFont="1" applyFill="1" applyBorder="1" applyAlignment="1">
      <alignment horizontal="center" vertical="center" wrapText="1"/>
    </xf>
    <xf numFmtId="0" fontId="10" fillId="8" borderId="11" xfId="1" applyFont="1" applyFill="1" applyBorder="1" applyAlignment="1" applyProtection="1">
      <alignment horizontal="center" vertical="center" wrapText="1"/>
    </xf>
    <xf numFmtId="168" fontId="10" fillId="8" borderId="11" xfId="3" applyNumberFormat="1" applyFont="1" applyFill="1" applyBorder="1" applyAlignment="1">
      <alignment horizontal="center" vertical="center" wrapText="1"/>
    </xf>
    <xf numFmtId="10" fontId="11" fillId="8" borderId="11" xfId="13" applyNumberFormat="1" applyFont="1" applyFill="1" applyBorder="1" applyAlignment="1">
      <alignment horizontal="center" vertical="center" wrapText="1"/>
    </xf>
    <xf numFmtId="0" fontId="105" fillId="17" borderId="11" xfId="0" applyNumberFormat="1" applyFont="1" applyFill="1" applyBorder="1" applyAlignment="1">
      <alignment horizontal="center" vertical="center"/>
    </xf>
    <xf numFmtId="49" fontId="10" fillId="17" borderId="11" xfId="0" applyNumberFormat="1" applyFont="1" applyFill="1" applyBorder="1" applyAlignment="1">
      <alignment horizontal="center" vertical="center" wrapText="1"/>
    </xf>
    <xf numFmtId="0" fontId="13" fillId="41" borderId="11" xfId="0" applyFont="1" applyFill="1" applyBorder="1" applyAlignment="1">
      <alignment horizontal="center" vertical="center" wrapText="1"/>
    </xf>
    <xf numFmtId="1" fontId="13" fillId="41" borderId="11" xfId="0" applyNumberFormat="1" applyFont="1" applyFill="1" applyBorder="1" applyAlignment="1">
      <alignment horizontal="center" vertical="center" wrapText="1"/>
    </xf>
    <xf numFmtId="165" fontId="13" fillId="41" borderId="11" xfId="0" applyNumberFormat="1" applyFont="1" applyFill="1" applyBorder="1" applyAlignment="1">
      <alignment horizontal="center" vertical="center" wrapText="1"/>
    </xf>
    <xf numFmtId="0" fontId="15" fillId="41" borderId="11" xfId="1" applyFont="1" applyFill="1" applyBorder="1" applyAlignment="1">
      <alignment horizontal="center" vertical="center" wrapText="1"/>
    </xf>
    <xf numFmtId="168" fontId="13" fillId="41" borderId="11" xfId="0" applyNumberFormat="1" applyFont="1" applyFill="1" applyBorder="1" applyAlignment="1">
      <alignment horizontal="center" vertical="center" wrapText="1"/>
    </xf>
    <xf numFmtId="10" fontId="13" fillId="41" borderId="11" xfId="0" applyNumberFormat="1" applyFont="1" applyFill="1" applyBorder="1" applyAlignment="1">
      <alignment horizontal="center" vertical="center" wrapText="1"/>
    </xf>
    <xf numFmtId="0" fontId="13" fillId="41" borderId="11" xfId="0" applyNumberFormat="1" applyFont="1" applyFill="1" applyBorder="1" applyAlignment="1">
      <alignment horizontal="center" vertical="center" wrapText="1"/>
    </xf>
    <xf numFmtId="3" fontId="13" fillId="41" borderId="11" xfId="0" applyNumberFormat="1" applyFont="1" applyFill="1" applyBorder="1" applyAlignment="1">
      <alignment horizontal="center" vertical="center" wrapText="1"/>
    </xf>
    <xf numFmtId="2" fontId="13" fillId="41" borderId="11" xfId="0" applyNumberFormat="1" applyFont="1" applyFill="1" applyBorder="1" applyAlignment="1">
      <alignment horizontal="center" vertical="center" wrapText="1"/>
    </xf>
    <xf numFmtId="166" fontId="13" fillId="41" borderId="11" xfId="0" applyNumberFormat="1" applyFont="1" applyFill="1" applyBorder="1" applyAlignment="1">
      <alignment horizontal="center" vertical="center" wrapText="1"/>
    </xf>
    <xf numFmtId="167" fontId="13" fillId="41" borderId="11" xfId="0" applyNumberFormat="1" applyFont="1" applyFill="1" applyBorder="1" applyAlignment="1">
      <alignment horizontal="center" vertical="center" wrapText="1"/>
    </xf>
    <xf numFmtId="166" fontId="11" fillId="3" borderId="11" xfId="1" applyNumberFormat="1" applyFont="1" applyFill="1" applyBorder="1" applyAlignment="1">
      <alignment horizontal="center" vertical="center" wrapText="1"/>
    </xf>
    <xf numFmtId="10" fontId="15" fillId="41" borderId="11" xfId="1" applyNumberFormat="1" applyFont="1" applyFill="1" applyBorder="1" applyAlignment="1">
      <alignment horizontal="center" vertical="center" wrapText="1"/>
    </xf>
    <xf numFmtId="172" fontId="10" fillId="3" borderId="11" xfId="0" applyNumberFormat="1" applyFont="1" applyFill="1" applyBorder="1" applyAlignment="1">
      <alignment horizontal="center" vertical="center" wrapText="1"/>
    </xf>
    <xf numFmtId="1" fontId="13" fillId="40" borderId="11" xfId="0" applyNumberFormat="1" applyFont="1" applyFill="1" applyBorder="1" applyAlignment="1">
      <alignment horizontal="center" vertical="center" wrapText="1"/>
    </xf>
    <xf numFmtId="185" fontId="13" fillId="40" borderId="11" xfId="0" applyNumberFormat="1" applyFont="1" applyFill="1" applyBorder="1" applyAlignment="1">
      <alignment horizontal="center" vertical="center" wrapText="1"/>
    </xf>
    <xf numFmtId="0" fontId="11" fillId="40" borderId="11" xfId="1" applyFont="1" applyFill="1" applyBorder="1" applyAlignment="1">
      <alignment horizontal="center" vertical="center" wrapText="1"/>
    </xf>
    <xf numFmtId="166" fontId="13" fillId="40" borderId="11" xfId="0" applyNumberFormat="1" applyFont="1" applyFill="1" applyBorder="1" applyAlignment="1">
      <alignment horizontal="center" vertical="center" wrapText="1"/>
    </xf>
    <xf numFmtId="10" fontId="13" fillId="40" borderId="11" xfId="0" applyNumberFormat="1" applyFont="1" applyFill="1" applyBorder="1" applyAlignment="1">
      <alignment horizontal="center" vertical="center" wrapText="1"/>
    </xf>
    <xf numFmtId="2" fontId="13" fillId="40" borderId="11" xfId="0" applyNumberFormat="1" applyFont="1" applyFill="1" applyBorder="1" applyAlignment="1">
      <alignment horizontal="center" vertical="center" wrapText="1"/>
    </xf>
    <xf numFmtId="3" fontId="13" fillId="40" borderId="11" xfId="0" applyNumberFormat="1" applyFont="1" applyFill="1" applyBorder="1" applyAlignment="1">
      <alignment horizontal="center" vertical="center" wrapText="1"/>
    </xf>
    <xf numFmtId="3" fontId="14" fillId="40" borderId="11" xfId="0" applyNumberFormat="1" applyFont="1" applyFill="1" applyBorder="1" applyAlignment="1">
      <alignment horizontal="center" vertical="center" wrapText="1"/>
    </xf>
    <xf numFmtId="10" fontId="11" fillId="40" borderId="11" xfId="1" applyNumberFormat="1" applyFont="1" applyFill="1" applyBorder="1" applyAlignment="1">
      <alignment horizontal="center" vertical="center" wrapText="1"/>
    </xf>
    <xf numFmtId="0" fontId="10" fillId="40" borderId="11" xfId="0" applyFont="1" applyFill="1" applyBorder="1" applyAlignment="1">
      <alignment horizontal="center" vertical="center" wrapText="1"/>
    </xf>
    <xf numFmtId="3" fontId="10" fillId="40" borderId="11" xfId="0" applyNumberFormat="1" applyFont="1" applyFill="1" applyBorder="1" applyAlignment="1">
      <alignment horizontal="center" vertical="center" wrapText="1"/>
    </xf>
    <xf numFmtId="0" fontId="9" fillId="40" borderId="11" xfId="0" applyFont="1" applyFill="1" applyBorder="1" applyAlignment="1">
      <alignment horizontal="center" vertical="center" wrapText="1"/>
    </xf>
    <xf numFmtId="0" fontId="11" fillId="40" borderId="11" xfId="0" applyFont="1" applyFill="1" applyBorder="1" applyAlignment="1">
      <alignment horizontal="center" vertical="center" wrapText="1"/>
    </xf>
    <xf numFmtId="0" fontId="45" fillId="40" borderId="11" xfId="0" applyFont="1" applyFill="1" applyBorder="1" applyAlignment="1">
      <alignment horizontal="center" vertical="center" wrapText="1"/>
    </xf>
    <xf numFmtId="0" fontId="41" fillId="40" borderId="11" xfId="0" applyFont="1" applyFill="1" applyBorder="1" applyAlignment="1">
      <alignment horizontal="center" vertical="center" wrapText="1"/>
    </xf>
    <xf numFmtId="0" fontId="10" fillId="47" borderId="11" xfId="0" applyFont="1" applyFill="1" applyBorder="1" applyAlignment="1">
      <alignment horizontal="center" vertical="center" wrapText="1"/>
    </xf>
    <xf numFmtId="1" fontId="10" fillId="47" borderId="11" xfId="0" applyNumberFormat="1" applyFont="1" applyFill="1" applyBorder="1" applyAlignment="1">
      <alignment horizontal="center" vertical="center" wrapText="1"/>
    </xf>
    <xf numFmtId="171" fontId="10" fillId="47" borderId="11" xfId="0" applyNumberFormat="1" applyFont="1" applyFill="1" applyBorder="1" applyAlignment="1">
      <alignment horizontal="center" vertical="center" wrapText="1"/>
    </xf>
    <xf numFmtId="0" fontId="11" fillId="47" borderId="11" xfId="1" applyFont="1" applyFill="1" applyBorder="1" applyAlignment="1">
      <alignment horizontal="center" vertical="center" wrapText="1"/>
    </xf>
    <xf numFmtId="168" fontId="10" fillId="47" borderId="11" xfId="0" applyNumberFormat="1" applyFont="1" applyFill="1" applyBorder="1" applyAlignment="1">
      <alignment horizontal="center" vertical="center" wrapText="1"/>
    </xf>
    <xf numFmtId="10" fontId="10" fillId="47" borderId="11" xfId="0" applyNumberFormat="1" applyFont="1" applyFill="1" applyBorder="1" applyAlignment="1">
      <alignment horizontal="center" vertical="center" wrapText="1"/>
    </xf>
    <xf numFmtId="166" fontId="10" fillId="47" borderId="11" xfId="0" applyNumberFormat="1" applyFont="1" applyFill="1" applyBorder="1" applyAlignment="1">
      <alignment horizontal="center" vertical="center" wrapText="1"/>
    </xf>
    <xf numFmtId="2" fontId="10" fillId="47" borderId="11" xfId="0" applyNumberFormat="1" applyFont="1" applyFill="1" applyBorder="1" applyAlignment="1">
      <alignment horizontal="center" vertical="center" wrapText="1"/>
    </xf>
    <xf numFmtId="3" fontId="10" fillId="47" borderId="11" xfId="0" applyNumberFormat="1" applyFont="1" applyFill="1" applyBorder="1" applyAlignment="1">
      <alignment horizontal="center" vertical="center" wrapText="1"/>
    </xf>
    <xf numFmtId="3" fontId="12" fillId="47" borderId="11" xfId="0" applyNumberFormat="1" applyFont="1" applyFill="1" applyBorder="1" applyAlignment="1">
      <alignment horizontal="center" vertical="center" wrapText="1"/>
    </xf>
    <xf numFmtId="167" fontId="10" fillId="47" borderId="11" xfId="0" applyNumberFormat="1" applyFont="1" applyFill="1" applyBorder="1" applyAlignment="1">
      <alignment horizontal="center" vertical="center" wrapText="1"/>
    </xf>
    <xf numFmtId="0" fontId="37" fillId="3" borderId="11" xfId="0" applyFont="1" applyFill="1" applyBorder="1" applyAlignment="1">
      <alignment horizontal="center" vertical="center" wrapText="1"/>
    </xf>
    <xf numFmtId="1" fontId="37" fillId="3" borderId="11" xfId="0" applyNumberFormat="1" applyFont="1" applyFill="1" applyBorder="1" applyAlignment="1">
      <alignment horizontal="center" vertical="center" wrapText="1"/>
    </xf>
    <xf numFmtId="165" fontId="37" fillId="3" borderId="11" xfId="0" applyNumberFormat="1" applyFont="1" applyFill="1" applyBorder="1" applyAlignment="1">
      <alignment horizontal="center" vertical="center" wrapText="1"/>
    </xf>
    <xf numFmtId="168" fontId="37" fillId="3" borderId="11" xfId="0" applyNumberFormat="1" applyFont="1" applyFill="1" applyBorder="1" applyAlignment="1">
      <alignment horizontal="center" vertical="center" wrapText="1"/>
    </xf>
    <xf numFmtId="10" fontId="37" fillId="3" borderId="11" xfId="0" applyNumberFormat="1" applyFont="1" applyFill="1" applyBorder="1" applyAlignment="1">
      <alignment horizontal="center" vertical="center" wrapText="1"/>
    </xf>
    <xf numFmtId="3" fontId="37" fillId="3" borderId="11" xfId="0" applyNumberFormat="1" applyFont="1" applyFill="1" applyBorder="1" applyAlignment="1">
      <alignment horizontal="center" vertical="center" wrapText="1"/>
    </xf>
    <xf numFmtId="2" fontId="37" fillId="3" borderId="11" xfId="0" applyNumberFormat="1" applyFont="1" applyFill="1" applyBorder="1" applyAlignment="1">
      <alignment horizontal="center" vertical="center" wrapText="1"/>
    </xf>
    <xf numFmtId="168" fontId="38" fillId="3" borderId="11" xfId="0" applyNumberFormat="1" applyFont="1" applyFill="1" applyBorder="1" applyAlignment="1">
      <alignment horizontal="center" vertical="center" wrapText="1"/>
    </xf>
    <xf numFmtId="10" fontId="38" fillId="3" borderId="11" xfId="0" applyNumberFormat="1" applyFont="1" applyFill="1" applyBorder="1" applyAlignment="1">
      <alignment horizontal="center" vertical="center" wrapText="1"/>
    </xf>
    <xf numFmtId="0" fontId="40" fillId="3" borderId="11" xfId="0" applyFont="1" applyFill="1" applyBorder="1" applyAlignment="1">
      <alignment horizontal="center" vertical="center" wrapText="1"/>
    </xf>
    <xf numFmtId="168" fontId="14" fillId="3" borderId="11" xfId="0" applyNumberFormat="1" applyFont="1" applyFill="1" applyBorder="1" applyAlignment="1">
      <alignment horizontal="center" vertical="center" wrapText="1"/>
    </xf>
    <xf numFmtId="0" fontId="9" fillId="41" borderId="11" xfId="0" applyFont="1" applyFill="1" applyBorder="1" applyAlignment="1">
      <alignment horizontal="center" vertical="center" wrapText="1"/>
    </xf>
    <xf numFmtId="1" fontId="10" fillId="41" borderId="11" xfId="0" applyNumberFormat="1" applyFont="1" applyFill="1" applyBorder="1" applyAlignment="1">
      <alignment horizontal="center" vertical="center" wrapText="1"/>
    </xf>
    <xf numFmtId="165" fontId="10" fillId="41" borderId="11" xfId="0" applyNumberFormat="1" applyFont="1" applyFill="1" applyBorder="1" applyAlignment="1">
      <alignment horizontal="center" vertical="center" wrapText="1"/>
    </xf>
    <xf numFmtId="0" fontId="11" fillId="41" borderId="11" xfId="1" applyFont="1" applyFill="1" applyBorder="1" applyAlignment="1">
      <alignment horizontal="center" vertical="center" wrapText="1"/>
    </xf>
    <xf numFmtId="0" fontId="10" fillId="41" borderId="11" xfId="0" applyFont="1" applyFill="1" applyBorder="1" applyAlignment="1">
      <alignment horizontal="center" vertical="center" wrapText="1"/>
    </xf>
    <xf numFmtId="168" fontId="10" fillId="41" borderId="11" xfId="0" applyNumberFormat="1" applyFont="1" applyFill="1" applyBorder="1" applyAlignment="1">
      <alignment horizontal="center" vertical="center" wrapText="1"/>
    </xf>
    <xf numFmtId="10" fontId="10" fillId="41" borderId="11" xfId="0" applyNumberFormat="1" applyFont="1" applyFill="1" applyBorder="1" applyAlignment="1">
      <alignment horizontal="center" vertical="center" wrapText="1"/>
    </xf>
    <xf numFmtId="2" fontId="10" fillId="41" borderId="11" xfId="0" applyNumberFormat="1" applyFont="1" applyFill="1" applyBorder="1" applyAlignment="1">
      <alignment horizontal="center" vertical="center" wrapText="1"/>
    </xf>
    <xf numFmtId="3" fontId="10" fillId="41" borderId="11" xfId="0" applyNumberFormat="1" applyFont="1" applyFill="1" applyBorder="1" applyAlignment="1">
      <alignment horizontal="center" vertical="center" wrapText="1"/>
    </xf>
    <xf numFmtId="3" fontId="12" fillId="41" borderId="11" xfId="0" applyNumberFormat="1" applyFont="1" applyFill="1" applyBorder="1" applyAlignment="1">
      <alignment horizontal="center" vertical="center" wrapText="1"/>
    </xf>
    <xf numFmtId="166" fontId="10" fillId="41" borderId="11" xfId="0" applyNumberFormat="1" applyFont="1" applyFill="1" applyBorder="1" applyAlignment="1">
      <alignment horizontal="center" vertical="center" wrapText="1"/>
    </xf>
    <xf numFmtId="0" fontId="44" fillId="41" borderId="11" xfId="0" applyFont="1" applyFill="1" applyBorder="1" applyAlignment="1">
      <alignment horizontal="center" vertical="center" wrapText="1"/>
    </xf>
    <xf numFmtId="0" fontId="9" fillId="41" borderId="11" xfId="0" applyFont="1" applyFill="1" applyBorder="1" applyAlignment="1">
      <alignment horizontal="center" vertical="center"/>
    </xf>
    <xf numFmtId="3" fontId="9" fillId="41" borderId="11" xfId="0" applyNumberFormat="1" applyFont="1" applyFill="1" applyBorder="1" applyAlignment="1">
      <alignment horizontal="center" vertical="center" wrapText="1"/>
    </xf>
    <xf numFmtId="167" fontId="10" fillId="41" borderId="11" xfId="0" applyNumberFormat="1" applyFont="1" applyFill="1" applyBorder="1" applyAlignment="1">
      <alignment horizontal="center" vertical="center" wrapText="1"/>
    </xf>
    <xf numFmtId="169" fontId="9" fillId="3" borderId="11" xfId="0" applyNumberFormat="1" applyFont="1" applyFill="1" applyBorder="1" applyAlignment="1">
      <alignment horizontal="center" vertical="center" wrapText="1"/>
    </xf>
    <xf numFmtId="1" fontId="9" fillId="41" borderId="11" xfId="0" applyNumberFormat="1" applyFont="1" applyFill="1" applyBorder="1" applyAlignment="1">
      <alignment horizontal="center" vertical="center" wrapText="1"/>
    </xf>
    <xf numFmtId="165" fontId="9" fillId="41" borderId="11" xfId="0" applyNumberFormat="1" applyFont="1" applyFill="1" applyBorder="1" applyAlignment="1">
      <alignment horizontal="center" vertical="center" wrapText="1"/>
    </xf>
    <xf numFmtId="3" fontId="18" fillId="3" borderId="11" xfId="1" applyNumberFormat="1" applyFont="1" applyFill="1" applyBorder="1" applyAlignment="1">
      <alignment horizontal="center" vertical="center" wrapText="1"/>
    </xf>
    <xf numFmtId="0" fontId="41" fillId="5" borderId="11" xfId="1" applyFont="1" applyFill="1" applyBorder="1" applyAlignment="1" applyProtection="1">
      <alignment horizontal="center" vertical="center" wrapText="1"/>
    </xf>
    <xf numFmtId="169" fontId="10" fillId="5" borderId="11" xfId="0" applyNumberFormat="1" applyFont="1" applyFill="1" applyBorder="1" applyAlignment="1">
      <alignment horizontal="center" vertical="center" wrapText="1"/>
    </xf>
    <xf numFmtId="0" fontId="11" fillId="3" borderId="11" xfId="1" applyFont="1" applyFill="1" applyBorder="1" applyAlignment="1" applyProtection="1">
      <alignment horizontal="center" vertical="center"/>
    </xf>
    <xf numFmtId="168" fontId="13" fillId="3" borderId="11" xfId="2" applyNumberFormat="1" applyFont="1" applyFill="1" applyBorder="1" applyAlignment="1">
      <alignment horizontal="center" vertical="center" wrapText="1"/>
    </xf>
    <xf numFmtId="166" fontId="10" fillId="3" borderId="11" xfId="0" applyNumberFormat="1" applyFont="1" applyFill="1" applyBorder="1" applyAlignment="1">
      <alignment horizontal="center" vertical="center"/>
    </xf>
    <xf numFmtId="182" fontId="9" fillId="14" borderId="11" xfId="0" applyNumberFormat="1" applyFont="1" applyFill="1" applyBorder="1" applyAlignment="1">
      <alignment horizontal="center" vertical="center" wrapText="1"/>
    </xf>
    <xf numFmtId="0" fontId="45" fillId="14" borderId="11" xfId="0" applyFont="1" applyFill="1" applyBorder="1" applyAlignment="1">
      <alignment horizontal="center" vertical="center" wrapText="1"/>
    </xf>
    <xf numFmtId="183" fontId="10" fillId="14" borderId="11" xfId="0" applyNumberFormat="1" applyFont="1" applyFill="1" applyBorder="1" applyAlignment="1">
      <alignment horizontal="center" vertical="center" wrapText="1"/>
    </xf>
    <xf numFmtId="184" fontId="10" fillId="14" borderId="11" xfId="0" applyNumberFormat="1" applyFont="1" applyFill="1" applyBorder="1" applyAlignment="1">
      <alignment horizontal="center" vertical="center" wrapText="1"/>
    </xf>
    <xf numFmtId="10" fontId="45" fillId="14" borderId="11" xfId="0" applyNumberFormat="1" applyFont="1" applyFill="1" applyBorder="1" applyAlignment="1">
      <alignment horizontal="center" vertical="center" wrapText="1"/>
    </xf>
    <xf numFmtId="0" fontId="17" fillId="8" borderId="11" xfId="0" applyFont="1" applyFill="1" applyBorder="1" applyAlignment="1">
      <alignment horizontal="center" vertical="center" wrapText="1"/>
    </xf>
    <xf numFmtId="3" fontId="12" fillId="11" borderId="11" xfId="0" applyNumberFormat="1" applyFont="1" applyFill="1" applyBorder="1" applyAlignment="1">
      <alignment horizontal="center" vertical="center" wrapText="1"/>
    </xf>
    <xf numFmtId="49" fontId="9" fillId="11" borderId="11" xfId="11" applyNumberFormat="1" applyFont="1" applyFill="1" applyBorder="1" applyAlignment="1">
      <alignment horizontal="center" vertical="center" wrapText="1"/>
    </xf>
    <xf numFmtId="0" fontId="9" fillId="50" borderId="11" xfId="0" applyFont="1" applyFill="1" applyBorder="1" applyAlignment="1">
      <alignment horizontal="center" vertical="center" wrapText="1"/>
    </xf>
    <xf numFmtId="49" fontId="10" fillId="50" borderId="11" xfId="0" applyNumberFormat="1" applyFont="1" applyFill="1" applyBorder="1" applyAlignment="1">
      <alignment horizontal="center" vertical="center" wrapText="1"/>
    </xf>
    <xf numFmtId="49" fontId="11" fillId="50" borderId="11" xfId="1" applyNumberFormat="1" applyFont="1" applyFill="1" applyBorder="1" applyAlignment="1">
      <alignment horizontal="center" vertical="center" wrapText="1"/>
    </xf>
    <xf numFmtId="0" fontId="12" fillId="50" borderId="11" xfId="0" applyNumberFormat="1" applyFont="1" applyFill="1" applyBorder="1" applyAlignment="1">
      <alignment horizontal="center" vertical="center" wrapText="1"/>
    </xf>
    <xf numFmtId="49" fontId="12" fillId="50" borderId="11" xfId="0" applyNumberFormat="1" applyFont="1" applyFill="1" applyBorder="1" applyAlignment="1">
      <alignment horizontal="center" vertical="center" wrapText="1"/>
    </xf>
    <xf numFmtId="49" fontId="11" fillId="50" borderId="11" xfId="1" applyNumberFormat="1" applyFont="1" applyFill="1" applyBorder="1" applyAlignment="1">
      <alignment horizontal="center" vertical="center"/>
    </xf>
    <xf numFmtId="0" fontId="13" fillId="50" borderId="11" xfId="0" applyFont="1" applyFill="1" applyBorder="1" applyAlignment="1">
      <alignment horizontal="center" vertical="center"/>
    </xf>
    <xf numFmtId="168" fontId="13" fillId="50" borderId="11" xfId="0" applyNumberFormat="1" applyFont="1" applyFill="1" applyBorder="1" applyAlignment="1">
      <alignment horizontal="center" vertical="center"/>
    </xf>
    <xf numFmtId="166" fontId="10" fillId="50" borderId="11" xfId="0" applyNumberFormat="1" applyFont="1" applyFill="1" applyBorder="1" applyAlignment="1">
      <alignment horizontal="center" vertical="center" wrapText="1"/>
    </xf>
    <xf numFmtId="2" fontId="13" fillId="50" borderId="11" xfId="0" applyNumberFormat="1" applyFont="1" applyFill="1" applyBorder="1" applyAlignment="1">
      <alignment horizontal="center" vertical="center"/>
    </xf>
    <xf numFmtId="3" fontId="12" fillId="50" borderId="11" xfId="0" applyNumberFormat="1" applyFont="1" applyFill="1" applyBorder="1" applyAlignment="1">
      <alignment horizontal="center" vertical="center" wrapText="1"/>
    </xf>
    <xf numFmtId="1" fontId="9" fillId="50" borderId="11" xfId="0" applyNumberFormat="1" applyFont="1" applyFill="1" applyBorder="1" applyAlignment="1">
      <alignment horizontal="center" vertical="center" wrapText="1"/>
    </xf>
    <xf numFmtId="165" fontId="9" fillId="50" borderId="11" xfId="0" applyNumberFormat="1" applyFont="1" applyFill="1" applyBorder="1" applyAlignment="1">
      <alignment horizontal="center" vertical="center" wrapText="1"/>
    </xf>
    <xf numFmtId="0" fontId="11" fillId="50" borderId="11" xfId="1" applyFont="1" applyFill="1" applyBorder="1" applyAlignment="1" applyProtection="1">
      <alignment horizontal="center" vertical="center" wrapText="1"/>
    </xf>
    <xf numFmtId="0" fontId="10" fillId="50" borderId="11" xfId="0" applyFont="1" applyFill="1" applyBorder="1" applyAlignment="1">
      <alignment horizontal="center" vertical="center" wrapText="1"/>
    </xf>
    <xf numFmtId="168" fontId="10" fillId="50" borderId="11" xfId="0" applyNumberFormat="1" applyFont="1" applyFill="1" applyBorder="1" applyAlignment="1">
      <alignment horizontal="center" vertical="center" wrapText="1"/>
    </xf>
    <xf numFmtId="10" fontId="10" fillId="50" borderId="11" xfId="0" applyNumberFormat="1" applyFont="1" applyFill="1" applyBorder="1" applyAlignment="1">
      <alignment horizontal="center" vertical="center" wrapText="1"/>
    </xf>
    <xf numFmtId="3" fontId="10" fillId="50" borderId="11" xfId="0" applyNumberFormat="1" applyFont="1" applyFill="1" applyBorder="1" applyAlignment="1">
      <alignment horizontal="center" vertical="center" wrapText="1"/>
    </xf>
    <xf numFmtId="2" fontId="10" fillId="50" borderId="11" xfId="0" applyNumberFormat="1" applyFont="1" applyFill="1" applyBorder="1" applyAlignment="1">
      <alignment horizontal="center" vertical="center" wrapText="1"/>
    </xf>
    <xf numFmtId="9" fontId="9" fillId="50" borderId="11" xfId="0" applyNumberFormat="1" applyFont="1" applyFill="1" applyBorder="1" applyAlignment="1">
      <alignment horizontal="center" vertical="center" wrapText="1"/>
    </xf>
    <xf numFmtId="167" fontId="10" fillId="50" borderId="11" xfId="0" applyNumberFormat="1" applyFont="1" applyFill="1" applyBorder="1" applyAlignment="1">
      <alignment horizontal="center" vertical="center" wrapText="1"/>
    </xf>
    <xf numFmtId="0" fontId="34" fillId="0" borderId="14" xfId="0" applyFont="1" applyBorder="1" applyAlignment="1">
      <alignment horizontal="left" vertical="top" wrapText="1"/>
    </xf>
    <xf numFmtId="0" fontId="34" fillId="0" borderId="34" xfId="0" applyFont="1" applyBorder="1" applyAlignment="1">
      <alignment horizontal="left" vertical="top" wrapText="1"/>
    </xf>
    <xf numFmtId="49" fontId="31" fillId="0" borderId="4" xfId="0" applyNumberFormat="1" applyFont="1" applyBorder="1" applyAlignment="1">
      <alignment horizontal="center" vertical="center" wrapText="1"/>
    </xf>
    <xf numFmtId="49" fontId="31" fillId="0" borderId="2" xfId="0" applyNumberFormat="1" applyFont="1" applyBorder="1" applyAlignment="1">
      <alignment horizontal="center" vertical="center" wrapText="1"/>
    </xf>
    <xf numFmtId="0" fontId="52" fillId="0" borderId="10" xfId="0" applyFont="1" applyBorder="1" applyAlignment="1">
      <alignment vertical="center" wrapText="1"/>
    </xf>
    <xf numFmtId="0" fontId="52" fillId="0" borderId="9" xfId="0" applyFont="1" applyBorder="1" applyAlignment="1">
      <alignment vertical="center" wrapText="1"/>
    </xf>
    <xf numFmtId="49" fontId="31" fillId="0" borderId="6" xfId="0" applyNumberFormat="1" applyFont="1" applyBorder="1" applyAlignment="1">
      <alignment horizontal="center" vertical="center" wrapText="1"/>
    </xf>
    <xf numFmtId="0" fontId="52" fillId="0" borderId="7" xfId="0" applyFont="1" applyBorder="1" applyAlignment="1">
      <alignment vertical="center" wrapText="1"/>
    </xf>
    <xf numFmtId="49" fontId="52" fillId="0" borderId="22" xfId="0" applyNumberFormat="1" applyFont="1" applyBorder="1" applyAlignment="1">
      <alignment horizontal="center" vertical="center" wrapText="1"/>
    </xf>
    <xf numFmtId="49" fontId="52" fillId="0" borderId="24" xfId="0" applyNumberFormat="1" applyFont="1" applyBorder="1" applyAlignment="1">
      <alignment horizontal="center" vertical="center" wrapText="1"/>
    </xf>
    <xf numFmtId="0" fontId="52" fillId="0" borderId="25" xfId="0" applyFont="1" applyBorder="1" applyAlignment="1">
      <alignment horizontal="left" vertical="center" wrapText="1"/>
    </xf>
    <xf numFmtId="0" fontId="52" fillId="0" borderId="26" xfId="0" applyFont="1" applyBorder="1" applyAlignment="1">
      <alignment horizontal="left" vertical="center" wrapText="1"/>
    </xf>
    <xf numFmtId="0" fontId="52" fillId="0" borderId="27" xfId="0" applyFont="1" applyBorder="1" applyAlignment="1">
      <alignment horizontal="left" vertical="center" wrapText="1"/>
    </xf>
    <xf numFmtId="0" fontId="50" fillId="0" borderId="24"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26" xfId="0" applyFont="1" applyBorder="1" applyAlignment="1">
      <alignment horizontal="left" vertical="center" wrapText="1"/>
    </xf>
    <xf numFmtId="0" fontId="50" fillId="0" borderId="27" xfId="0" applyFont="1" applyBorder="1" applyAlignment="1">
      <alignment horizontal="left" vertical="center" wrapText="1"/>
    </xf>
    <xf numFmtId="0" fontId="50" fillId="0" borderId="2" xfId="0" applyFont="1" applyBorder="1" applyAlignment="1">
      <alignment horizontal="center" vertical="center" wrapText="1"/>
    </xf>
    <xf numFmtId="0" fontId="52" fillId="0" borderId="6" xfId="0" applyFont="1" applyBorder="1" applyAlignment="1">
      <alignment vertical="center" wrapText="1"/>
    </xf>
    <xf numFmtId="0" fontId="52" fillId="0" borderId="4" xfId="0" applyFont="1" applyBorder="1" applyAlignment="1">
      <alignment vertical="center" wrapText="1"/>
    </xf>
    <xf numFmtId="0" fontId="50" fillId="0" borderId="2" xfId="0" applyFont="1" applyBorder="1" applyAlignment="1">
      <alignment vertical="center" wrapText="1"/>
    </xf>
    <xf numFmtId="0" fontId="52" fillId="0" borderId="6" xfId="0" applyFont="1" applyBorder="1" applyAlignment="1">
      <alignment horizontal="left" vertical="center" wrapText="1"/>
    </xf>
    <xf numFmtId="0" fontId="52" fillId="0" borderId="2" xfId="0" applyFont="1" applyBorder="1" applyAlignment="1">
      <alignment horizontal="left" vertical="center" wrapText="1"/>
    </xf>
    <xf numFmtId="0" fontId="52" fillId="0" borderId="2" xfId="0" applyFont="1" applyBorder="1" applyAlignment="1">
      <alignment vertical="center" wrapText="1"/>
    </xf>
    <xf numFmtId="0" fontId="31" fillId="0" borderId="6" xfId="0" applyFont="1" applyBorder="1" applyAlignment="1">
      <alignment vertical="center" wrapText="1"/>
    </xf>
    <xf numFmtId="0" fontId="31" fillId="0" borderId="2" xfId="0" applyFont="1" applyBorder="1" applyAlignment="1">
      <alignment vertical="center" wrapText="1"/>
    </xf>
    <xf numFmtId="0" fontId="52" fillId="0" borderId="4" xfId="0" applyFont="1" applyBorder="1" applyAlignment="1">
      <alignment horizontal="left" vertical="center" wrapText="1"/>
    </xf>
    <xf numFmtId="0" fontId="50" fillId="0" borderId="9" xfId="0" applyFont="1" applyBorder="1" applyAlignment="1">
      <alignment vertical="center" wrapText="1"/>
    </xf>
    <xf numFmtId="49" fontId="52" fillId="0" borderId="23" xfId="0" applyNumberFormat="1" applyFont="1" applyBorder="1" applyAlignment="1">
      <alignment horizontal="center" vertical="center" wrapText="1"/>
    </xf>
    <xf numFmtId="0" fontId="50" fillId="0" borderId="10" xfId="0" applyFont="1" applyBorder="1" applyAlignment="1">
      <alignment vertical="center" wrapText="1"/>
    </xf>
    <xf numFmtId="0" fontId="50" fillId="0" borderId="4" xfId="0" applyFont="1" applyBorder="1" applyAlignment="1">
      <alignment horizontal="center" vertical="center" wrapText="1"/>
    </xf>
    <xf numFmtId="0" fontId="52" fillId="3" borderId="25" xfId="0" applyFont="1" applyFill="1" applyBorder="1" applyAlignment="1">
      <alignment horizontal="left" vertical="center" wrapText="1"/>
    </xf>
    <xf numFmtId="0" fontId="52" fillId="3" borderId="26" xfId="0" applyFont="1" applyFill="1" applyBorder="1" applyAlignment="1">
      <alignment horizontal="left" vertical="center" wrapText="1"/>
    </xf>
    <xf numFmtId="0" fontId="52" fillId="3" borderId="27" xfId="0" applyFont="1" applyFill="1" applyBorder="1" applyAlignment="1">
      <alignment horizontal="left" vertical="center" wrapText="1"/>
    </xf>
    <xf numFmtId="49" fontId="52" fillId="0" borderId="61" xfId="0" applyNumberFormat="1" applyFont="1" applyBorder="1" applyAlignment="1">
      <alignment horizontal="center" vertical="center" wrapText="1"/>
    </xf>
    <xf numFmtId="49" fontId="52" fillId="0" borderId="20" xfId="0" applyNumberFormat="1" applyFont="1" applyBorder="1" applyAlignment="1">
      <alignment horizontal="center" vertical="center" wrapText="1"/>
    </xf>
    <xf numFmtId="0" fontId="52" fillId="0" borderId="60" xfId="0" applyFont="1" applyBorder="1" applyAlignment="1">
      <alignment horizontal="left" vertical="center" wrapText="1"/>
    </xf>
    <xf numFmtId="0" fontId="50" fillId="0" borderId="61" xfId="0" applyFont="1" applyBorder="1" applyAlignment="1">
      <alignment horizontal="center" vertical="center" wrapText="1"/>
    </xf>
    <xf numFmtId="0" fontId="21" fillId="0" borderId="40" xfId="0" applyFont="1" applyBorder="1" applyAlignment="1">
      <alignment horizontal="left" vertical="center" wrapText="1"/>
    </xf>
    <xf numFmtId="0" fontId="50" fillId="0" borderId="40" xfId="0" applyFont="1" applyBorder="1" applyAlignment="1">
      <alignment horizontal="left" vertical="center"/>
    </xf>
    <xf numFmtId="0" fontId="52" fillId="0" borderId="13" xfId="0" applyFont="1" applyBorder="1" applyAlignment="1">
      <alignment horizontal="left" vertical="center" wrapText="1"/>
    </xf>
    <xf numFmtId="0" fontId="50" fillId="0" borderId="22" xfId="0" applyFont="1" applyBorder="1" applyAlignment="1">
      <alignment horizontal="center" vertical="center" wrapText="1"/>
    </xf>
    <xf numFmtId="0" fontId="50" fillId="0" borderId="25" xfId="0" applyFont="1" applyBorder="1" applyAlignment="1">
      <alignment horizontal="left" vertical="center" wrapText="1"/>
    </xf>
    <xf numFmtId="49" fontId="52" fillId="0" borderId="6" xfId="0" applyNumberFormat="1" applyFont="1" applyBorder="1" applyAlignment="1">
      <alignment horizontal="center" vertical="center" wrapText="1"/>
    </xf>
    <xf numFmtId="49" fontId="52" fillId="0" borderId="2" xfId="0" applyNumberFormat="1" applyFont="1" applyBorder="1" applyAlignment="1">
      <alignment horizontal="center" vertical="center" wrapText="1"/>
    </xf>
    <xf numFmtId="49" fontId="52" fillId="0" borderId="4" xfId="0" applyNumberFormat="1" applyFont="1" applyBorder="1" applyAlignment="1">
      <alignment horizontal="center" vertical="center" wrapText="1"/>
    </xf>
    <xf numFmtId="0" fontId="52" fillId="0" borderId="22" xfId="0" applyFont="1" applyBorder="1" applyAlignment="1">
      <alignment horizontal="left" vertical="center" wrapText="1"/>
    </xf>
    <xf numFmtId="0" fontId="50" fillId="0" borderId="24" xfId="0" applyFont="1" applyBorder="1" applyAlignment="1">
      <alignment horizontal="left" vertical="center" wrapText="1"/>
    </xf>
    <xf numFmtId="0" fontId="50" fillId="0" borderId="23" xfId="0" applyFont="1" applyBorder="1" applyAlignment="1">
      <alignment horizontal="left" vertical="center" wrapText="1"/>
    </xf>
    <xf numFmtId="0" fontId="52" fillId="0" borderId="6" xfId="0" applyFont="1" applyBorder="1" applyAlignment="1">
      <alignment horizontal="center" vertical="center" wrapText="1"/>
    </xf>
    <xf numFmtId="0" fontId="21" fillId="0" borderId="40" xfId="0" applyFont="1" applyBorder="1" applyAlignment="1">
      <alignment wrapText="1"/>
    </xf>
    <xf numFmtId="0" fontId="52" fillId="8" borderId="25" xfId="0" applyFont="1" applyFill="1" applyBorder="1" applyAlignment="1">
      <alignment horizontal="left" vertical="center" wrapText="1"/>
    </xf>
    <xf numFmtId="0" fontId="52" fillId="8" borderId="26" xfId="0" applyFont="1" applyFill="1" applyBorder="1" applyAlignment="1">
      <alignment horizontal="left" vertical="center" wrapText="1"/>
    </xf>
    <xf numFmtId="0" fontId="31" fillId="0" borderId="6" xfId="0" applyFont="1" applyBorder="1" applyAlignment="1">
      <alignment horizontal="left" vertical="center" wrapText="1"/>
    </xf>
    <xf numFmtId="0" fontId="31" fillId="0" borderId="2" xfId="0" applyFont="1" applyBorder="1" applyAlignment="1">
      <alignment horizontal="left" vertical="center" wrapText="1"/>
    </xf>
    <xf numFmtId="49" fontId="52" fillId="0" borderId="16" xfId="0" applyNumberFormat="1" applyFont="1" applyBorder="1" applyAlignment="1">
      <alignment horizontal="center" vertical="center" wrapText="1"/>
    </xf>
    <xf numFmtId="0" fontId="52" fillId="0" borderId="11" xfId="0" applyFont="1" applyBorder="1" applyAlignment="1">
      <alignment horizontal="left" vertical="center" wrapText="1"/>
    </xf>
    <xf numFmtId="0" fontId="52" fillId="0" borderId="60" xfId="0" applyFont="1" applyBorder="1" applyAlignment="1">
      <alignment vertical="center" wrapText="1"/>
    </xf>
    <xf numFmtId="0" fontId="52" fillId="0" borderId="27" xfId="0" applyFont="1" applyBorder="1" applyAlignment="1">
      <alignment vertical="center" wrapText="1"/>
    </xf>
    <xf numFmtId="49" fontId="52" fillId="0" borderId="7" xfId="0" applyNumberFormat="1" applyFont="1" applyBorder="1" applyAlignment="1">
      <alignment horizontal="center" vertical="center" wrapText="1"/>
    </xf>
    <xf numFmtId="0" fontId="50" fillId="0" borderId="10" xfId="0" applyFont="1" applyBorder="1" applyAlignment="1">
      <alignment horizontal="center" vertical="center" wrapText="1"/>
    </xf>
    <xf numFmtId="0" fontId="50" fillId="0" borderId="9" xfId="0" applyFont="1" applyBorder="1" applyAlignment="1">
      <alignment horizontal="center" vertical="center" wrapText="1"/>
    </xf>
    <xf numFmtId="0" fontId="52" fillId="8" borderId="27" xfId="0" applyFont="1" applyFill="1" applyBorder="1" applyAlignment="1">
      <alignment horizontal="left" vertical="center" wrapText="1"/>
    </xf>
    <xf numFmtId="49" fontId="10" fillId="9" borderId="22" xfId="0" applyNumberFormat="1" applyFont="1" applyFill="1" applyBorder="1" applyAlignment="1">
      <alignment horizontal="center" vertical="center" wrapText="1"/>
    </xf>
    <xf numFmtId="49" fontId="10" fillId="9" borderId="23" xfId="0" applyNumberFormat="1" applyFont="1" applyFill="1" applyBorder="1" applyAlignment="1">
      <alignment horizontal="center" vertical="center" wrapText="1"/>
    </xf>
    <xf numFmtId="0" fontId="10" fillId="9" borderId="25" xfId="0" applyFont="1" applyFill="1" applyBorder="1" applyAlignment="1">
      <alignment horizontal="left" vertical="center" wrapText="1"/>
    </xf>
    <xf numFmtId="0" fontId="10" fillId="9" borderId="27" xfId="0" applyFont="1" applyFill="1" applyBorder="1" applyAlignment="1">
      <alignment horizontal="left" vertical="center" wrapText="1"/>
    </xf>
    <xf numFmtId="0" fontId="10" fillId="3" borderId="11" xfId="0" applyFont="1" applyFill="1" applyBorder="1" applyAlignment="1">
      <alignment horizontal="left" vertical="top" wrapText="1"/>
    </xf>
    <xf numFmtId="0" fontId="10" fillId="3" borderId="11" xfId="0" applyFont="1" applyFill="1" applyBorder="1" applyAlignment="1">
      <alignment horizontal="center" vertical="top" wrapText="1"/>
    </xf>
    <xf numFmtId="49" fontId="10" fillId="0" borderId="22" xfId="0" applyNumberFormat="1"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5" xfId="0" applyFont="1" applyFill="1" applyBorder="1" applyAlignment="1">
      <alignment horizontal="left" vertical="center" wrapText="1"/>
    </xf>
    <xf numFmtId="0" fontId="10" fillId="0" borderId="26" xfId="0" applyFont="1" applyBorder="1" applyAlignment="1">
      <alignment horizontal="left" vertical="center" wrapText="1"/>
    </xf>
    <xf numFmtId="0" fontId="10" fillId="0" borderId="27" xfId="0" applyFont="1" applyBorder="1" applyAlignment="1">
      <alignment horizontal="left" vertical="center" wrapText="1"/>
    </xf>
    <xf numFmtId="49" fontId="10" fillId="0" borderId="24" xfId="0" applyNumberFormat="1" applyFont="1" applyFill="1" applyBorder="1" applyAlignment="1">
      <alignment horizontal="center" vertical="center" wrapText="1"/>
    </xf>
    <xf numFmtId="49" fontId="10" fillId="0" borderId="23" xfId="0" applyNumberFormat="1"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22" xfId="0" applyFont="1" applyBorder="1" applyAlignment="1">
      <alignment horizontal="center" vertical="center" wrapText="1"/>
    </xf>
    <xf numFmtId="0" fontId="10" fillId="0" borderId="25" xfId="0" applyFont="1" applyBorder="1" applyAlignment="1">
      <alignment horizontal="left" vertical="center" wrapText="1"/>
    </xf>
    <xf numFmtId="49" fontId="10" fillId="0" borderId="19" xfId="0" applyNumberFormat="1" applyFont="1" applyFill="1" applyBorder="1" applyAlignment="1">
      <alignment horizontal="center" vertical="center" wrapText="1"/>
    </xf>
    <xf numFmtId="49" fontId="10" fillId="0" borderId="20" xfId="0" applyNumberFormat="1" applyFont="1" applyFill="1" applyBorder="1" applyAlignment="1">
      <alignment horizontal="center" vertical="center" wrapText="1"/>
    </xf>
    <xf numFmtId="0" fontId="10" fillId="0" borderId="12" xfId="0"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27" xfId="0" applyFont="1" applyFill="1" applyBorder="1" applyAlignment="1">
      <alignment horizontal="left" vertical="center" wrapText="1"/>
    </xf>
    <xf numFmtId="0" fontId="10" fillId="3" borderId="25"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3" borderId="27" xfId="0" applyFont="1" applyFill="1" applyBorder="1" applyAlignment="1">
      <alignment horizontal="left" vertical="center" wrapText="1"/>
    </xf>
    <xf numFmtId="49" fontId="10" fillId="0" borderId="6"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0" fontId="10" fillId="0" borderId="6" xfId="0" applyFont="1" applyFill="1" applyBorder="1" applyAlignment="1">
      <alignment vertical="center" wrapText="1"/>
    </xf>
    <xf numFmtId="0" fontId="10" fillId="0" borderId="4" xfId="0" applyFont="1" applyFill="1" applyBorder="1" applyAlignment="1">
      <alignment vertical="center" wrapText="1"/>
    </xf>
    <xf numFmtId="49" fontId="10" fillId="0" borderId="2" xfId="0" applyNumberFormat="1" applyFont="1" applyFill="1" applyBorder="1" applyAlignment="1">
      <alignment horizontal="center" vertical="center" wrapText="1"/>
    </xf>
    <xf numFmtId="0" fontId="10" fillId="0" borderId="2" xfId="0" applyFont="1" applyFill="1" applyBorder="1" applyAlignment="1">
      <alignment vertical="center" wrapText="1"/>
    </xf>
    <xf numFmtId="0" fontId="10" fillId="0" borderId="7" xfId="0" applyFont="1" applyFill="1" applyBorder="1" applyAlignment="1">
      <alignment vertical="center" wrapText="1"/>
    </xf>
    <xf numFmtId="0" fontId="10" fillId="0" borderId="10" xfId="0" applyFont="1" applyFill="1" applyBorder="1" applyAlignment="1">
      <alignment vertical="center" wrapText="1"/>
    </xf>
    <xf numFmtId="0" fontId="10" fillId="0" borderId="9" xfId="0" applyFont="1" applyFill="1" applyBorder="1" applyAlignment="1">
      <alignment vertical="center" wrapText="1"/>
    </xf>
    <xf numFmtId="0" fontId="10" fillId="0" borderId="9" xfId="0" applyFont="1" applyBorder="1" applyAlignment="1">
      <alignment vertical="center" wrapText="1"/>
    </xf>
    <xf numFmtId="0" fontId="10" fillId="0" borderId="2" xfId="0"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23" xfId="0" applyNumberFormat="1" applyFont="1" applyBorder="1" applyAlignment="1">
      <alignment horizontal="center" vertical="center" wrapText="1"/>
    </xf>
    <xf numFmtId="49" fontId="10" fillId="0" borderId="24" xfId="0" applyNumberFormat="1" applyFont="1" applyBorder="1" applyAlignment="1">
      <alignment horizontal="center" vertical="center" wrapText="1"/>
    </xf>
    <xf numFmtId="0" fontId="10" fillId="0" borderId="6"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2" xfId="0" applyFont="1" applyBorder="1" applyAlignment="1">
      <alignment vertical="center" wrapText="1"/>
    </xf>
    <xf numFmtId="0" fontId="10" fillId="0" borderId="4" xfId="0" applyFont="1" applyBorder="1" applyAlignment="1">
      <alignment horizontal="center" vertical="center" wrapText="1"/>
    </xf>
    <xf numFmtId="49" fontId="32" fillId="0" borderId="6"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2" fillId="0" borderId="2" xfId="0" applyNumberFormat="1" applyFont="1" applyBorder="1" applyAlignment="1">
      <alignment horizontal="center" vertical="center" wrapText="1"/>
    </xf>
    <xf numFmtId="0" fontId="32" fillId="0" borderId="6" xfId="0" applyFont="1" applyBorder="1" applyAlignment="1">
      <alignment vertical="center" wrapText="1"/>
    </xf>
    <xf numFmtId="0" fontId="32" fillId="0" borderId="4" xfId="0" applyFont="1" applyBorder="1" applyAlignment="1">
      <alignment vertical="center" wrapText="1"/>
    </xf>
    <xf numFmtId="0" fontId="32" fillId="0" borderId="2" xfId="0" applyFont="1" applyBorder="1" applyAlignment="1">
      <alignment vertical="center" wrapText="1"/>
    </xf>
    <xf numFmtId="0" fontId="32" fillId="0" borderId="7" xfId="0" applyFont="1" applyBorder="1" applyAlignment="1">
      <alignment vertical="center" wrapText="1"/>
    </xf>
    <xf numFmtId="0" fontId="32" fillId="0" borderId="10" xfId="0" applyFont="1" applyBorder="1" applyAlignment="1">
      <alignment vertical="center" wrapText="1"/>
    </xf>
    <xf numFmtId="0" fontId="32" fillId="0" borderId="9" xfId="0" applyFont="1" applyBorder="1" applyAlignment="1">
      <alignment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wrapText="1"/>
    </xf>
    <xf numFmtId="49" fontId="32" fillId="0" borderId="22" xfId="0" applyNumberFormat="1" applyFont="1" applyBorder="1" applyAlignment="1">
      <alignment horizontal="center" vertical="center" wrapText="1"/>
    </xf>
    <xf numFmtId="0" fontId="32" fillId="0" borderId="24"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5" xfId="0" applyFont="1" applyBorder="1" applyAlignment="1">
      <alignment horizontal="left" vertical="center" wrapText="1"/>
    </xf>
    <xf numFmtId="0" fontId="32" fillId="0" borderId="26" xfId="0" applyFont="1" applyBorder="1" applyAlignment="1">
      <alignment horizontal="left" vertical="center" wrapText="1"/>
    </xf>
    <xf numFmtId="0" fontId="32" fillId="0" borderId="27" xfId="0" applyFont="1" applyBorder="1" applyAlignment="1">
      <alignment horizontal="left" vertical="center" wrapText="1"/>
    </xf>
    <xf numFmtId="49" fontId="32" fillId="0" borderId="24" xfId="0" applyNumberFormat="1" applyFont="1" applyBorder="1" applyAlignment="1">
      <alignment horizontal="center" vertical="center" wrapText="1"/>
    </xf>
    <xf numFmtId="0" fontId="32" fillId="8" borderId="25" xfId="0" applyFont="1" applyFill="1" applyBorder="1" applyAlignment="1">
      <alignment horizontal="left" vertical="center" wrapText="1"/>
    </xf>
    <xf numFmtId="0" fontId="32" fillId="8" borderId="26" xfId="0" applyFont="1" applyFill="1" applyBorder="1" applyAlignment="1">
      <alignment horizontal="left" vertical="center" wrapText="1"/>
    </xf>
    <xf numFmtId="49" fontId="32" fillId="0" borderId="23" xfId="0" applyNumberFormat="1" applyFont="1" applyBorder="1" applyAlignment="1">
      <alignment horizontal="center" vertical="center" wrapText="1"/>
    </xf>
    <xf numFmtId="0" fontId="32" fillId="8" borderId="27" xfId="0" applyFont="1" applyFill="1" applyBorder="1" applyAlignment="1">
      <alignment horizontal="left" vertical="center" wrapText="1"/>
    </xf>
    <xf numFmtId="49" fontId="32" fillId="0" borderId="7" xfId="0" applyNumberFormat="1" applyFont="1" applyBorder="1" applyAlignment="1">
      <alignment horizontal="center" vertical="center" wrapText="1"/>
    </xf>
    <xf numFmtId="0" fontId="32" fillId="0" borderId="10" xfId="0" applyFont="1" applyBorder="1" applyAlignment="1">
      <alignment horizontal="center" vertical="center" wrapText="1"/>
    </xf>
    <xf numFmtId="0" fontId="32" fillId="0" borderId="22" xfId="0" applyFont="1" applyBorder="1" applyAlignment="1">
      <alignment horizontal="left" vertical="center" wrapText="1"/>
    </xf>
    <xf numFmtId="0" fontId="32" fillId="0" borderId="24" xfId="0" applyFont="1" applyBorder="1" applyAlignment="1">
      <alignment horizontal="left" vertical="center" wrapText="1"/>
    </xf>
    <xf numFmtId="0" fontId="32" fillId="0" borderId="9" xfId="0" applyFont="1" applyBorder="1" applyAlignment="1">
      <alignment horizontal="center" vertical="center" wrapText="1"/>
    </xf>
    <xf numFmtId="0" fontId="32" fillId="0" borderId="23" xfId="0" applyFont="1" applyBorder="1" applyAlignment="1">
      <alignment horizontal="left" vertical="center" wrapText="1"/>
    </xf>
    <xf numFmtId="49" fontId="32" fillId="0" borderId="59" xfId="0" applyNumberFormat="1" applyFont="1" applyBorder="1" applyAlignment="1">
      <alignment horizontal="center" vertical="center" wrapText="1"/>
    </xf>
    <xf numFmtId="0" fontId="32" fillId="0" borderId="55" xfId="0" applyFont="1" applyBorder="1" applyAlignment="1">
      <alignment horizontal="left" vertical="center" wrapText="1"/>
    </xf>
    <xf numFmtId="0" fontId="32" fillId="0" borderId="61" xfId="0" applyFont="1" applyBorder="1" applyAlignment="1">
      <alignment horizontal="center" vertical="center" wrapText="1"/>
    </xf>
    <xf numFmtId="0" fontId="32" fillId="0" borderId="60" xfId="0" applyFont="1" applyBorder="1" applyAlignment="1">
      <alignment vertical="center" wrapText="1"/>
    </xf>
    <xf numFmtId="0" fontId="32" fillId="0" borderId="27" xfId="0" applyFont="1" applyBorder="1" applyAlignment="1">
      <alignment vertical="center" wrapText="1"/>
    </xf>
    <xf numFmtId="0" fontId="32" fillId="0" borderId="6" xfId="0" applyFont="1" applyBorder="1" applyAlignment="1">
      <alignment horizontal="left" vertical="center" wrapText="1"/>
    </xf>
    <xf numFmtId="0" fontId="32" fillId="0" borderId="4" xfId="0" applyFont="1" applyBorder="1" applyAlignment="1">
      <alignment horizontal="left" vertical="center" wrapText="1"/>
    </xf>
    <xf numFmtId="0" fontId="32" fillId="0" borderId="2" xfId="0" applyFont="1" applyBorder="1" applyAlignment="1">
      <alignment horizontal="left" vertical="center" wrapText="1"/>
    </xf>
    <xf numFmtId="0" fontId="10" fillId="3" borderId="11"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39" borderId="11" xfId="0" applyFont="1" applyFill="1" applyBorder="1" applyAlignment="1">
      <alignment horizontal="center" vertical="center" wrapText="1"/>
    </xf>
    <xf numFmtId="3" fontId="13" fillId="8" borderId="11" xfId="0" applyNumberFormat="1" applyFont="1" applyFill="1" applyBorder="1" applyAlignment="1">
      <alignment horizontal="center" vertical="center" wrapText="1"/>
    </xf>
    <xf numFmtId="0" fontId="13" fillId="8" borderId="11" xfId="0" applyFont="1" applyFill="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11" xfId="0" applyNumberFormat="1" applyFont="1" applyFill="1" applyBorder="1" applyAlignment="1">
      <alignment horizontal="center" vertical="center" wrapText="1"/>
    </xf>
    <xf numFmtId="0" fontId="10" fillId="9" borderId="11" xfId="0" applyFont="1" applyFill="1" applyBorder="1" applyAlignment="1">
      <alignment horizontal="center" vertical="center" wrapText="1"/>
    </xf>
    <xf numFmtId="49" fontId="10" fillId="9" borderId="11" xfId="0" applyNumberFormat="1" applyFont="1" applyFill="1" applyBorder="1" applyAlignment="1">
      <alignment horizontal="center" vertical="center" wrapText="1"/>
    </xf>
    <xf numFmtId="0" fontId="12" fillId="17" borderId="11" xfId="0" applyFont="1" applyFill="1" applyBorder="1" applyAlignment="1">
      <alignment horizontal="center" vertical="center" wrapText="1"/>
    </xf>
    <xf numFmtId="0" fontId="10" fillId="38" borderId="11" xfId="0" applyFont="1" applyFill="1" applyBorder="1" applyAlignment="1">
      <alignment horizontal="center" vertical="center" wrapText="1"/>
    </xf>
    <xf numFmtId="49" fontId="10" fillId="38" borderId="11" xfId="0" applyNumberFormat="1" applyFont="1" applyFill="1" applyBorder="1" applyAlignment="1">
      <alignment horizontal="center" vertical="center" wrapText="1"/>
    </xf>
    <xf numFmtId="0" fontId="23" fillId="0" borderId="14" xfId="0" applyFont="1" applyBorder="1" applyAlignment="1">
      <alignment horizontal="left" vertical="center" wrapText="1"/>
    </xf>
    <xf numFmtId="0" fontId="23" fillId="0" borderId="16" xfId="0" applyFont="1" applyBorder="1" applyAlignment="1">
      <alignment horizontal="left" vertical="center" wrapText="1"/>
    </xf>
    <xf numFmtId="49" fontId="3" fillId="0" borderId="15" xfId="0" applyNumberFormat="1" applyFont="1" applyBorder="1" applyAlignment="1">
      <alignment horizontal="left" vertical="center" wrapText="1"/>
    </xf>
    <xf numFmtId="0" fontId="23" fillId="0" borderId="11" xfId="0" applyFont="1" applyBorder="1" applyAlignment="1">
      <alignment horizontal="left" vertical="center" wrapText="1"/>
    </xf>
    <xf numFmtId="0" fontId="3" fillId="0" borderId="15"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3" fillId="0" borderId="13" xfId="0" applyFont="1" applyBorder="1" applyAlignment="1">
      <alignment horizontal="left" vertical="center" wrapText="1"/>
    </xf>
    <xf numFmtId="0" fontId="3" fillId="27" borderId="11" xfId="0" applyFont="1" applyFill="1" applyBorder="1" applyAlignment="1">
      <alignment horizontal="left" vertical="top"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13" xfId="0" applyFont="1" applyBorder="1" applyAlignment="1">
      <alignment horizontal="left" vertical="center" wrapText="1"/>
    </xf>
    <xf numFmtId="49" fontId="3" fillId="0" borderId="16" xfId="0" applyNumberFormat="1" applyFont="1" applyBorder="1" applyAlignment="1">
      <alignment horizontal="left" vertical="center" wrapText="1"/>
    </xf>
    <xf numFmtId="49" fontId="3" fillId="0" borderId="17" xfId="0" applyNumberFormat="1" applyFont="1" applyBorder="1" applyAlignment="1">
      <alignment horizontal="left" vertical="center" wrapText="1"/>
    </xf>
    <xf numFmtId="0" fontId="23" fillId="0" borderId="18" xfId="0" applyFont="1" applyBorder="1" applyAlignment="1">
      <alignment horizontal="left" vertical="center" wrapText="1"/>
    </xf>
    <xf numFmtId="0" fontId="23" fillId="25" borderId="11" xfId="0" applyFont="1" applyFill="1" applyBorder="1" applyAlignment="1">
      <alignment horizontal="left" vertical="center" wrapText="1"/>
    </xf>
    <xf numFmtId="0" fontId="23" fillId="25" borderId="18" xfId="0" applyFont="1" applyFill="1" applyBorder="1" applyAlignment="1">
      <alignment horizontal="left" vertical="center" wrapText="1"/>
    </xf>
    <xf numFmtId="0" fontId="3" fillId="27" borderId="12" xfId="0" applyFont="1" applyFill="1" applyBorder="1" applyAlignment="1">
      <alignment horizontal="center" vertical="center" wrapText="1"/>
    </xf>
    <xf numFmtId="0" fontId="3" fillId="27" borderId="13" xfId="0" applyFont="1" applyFill="1" applyBorder="1" applyAlignment="1">
      <alignment horizontal="center" vertical="center" wrapText="1"/>
    </xf>
    <xf numFmtId="49" fontId="3" fillId="0" borderId="14" xfId="0" applyNumberFormat="1" applyFont="1" applyBorder="1" applyAlignment="1">
      <alignment horizontal="left" vertical="center" wrapText="1"/>
    </xf>
    <xf numFmtId="0" fontId="23" fillId="0" borderId="17" xfId="0" applyFont="1" applyBorder="1" applyAlignment="1">
      <alignment horizontal="left" vertical="center" wrapText="1"/>
    </xf>
    <xf numFmtId="0" fontId="3" fillId="25" borderId="25" xfId="0" applyFont="1" applyFill="1" applyBorder="1" applyAlignment="1">
      <alignment horizontal="left" vertical="center" wrapText="1"/>
    </xf>
    <xf numFmtId="0" fontId="3" fillId="25" borderId="26" xfId="0" applyFont="1" applyFill="1" applyBorder="1" applyAlignment="1">
      <alignment horizontal="left" vertical="center" wrapText="1"/>
    </xf>
    <xf numFmtId="0" fontId="3" fillId="25" borderId="27" xfId="0" applyFont="1" applyFill="1" applyBorder="1" applyAlignment="1">
      <alignment horizontal="left" vertical="center" wrapText="1"/>
    </xf>
    <xf numFmtId="0" fontId="3" fillId="0" borderId="27" xfId="0" applyFont="1" applyBorder="1" applyAlignment="1">
      <alignment horizontal="left" vertical="center" wrapText="1"/>
    </xf>
    <xf numFmtId="49" fontId="24" fillId="0" borderId="25" xfId="0" applyNumberFormat="1" applyFont="1" applyBorder="1" applyAlignment="1">
      <alignment horizontal="left" vertical="center" wrapText="1"/>
    </xf>
    <xf numFmtId="49" fontId="24" fillId="0" borderId="26" xfId="0" applyNumberFormat="1" applyFont="1" applyBorder="1" applyAlignment="1">
      <alignment horizontal="left" vertical="center" wrapText="1"/>
    </xf>
    <xf numFmtId="49" fontId="24" fillId="0" borderId="13" xfId="0" applyNumberFormat="1" applyFont="1" applyBorder="1" applyAlignment="1">
      <alignment horizontal="left" vertical="center" wrapText="1"/>
    </xf>
    <xf numFmtId="49" fontId="3" fillId="0" borderId="11" xfId="0" applyNumberFormat="1" applyFont="1" applyBorder="1" applyAlignment="1">
      <alignment horizontal="left" vertical="center" wrapText="1"/>
    </xf>
    <xf numFmtId="0" fontId="3" fillId="0" borderId="11" xfId="0" applyFont="1" applyBorder="1" applyAlignment="1">
      <alignment horizontal="left" vertical="center" wrapText="1"/>
    </xf>
    <xf numFmtId="0" fontId="3" fillId="0" borderId="18" xfId="0" applyFont="1" applyBorder="1" applyAlignment="1">
      <alignment horizontal="left" vertical="center" wrapText="1"/>
    </xf>
    <xf numFmtId="49" fontId="24" fillId="0" borderId="50" xfId="0" applyNumberFormat="1" applyFont="1" applyBorder="1" applyAlignment="1">
      <alignment horizontal="left" vertical="center" wrapText="1"/>
    </xf>
    <xf numFmtId="49" fontId="24" fillId="0" borderId="43" xfId="0" applyNumberFormat="1" applyFont="1" applyBorder="1" applyAlignment="1">
      <alignment horizontal="left" vertical="center" wrapText="1"/>
    </xf>
    <xf numFmtId="49" fontId="24" fillId="0" borderId="42" xfId="0" applyNumberFormat="1" applyFont="1" applyBorder="1" applyAlignment="1">
      <alignment horizontal="left" vertical="center" wrapText="1"/>
    </xf>
    <xf numFmtId="49" fontId="3" fillId="0" borderId="25" xfId="0" applyNumberFormat="1" applyFont="1" applyBorder="1" applyAlignment="1">
      <alignment horizontal="left" vertical="center" wrapText="1"/>
    </xf>
    <xf numFmtId="49" fontId="3" fillId="0" borderId="26" xfId="0" applyNumberFormat="1" applyFont="1" applyBorder="1" applyAlignment="1">
      <alignment horizontal="left" vertical="center" wrapText="1"/>
    </xf>
    <xf numFmtId="49" fontId="3" fillId="0" borderId="27" xfId="0" applyNumberFormat="1" applyFont="1" applyBorder="1" applyAlignment="1">
      <alignment horizontal="left" vertical="center" wrapText="1"/>
    </xf>
    <xf numFmtId="0" fontId="24" fillId="32" borderId="50" xfId="0" applyFont="1" applyFill="1" applyBorder="1" applyAlignment="1">
      <alignment horizontal="left" vertical="center" wrapText="1"/>
    </xf>
    <xf numFmtId="0" fontId="24" fillId="32" borderId="42" xfId="0" applyFont="1" applyFill="1" applyBorder="1" applyAlignment="1">
      <alignment horizontal="left" vertical="center" wrapText="1"/>
    </xf>
    <xf numFmtId="0" fontId="3" fillId="25" borderId="11" xfId="0" applyFont="1" applyFill="1" applyBorder="1" applyAlignment="1">
      <alignment horizontal="left" vertical="center" wrapText="1"/>
    </xf>
    <xf numFmtId="49" fontId="3" fillId="0" borderId="19" xfId="0" applyNumberFormat="1" applyFont="1" applyBorder="1" applyAlignment="1">
      <alignment horizontal="left" vertical="center" wrapText="1"/>
    </xf>
    <xf numFmtId="0" fontId="23" fillId="0" borderId="15" xfId="0" applyFont="1" applyBorder="1" applyAlignment="1">
      <alignment horizontal="left" vertical="center" wrapText="1"/>
    </xf>
    <xf numFmtId="0" fontId="3" fillId="44" borderId="25" xfId="0" applyFont="1" applyFill="1" applyBorder="1" applyAlignment="1">
      <alignment horizontal="left" vertical="center" wrapText="1"/>
    </xf>
    <xf numFmtId="0" fontId="3" fillId="44" borderId="26" xfId="0" applyFont="1" applyFill="1" applyBorder="1" applyAlignment="1">
      <alignment horizontal="left" vertical="center" wrapText="1"/>
    </xf>
    <xf numFmtId="0" fontId="3" fillId="44" borderId="27" xfId="0" applyFont="1" applyFill="1" applyBorder="1" applyAlignment="1">
      <alignment horizontal="left" vertical="center" wrapText="1"/>
    </xf>
    <xf numFmtId="0" fontId="24" fillId="0" borderId="50" xfId="0" applyFont="1" applyBorder="1" applyAlignment="1">
      <alignment horizontal="left" vertical="center" wrapText="1"/>
    </xf>
    <xf numFmtId="0" fontId="24" fillId="0" borderId="42" xfId="0" applyFont="1" applyBorder="1" applyAlignment="1">
      <alignment horizontal="left" vertical="center" wrapText="1"/>
    </xf>
    <xf numFmtId="49" fontId="24" fillId="0" borderId="22" xfId="0" applyNumberFormat="1" applyFont="1" applyBorder="1" applyAlignment="1">
      <alignment horizontal="left" vertical="center" wrapText="1"/>
    </xf>
    <xf numFmtId="49" fontId="24" fillId="0" borderId="24" xfId="0" applyNumberFormat="1" applyFont="1" applyBorder="1" applyAlignment="1">
      <alignment horizontal="left" vertical="center" wrapText="1"/>
    </xf>
    <xf numFmtId="49" fontId="24" fillId="0" borderId="23" xfId="0" applyNumberFormat="1" applyFont="1" applyBorder="1" applyAlignment="1">
      <alignment horizontal="left" vertical="center" wrapText="1"/>
    </xf>
    <xf numFmtId="49" fontId="3" fillId="44" borderId="22" xfId="0" applyNumberFormat="1" applyFont="1" applyFill="1" applyBorder="1" applyAlignment="1">
      <alignment horizontal="left" vertical="center" wrapText="1"/>
    </xf>
    <xf numFmtId="49" fontId="3" fillId="44" borderId="24" xfId="0" applyNumberFormat="1" applyFont="1" applyFill="1" applyBorder="1" applyAlignment="1">
      <alignment horizontal="left" vertical="center" wrapText="1"/>
    </xf>
    <xf numFmtId="49" fontId="3" fillId="44" borderId="23" xfId="0" applyNumberFormat="1" applyFont="1" applyFill="1" applyBorder="1" applyAlignment="1">
      <alignment horizontal="left" vertical="center" wrapText="1"/>
    </xf>
    <xf numFmtId="49" fontId="3" fillId="44" borderId="25" xfId="0" applyNumberFormat="1" applyFont="1" applyFill="1" applyBorder="1" applyAlignment="1">
      <alignment horizontal="left" vertical="center" wrapText="1"/>
    </xf>
    <xf numFmtId="49" fontId="3" fillId="44" borderId="26" xfId="0" applyNumberFormat="1" applyFont="1" applyFill="1" applyBorder="1" applyAlignment="1">
      <alignment horizontal="left" vertical="center" wrapText="1"/>
    </xf>
    <xf numFmtId="49" fontId="3" fillId="44" borderId="27" xfId="0" applyNumberFormat="1" applyFont="1" applyFill="1" applyBorder="1" applyAlignment="1">
      <alignment horizontal="left" vertical="center" wrapText="1"/>
    </xf>
    <xf numFmtId="49" fontId="23" fillId="0" borderId="14" xfId="0" applyNumberFormat="1" applyFont="1" applyBorder="1" applyAlignment="1">
      <alignment horizontal="left" vertical="center" wrapText="1"/>
    </xf>
    <xf numFmtId="49" fontId="23" fillId="0" borderId="16" xfId="0" applyNumberFormat="1" applyFont="1" applyBorder="1" applyAlignment="1">
      <alignment horizontal="left" vertical="center" wrapText="1"/>
    </xf>
    <xf numFmtId="49" fontId="23" fillId="0" borderId="17" xfId="0" applyNumberFormat="1" applyFont="1" applyBorder="1" applyAlignment="1">
      <alignment horizontal="left" vertical="center" wrapText="1"/>
    </xf>
    <xf numFmtId="49" fontId="23" fillId="0" borderId="15" xfId="0" applyNumberFormat="1" applyFont="1" applyBorder="1" applyAlignment="1">
      <alignment horizontal="left" vertical="center" wrapText="1"/>
    </xf>
    <xf numFmtId="49" fontId="23" fillId="0" borderId="11" xfId="0" applyNumberFormat="1" applyFont="1" applyBorder="1" applyAlignment="1">
      <alignment horizontal="left" vertical="center" wrapText="1"/>
    </xf>
    <xf numFmtId="49" fontId="23" fillId="0" borderId="18" xfId="0" applyNumberFormat="1" applyFont="1" applyBorder="1" applyAlignment="1">
      <alignment horizontal="left" vertical="center" wrapText="1"/>
    </xf>
    <xf numFmtId="49" fontId="3" fillId="0" borderId="22" xfId="0" applyNumberFormat="1" applyFont="1" applyBorder="1" applyAlignment="1">
      <alignment horizontal="left" vertical="center" wrapText="1"/>
    </xf>
    <xf numFmtId="49" fontId="3" fillId="0" borderId="24" xfId="0" applyNumberFormat="1" applyFont="1" applyBorder="1" applyAlignment="1">
      <alignment horizontal="left" vertical="center" wrapText="1"/>
    </xf>
    <xf numFmtId="49" fontId="3" fillId="0" borderId="23" xfId="0" applyNumberFormat="1" applyFont="1" applyBorder="1" applyAlignment="1">
      <alignment horizontal="left" vertical="center" wrapText="1"/>
    </xf>
    <xf numFmtId="49" fontId="3" fillId="44" borderId="14" xfId="0" applyNumberFormat="1" applyFont="1" applyFill="1" applyBorder="1" applyAlignment="1">
      <alignment horizontal="left" vertical="center" wrapText="1"/>
    </xf>
    <xf numFmtId="0" fontId="23" fillId="44" borderId="16" xfId="0" applyFont="1" applyFill="1" applyBorder="1" applyAlignment="1">
      <alignment horizontal="left" vertical="center" wrapText="1"/>
    </xf>
    <xf numFmtId="0" fontId="23" fillId="44" borderId="17" xfId="0" applyFont="1" applyFill="1" applyBorder="1" applyAlignment="1">
      <alignment horizontal="left" vertical="center" wrapText="1"/>
    </xf>
    <xf numFmtId="49" fontId="3" fillId="44" borderId="15" xfId="0" applyNumberFormat="1" applyFont="1" applyFill="1" applyBorder="1" applyAlignment="1">
      <alignment horizontal="left" vertical="center" wrapText="1"/>
    </xf>
    <xf numFmtId="0" fontId="23" fillId="44" borderId="11" xfId="0" applyFont="1" applyFill="1" applyBorder="1" applyAlignment="1">
      <alignment horizontal="left" vertical="center" wrapText="1"/>
    </xf>
    <xf numFmtId="0" fontId="23" fillId="44" borderId="18" xfId="0" applyFont="1" applyFill="1" applyBorder="1" applyAlignment="1">
      <alignment horizontal="left" vertical="center" wrapText="1"/>
    </xf>
    <xf numFmtId="0" fontId="3" fillId="44" borderId="15" xfId="0" applyFont="1" applyFill="1" applyBorder="1" applyAlignment="1">
      <alignment horizontal="left" vertical="center" wrapText="1"/>
    </xf>
    <xf numFmtId="0" fontId="62" fillId="0" borderId="40" xfId="0" applyFont="1" applyBorder="1" applyAlignment="1">
      <alignment horizontal="center" vertical="center" wrapText="1"/>
    </xf>
    <xf numFmtId="0" fontId="63" fillId="0" borderId="1" xfId="0" applyFont="1" applyBorder="1" applyAlignment="1">
      <alignment horizontal="center" wrapText="1"/>
    </xf>
    <xf numFmtId="0" fontId="64" fillId="0" borderId="1" xfId="14" applyFont="1" applyBorder="1" applyAlignment="1">
      <alignment horizontal="center" vertical="center" wrapText="1"/>
    </xf>
    <xf numFmtId="0" fontId="63" fillId="0" borderId="1" xfId="0" applyFont="1" applyBorder="1" applyAlignment="1">
      <alignment horizontal="center" vertical="center" wrapText="1"/>
    </xf>
  </cellXfs>
  <cellStyles count="17">
    <cellStyle name="Excel Built-in Normal" xfId="11"/>
    <cellStyle name="Excel_BuiltIn_Hyperlink 1" xfId="12"/>
    <cellStyle name="Вывод" xfId="7" builtinId="21"/>
    <cellStyle name="Вывод 2" xfId="16"/>
    <cellStyle name="Гиперссылка" xfId="1" builtinId="8"/>
    <cellStyle name="Гиперссылка 2" xfId="5"/>
    <cellStyle name="Гиперссылка 2 2" xfId="13"/>
    <cellStyle name="Гиперссылка 2 3" xfId="8"/>
    <cellStyle name="Гиперссылка 3" xfId="9"/>
    <cellStyle name="Гиперссылка 4" xfId="10"/>
    <cellStyle name="Денежный" xfId="6" builtinId="4"/>
    <cellStyle name="Обычный" xfId="0" builtinId="0"/>
    <cellStyle name="Обычный 2" xfId="4"/>
    <cellStyle name="Обычный 4" xfId="14"/>
    <cellStyle name="Процентный" xfId="3" builtinId="5"/>
    <cellStyle name="Процентный 2" xfId="15"/>
    <cellStyle name="Финансовый"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'Таблицы и инфографика'!$M$34</c:f>
              <c:strCache>
                <c:ptCount val="1"/>
                <c:pt idx="0">
                  <c:v>Общий объем внебюджетного софинансирования из прочих источников</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инфографика'!$N$31:$S$31</c:f>
              <c:numCache>
                <c:formatCode>General</c:formatCode>
                <c:ptCount val="6"/>
                <c:pt idx="0">
                  <c:v>2015</c:v>
                </c:pt>
                <c:pt idx="1">
                  <c:v>2016</c:v>
                </c:pt>
                <c:pt idx="2">
                  <c:v>2017</c:v>
                </c:pt>
                <c:pt idx="3">
                  <c:v>2018</c:v>
                </c:pt>
                <c:pt idx="4">
                  <c:v>2019</c:v>
                </c:pt>
                <c:pt idx="5">
                  <c:v>2020</c:v>
                </c:pt>
              </c:numCache>
            </c:numRef>
          </c:cat>
          <c:val>
            <c:numRef>
              <c:f>'Таблицы и инфографика'!$N$34:$S$34</c:f>
              <c:numCache>
                <c:formatCode>#,##0</c:formatCode>
                <c:ptCount val="6"/>
                <c:pt idx="0">
                  <c:v>404.23</c:v>
                </c:pt>
                <c:pt idx="1">
                  <c:v>703.7</c:v>
                </c:pt>
                <c:pt idx="2">
                  <c:v>1129.24</c:v>
                </c:pt>
                <c:pt idx="3">
                  <c:v>1943.08</c:v>
                </c:pt>
                <c:pt idx="4">
                  <c:v>2180.4</c:v>
                </c:pt>
                <c:pt idx="5">
                  <c:v>2014.02</c:v>
                </c:pt>
              </c:numCache>
            </c:numRef>
          </c:val>
          <c:extLst xmlns:c16r2="http://schemas.microsoft.com/office/drawing/2015/06/chart">
            <c:ext xmlns:c16="http://schemas.microsoft.com/office/drawing/2014/chart" uri="{C3380CC4-5D6E-409C-BE32-E72D297353CC}">
              <c16:uniqueId val="{00000001-C15B-CC42-A36C-9D8AB1E21927}"/>
            </c:ext>
          </c:extLst>
        </c:ser>
        <c:ser>
          <c:idx val="0"/>
          <c:order val="2"/>
          <c:tx>
            <c:strRef>
              <c:f>'Таблицы и инфографика'!$M$33</c:f>
              <c:strCache>
                <c:ptCount val="1"/>
                <c:pt idx="0">
                  <c:v>Общий объем финансирования из бюджетов всех уровней</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инфографика'!$N$31:$S$31</c:f>
              <c:numCache>
                <c:formatCode>General</c:formatCode>
                <c:ptCount val="6"/>
                <c:pt idx="0">
                  <c:v>2015</c:v>
                </c:pt>
                <c:pt idx="1">
                  <c:v>2016</c:v>
                </c:pt>
                <c:pt idx="2">
                  <c:v>2017</c:v>
                </c:pt>
                <c:pt idx="3">
                  <c:v>2018</c:v>
                </c:pt>
                <c:pt idx="4">
                  <c:v>2019</c:v>
                </c:pt>
                <c:pt idx="5">
                  <c:v>2020</c:v>
                </c:pt>
              </c:numCache>
            </c:numRef>
          </c:cat>
          <c:val>
            <c:numRef>
              <c:f>'Таблицы и инфографика'!$N$33:$S$33</c:f>
              <c:numCache>
                <c:formatCode>#,##0</c:formatCode>
                <c:ptCount val="6"/>
                <c:pt idx="0">
                  <c:v>1990.75</c:v>
                </c:pt>
                <c:pt idx="1">
                  <c:v>6291.9000000000005</c:v>
                </c:pt>
                <c:pt idx="2">
                  <c:v>13372.494227000001</c:v>
                </c:pt>
                <c:pt idx="3">
                  <c:v>17371.215719929998</c:v>
                </c:pt>
                <c:pt idx="4">
                  <c:v>21883.891302889999</c:v>
                </c:pt>
                <c:pt idx="5">
                  <c:v>29794.513435270004</c:v>
                </c:pt>
              </c:numCache>
            </c:numRef>
          </c:val>
          <c:extLst xmlns:c16r2="http://schemas.microsoft.com/office/drawing/2015/06/chart">
            <c:ext xmlns:c16="http://schemas.microsoft.com/office/drawing/2014/chart" uri="{C3380CC4-5D6E-409C-BE32-E72D297353CC}">
              <c16:uniqueId val="{00000000-C15B-CC42-A36C-9D8AB1E21927}"/>
            </c:ext>
          </c:extLst>
        </c:ser>
        <c:dLbls>
          <c:showLegendKey val="0"/>
          <c:showVal val="0"/>
          <c:showCatName val="0"/>
          <c:showSerName val="0"/>
          <c:showPercent val="0"/>
          <c:showBubbleSize val="0"/>
        </c:dLbls>
        <c:gapWidth val="269"/>
        <c:overlap val="100"/>
        <c:axId val="-1259510800"/>
        <c:axId val="-1259506992"/>
      </c:barChart>
      <c:lineChart>
        <c:grouping val="standard"/>
        <c:varyColors val="0"/>
        <c:ser>
          <c:idx val="2"/>
          <c:order val="0"/>
          <c:tx>
            <c:v>Общая стоимость проектов, млн.руб.</c:v>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'Таблицы и инфографика'!$M$32</c:f>
              <c:strCache>
                <c:ptCount val="1"/>
                <c:pt idx="0">
                  <c:v>Общая стоимость проектов ИБ, в том числе:</c:v>
                </c:pt>
              </c:strCache>
            </c:strRef>
          </c:cat>
          <c:val>
            <c:numRef>
              <c:f>'Таблицы и инфографика'!$N$32:$S$32</c:f>
              <c:numCache>
                <c:formatCode>#,##0</c:formatCode>
                <c:ptCount val="6"/>
                <c:pt idx="0">
                  <c:v>2394.98</c:v>
                </c:pt>
                <c:pt idx="1">
                  <c:v>6995.6</c:v>
                </c:pt>
                <c:pt idx="2">
                  <c:v>14501.733461</c:v>
                </c:pt>
                <c:pt idx="3">
                  <c:v>19314.295638039996</c:v>
                </c:pt>
                <c:pt idx="4">
                  <c:v>24064.186236270001</c:v>
                </c:pt>
                <c:pt idx="5">
                  <c:v>31808.476827410002</c:v>
                </c:pt>
              </c:numCache>
            </c:numRef>
          </c:val>
          <c:smooth val="0"/>
          <c:extLst xmlns:c16r2="http://schemas.microsoft.com/office/drawing/2015/06/chart">
            <c:ext xmlns:c16="http://schemas.microsoft.com/office/drawing/2014/chart" uri="{C3380CC4-5D6E-409C-BE32-E72D297353CC}">
              <c16:uniqueId val="{00000003-C15B-CC42-A36C-9D8AB1E21927}"/>
            </c:ext>
          </c:extLst>
        </c:ser>
        <c:dLbls>
          <c:showLegendKey val="0"/>
          <c:showVal val="0"/>
          <c:showCatName val="0"/>
          <c:showSerName val="0"/>
          <c:showPercent val="0"/>
          <c:showBubbleSize val="0"/>
        </c:dLbls>
        <c:marker val="1"/>
        <c:smooth val="0"/>
        <c:axId val="-1259510800"/>
        <c:axId val="-1259506992"/>
      </c:lineChart>
      <c:catAx>
        <c:axId val="-12595108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259506992"/>
        <c:crosses val="autoZero"/>
        <c:auto val="1"/>
        <c:lblAlgn val="ctr"/>
        <c:lblOffset val="100"/>
        <c:noMultiLvlLbl val="0"/>
      </c:catAx>
      <c:valAx>
        <c:axId val="-125950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25951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400" b="0">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'Таблицы и инфографика'!$M$101</c:f>
              <c:strCache>
                <c:ptCount val="1"/>
                <c:pt idx="0">
                  <c:v>Средняя стоимость одного реализованного проекта (включая те, завершение которых было перенесено на следующий год)</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инфографика'!$N$100:$R$100</c:f>
              <c:numCache>
                <c:formatCode>General</c:formatCode>
                <c:ptCount val="5"/>
                <c:pt idx="0">
                  <c:v>2016</c:v>
                </c:pt>
                <c:pt idx="1">
                  <c:v>2017</c:v>
                </c:pt>
                <c:pt idx="2">
                  <c:v>2018</c:v>
                </c:pt>
                <c:pt idx="3" formatCode="0.00">
                  <c:v>1.1017895808923586</c:v>
                </c:pt>
                <c:pt idx="4" formatCode="0.00">
                  <c:v>1.4120783462403446</c:v>
                </c:pt>
              </c:numCache>
            </c:numRef>
          </c:cat>
          <c:val>
            <c:numRef>
              <c:f>'Таблицы и инфографика'!$N$101:$R$101</c:f>
              <c:numCache>
                <c:formatCode>0.00</c:formatCode>
                <c:ptCount val="5"/>
                <c:pt idx="0">
                  <c:v>0.80114521300961983</c:v>
                </c:pt>
                <c:pt idx="1">
                  <c:v>0.90965584374607955</c:v>
                </c:pt>
                <c:pt idx="2">
                  <c:v>1.0241420880237551</c:v>
                </c:pt>
                <c:pt idx="3">
                  <c:v>1.0019637975774918</c:v>
                </c:pt>
                <c:pt idx="4">
                  <c:v>1.3226721759420228</c:v>
                </c:pt>
              </c:numCache>
            </c:numRef>
          </c:val>
          <c:extLst xmlns:c16r2="http://schemas.microsoft.com/office/drawing/2015/06/chart">
            <c:ext xmlns:c16="http://schemas.microsoft.com/office/drawing/2014/chart" uri="{C3380CC4-5D6E-409C-BE32-E72D297353CC}">
              <c16:uniqueId val="{00000000-99F4-EF4B-AF77-BB2F635B779D}"/>
            </c:ext>
          </c:extLst>
        </c:ser>
        <c:ser>
          <c:idx val="1"/>
          <c:order val="1"/>
          <c:tx>
            <c:strRef>
              <c:f>'Таблицы и инфографика'!$M$102</c:f>
              <c:strCache>
                <c:ptCount val="1"/>
                <c:pt idx="0">
                  <c:v>Средний размер совокупных бюджетных субсидий (суб.+мун.+фед.) на один реализованный проект</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инфографика'!$N$100:$R$100</c:f>
              <c:numCache>
                <c:formatCode>General</c:formatCode>
                <c:ptCount val="5"/>
                <c:pt idx="0">
                  <c:v>2016</c:v>
                </c:pt>
                <c:pt idx="1">
                  <c:v>2017</c:v>
                </c:pt>
                <c:pt idx="2">
                  <c:v>2018</c:v>
                </c:pt>
                <c:pt idx="3" formatCode="0.00">
                  <c:v>1.1017895808923586</c:v>
                </c:pt>
                <c:pt idx="4" formatCode="0.00">
                  <c:v>1.4120783462403446</c:v>
                </c:pt>
              </c:numCache>
            </c:numRef>
          </c:cat>
          <c:val>
            <c:numRef>
              <c:f>'Таблицы и инфографика'!$N$102:$R$102</c:f>
              <c:numCache>
                <c:formatCode>0.00</c:formatCode>
                <c:ptCount val="5"/>
                <c:pt idx="0">
                  <c:v>0.72055657352267533</c:v>
                </c:pt>
                <c:pt idx="1">
                  <c:v>0.83882161755112283</c:v>
                </c:pt>
                <c:pt idx="2">
                  <c:v>0.92111011824221845</c:v>
                </c:pt>
                <c:pt idx="3">
                  <c:v>0.60027867245089517</c:v>
                </c:pt>
                <c:pt idx="4">
                  <c:v>0.74626117832371497</c:v>
                </c:pt>
              </c:numCache>
            </c:numRef>
          </c:val>
          <c:extLst xmlns:c16r2="http://schemas.microsoft.com/office/drawing/2015/06/chart">
            <c:ext xmlns:c16="http://schemas.microsoft.com/office/drawing/2014/chart" uri="{C3380CC4-5D6E-409C-BE32-E72D297353CC}">
              <c16:uniqueId val="{00000001-99F4-EF4B-AF77-BB2F635B779D}"/>
            </c:ext>
          </c:extLst>
        </c:ser>
        <c:ser>
          <c:idx val="2"/>
          <c:order val="2"/>
          <c:tx>
            <c:strRef>
              <c:f>'Таблицы и инфографика'!$M$103</c:f>
              <c:strCache>
                <c:ptCount val="1"/>
                <c:pt idx="0">
                  <c:v>Средний размер субсидии из бюджета субъекта на один реализованный проект</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инфографика'!$N$100:$R$100</c:f>
              <c:numCache>
                <c:formatCode>General</c:formatCode>
                <c:ptCount val="5"/>
                <c:pt idx="0">
                  <c:v>2016</c:v>
                </c:pt>
                <c:pt idx="1">
                  <c:v>2017</c:v>
                </c:pt>
                <c:pt idx="2">
                  <c:v>2018</c:v>
                </c:pt>
                <c:pt idx="3" formatCode="0.00">
                  <c:v>1.1017895808923586</c:v>
                </c:pt>
                <c:pt idx="4" formatCode="0.00">
                  <c:v>1.4120783462403446</c:v>
                </c:pt>
              </c:numCache>
            </c:numRef>
          </c:cat>
          <c:val>
            <c:numRef>
              <c:f>'Таблицы и инфографика'!$N$103:$R$103</c:f>
              <c:numCache>
                <c:formatCode>0.00</c:formatCode>
                <c:ptCount val="5"/>
                <c:pt idx="0">
                  <c:v>0.58779202931745311</c:v>
                </c:pt>
                <c:pt idx="1">
                  <c:v>0.48168116415757128</c:v>
                </c:pt>
                <c:pt idx="2">
                  <c:v>0.55672697043533592</c:v>
                </c:pt>
                <c:pt idx="3">
                  <c:v>0.18028211372968272</c:v>
                </c:pt>
                <c:pt idx="4">
                  <c:v>0.22374828812261388</c:v>
                </c:pt>
              </c:numCache>
            </c:numRef>
          </c:val>
          <c:extLst xmlns:c16r2="http://schemas.microsoft.com/office/drawing/2015/06/chart">
            <c:ext xmlns:c16="http://schemas.microsoft.com/office/drawing/2014/chart" uri="{C3380CC4-5D6E-409C-BE32-E72D297353CC}">
              <c16:uniqueId val="{00000002-99F4-EF4B-AF77-BB2F635B779D}"/>
            </c:ext>
          </c:extLst>
        </c:ser>
        <c:ser>
          <c:idx val="3"/>
          <c:order val="3"/>
          <c:tx>
            <c:strRef>
              <c:f>'Таблицы и инфографика'!$M$104</c:f>
              <c:strCache>
                <c:ptCount val="1"/>
                <c:pt idx="0">
                  <c:v>Средний размер субсидии из муниципального бюджета на один реализованный проект</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инфографика'!$N$100:$R$100</c:f>
              <c:numCache>
                <c:formatCode>General</c:formatCode>
                <c:ptCount val="5"/>
                <c:pt idx="0">
                  <c:v>2016</c:v>
                </c:pt>
                <c:pt idx="1">
                  <c:v>2017</c:v>
                </c:pt>
                <c:pt idx="2">
                  <c:v>2018</c:v>
                </c:pt>
                <c:pt idx="3" formatCode="0.00">
                  <c:v>1.1017895808923586</c:v>
                </c:pt>
                <c:pt idx="4" formatCode="0.00">
                  <c:v>1.4120783462403446</c:v>
                </c:pt>
              </c:numCache>
            </c:numRef>
          </c:cat>
          <c:val>
            <c:numRef>
              <c:f>'Таблицы и инфографика'!$N$104:$R$104</c:f>
              <c:numCache>
                <c:formatCode>0.00</c:formatCode>
                <c:ptCount val="5"/>
                <c:pt idx="0">
                  <c:v>0.13021071919377003</c:v>
                </c:pt>
                <c:pt idx="1">
                  <c:v>0.11986282197967633</c:v>
                </c:pt>
                <c:pt idx="2">
                  <c:v>0.15719648970836206</c:v>
                </c:pt>
                <c:pt idx="3">
                  <c:v>9.9830776875600949E-2</c:v>
                </c:pt>
                <c:pt idx="4">
                  <c:v>8.9408816904909885E-2</c:v>
                </c:pt>
              </c:numCache>
            </c:numRef>
          </c:val>
          <c:extLst xmlns:c16r2="http://schemas.microsoft.com/office/drawing/2015/06/chart">
            <c:ext xmlns:c16="http://schemas.microsoft.com/office/drawing/2014/chart" uri="{C3380CC4-5D6E-409C-BE32-E72D297353CC}">
              <c16:uniqueId val="{00000003-99F4-EF4B-AF77-BB2F635B779D}"/>
            </c:ext>
          </c:extLst>
        </c:ser>
        <c:ser>
          <c:idx val="4"/>
          <c:order val="4"/>
          <c:tx>
            <c:strRef>
              <c:f>'Таблицы и инфографика'!$M$105</c:f>
              <c:strCache>
                <c:ptCount val="1"/>
                <c:pt idx="0">
                  <c:v>Средний размер внебюджетной поддержки на один реализованный проект</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'Таблицы и инфографика'!$N$100:$R$100</c:f>
              <c:numCache>
                <c:formatCode>General</c:formatCode>
                <c:ptCount val="5"/>
                <c:pt idx="0">
                  <c:v>2016</c:v>
                </c:pt>
                <c:pt idx="1">
                  <c:v>2017</c:v>
                </c:pt>
                <c:pt idx="2">
                  <c:v>2018</c:v>
                </c:pt>
                <c:pt idx="3" formatCode="0.00">
                  <c:v>1.1017895808923586</c:v>
                </c:pt>
                <c:pt idx="4" formatCode="0.00">
                  <c:v>1.4120783462403446</c:v>
                </c:pt>
              </c:numCache>
            </c:numRef>
          </c:cat>
          <c:val>
            <c:numRef>
              <c:f>'Таблицы и инфографика'!$N$105:$R$105</c:f>
              <c:numCache>
                <c:formatCode>0.00</c:formatCode>
                <c:ptCount val="5"/>
                <c:pt idx="0">
                  <c:v>8.0588639486944572E-2</c:v>
                </c:pt>
                <c:pt idx="1">
                  <c:v>7.0834226194956718E-2</c:v>
                </c:pt>
                <c:pt idx="2">
                  <c:v>0.10303212206691764</c:v>
                </c:pt>
              </c:numCache>
            </c:numRef>
          </c:val>
          <c:extLst xmlns:c16r2="http://schemas.microsoft.com/office/drawing/2015/06/chart">
            <c:ext xmlns:c16="http://schemas.microsoft.com/office/drawing/2014/chart" uri="{C3380CC4-5D6E-409C-BE32-E72D297353CC}">
              <c16:uniqueId val="{00000004-99F4-EF4B-AF77-BB2F635B779D}"/>
            </c:ext>
          </c:extLst>
        </c:ser>
        <c:dLbls>
          <c:dLblPos val="outEnd"/>
          <c:showLegendKey val="0"/>
          <c:showVal val="1"/>
          <c:showCatName val="0"/>
          <c:showSerName val="0"/>
          <c:showPercent val="0"/>
          <c:showBubbleSize val="0"/>
        </c:dLbls>
        <c:gapWidth val="75"/>
        <c:overlap val="-25"/>
        <c:axId val="-1259503184"/>
        <c:axId val="-1259500464"/>
      </c:barChart>
      <c:catAx>
        <c:axId val="-125950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259500464"/>
        <c:crosses val="autoZero"/>
        <c:auto val="1"/>
        <c:lblAlgn val="ctr"/>
        <c:lblOffset val="100"/>
        <c:noMultiLvlLbl val="0"/>
      </c:catAx>
      <c:valAx>
        <c:axId val="-1259500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25950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201</xdr:col>
      <xdr:colOff>600075</xdr:colOff>
      <xdr:row>140</xdr:row>
      <xdr:rowOff>971550</xdr:rowOff>
    </xdr:from>
    <xdr:to>
      <xdr:col>201</xdr:col>
      <xdr:colOff>612140</xdr:colOff>
      <xdr:row>141</xdr:row>
      <xdr:rowOff>0</xdr:rowOff>
    </xdr:to>
    <xdr:pic>
      <xdr:nvPicPr>
        <xdr:cNvPr id="21" name="Рисунок 20">
          <a:extLst>
            <a:ext uri="{FF2B5EF4-FFF2-40B4-BE49-F238E27FC236}">
              <a16:creationId xmlns:a16="http://schemas.microsoft.com/office/drawing/2014/main" xmlns="" id="{7CDF74A1-6086-144C-8CF1-EA7DD38BB5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75875" y="69348350"/>
          <a:ext cx="12065" cy="6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311</xdr:col>
      <xdr:colOff>47625</xdr:colOff>
      <xdr:row>140</xdr:row>
      <xdr:rowOff>38100</xdr:rowOff>
    </xdr:from>
    <xdr:to>
      <xdr:col>311</xdr:col>
      <xdr:colOff>631267</xdr:colOff>
      <xdr:row>140</xdr:row>
      <xdr:rowOff>657148</xdr:rowOff>
    </xdr:to>
    <xdr:pic>
      <xdr:nvPicPr>
        <xdr:cNvPr id="2" name="Рисунок 1">
          <a:extLst>
            <a:ext uri="{FF2B5EF4-FFF2-40B4-BE49-F238E27FC236}">
              <a16:creationId xmlns:a16="http://schemas.microsoft.com/office/drawing/2014/main" xmlns="" id="{A60C8F22-5082-1344-9C5C-0188B5F5B3FF}"/>
            </a:ext>
          </a:extLst>
        </xdr:cNvPr>
        <xdr:cNvPicPr>
          <a:picLocks noChangeAspect="1"/>
        </xdr:cNvPicPr>
      </xdr:nvPicPr>
      <xdr:blipFill>
        <a:blip xmlns:r="http://schemas.openxmlformats.org/officeDocument/2006/relationships" r:embed="rId1" cstate="print"/>
        <a:stretch>
          <a:fillRect/>
        </a:stretch>
      </xdr:blipFill>
      <xdr:spPr>
        <a:xfrm>
          <a:off x="509101725" y="171500800"/>
          <a:ext cx="583642" cy="619048"/>
        </a:xfrm>
        <a:prstGeom prst="rect">
          <a:avLst/>
        </a:prstGeom>
      </xdr:spPr>
    </xdr:pic>
    <xdr:clientData/>
  </xdr:twoCellAnchor>
  <xdr:twoCellAnchor editAs="oneCell">
    <xdr:from>
      <xdr:col>71</xdr:col>
      <xdr:colOff>231322</xdr:colOff>
      <xdr:row>139</xdr:row>
      <xdr:rowOff>5206094</xdr:rowOff>
    </xdr:from>
    <xdr:to>
      <xdr:col>71</xdr:col>
      <xdr:colOff>1967113</xdr:colOff>
      <xdr:row>140</xdr:row>
      <xdr:rowOff>1074469</xdr:rowOff>
    </xdr:to>
    <xdr:pic>
      <xdr:nvPicPr>
        <xdr:cNvPr id="3" name="Рисунок 2">
          <a:extLst>
            <a:ext uri="{FF2B5EF4-FFF2-40B4-BE49-F238E27FC236}">
              <a16:creationId xmlns:a16="http://schemas.microsoft.com/office/drawing/2014/main" xmlns="" id="{A48114ED-CB3A-6441-B8FF-3AF3037081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51422" y="171449094"/>
          <a:ext cx="1735791" cy="1088075"/>
        </a:xfrm>
        <a:prstGeom prst="rect">
          <a:avLst/>
        </a:prstGeom>
      </xdr:spPr>
    </xdr:pic>
    <xdr:clientData/>
  </xdr:twoCellAnchor>
  <xdr:twoCellAnchor>
    <xdr:from>
      <xdr:col>222</xdr:col>
      <xdr:colOff>22860</xdr:colOff>
      <xdr:row>140</xdr:row>
      <xdr:rowOff>76200</xdr:rowOff>
    </xdr:from>
    <xdr:to>
      <xdr:col>222</xdr:col>
      <xdr:colOff>1379220</xdr:colOff>
      <xdr:row>141</xdr:row>
      <xdr:rowOff>7620</xdr:rowOff>
    </xdr:to>
    <xdr:pic>
      <xdr:nvPicPr>
        <xdr:cNvPr id="4" name="Picture 4">
          <a:extLst>
            <a:ext uri="{FF2B5EF4-FFF2-40B4-BE49-F238E27FC236}">
              <a16:creationId xmlns:a16="http://schemas.microsoft.com/office/drawing/2014/main" xmlns="" id="{8870EADB-C0BF-764A-B185-0FDA73718A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428660" y="171538900"/>
          <a:ext cx="1356360" cy="223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223</xdr:col>
      <xdr:colOff>0</xdr:colOff>
      <xdr:row>140</xdr:row>
      <xdr:rowOff>0</xdr:rowOff>
    </xdr:from>
    <xdr:to>
      <xdr:col>224</xdr:col>
      <xdr:colOff>169819</xdr:colOff>
      <xdr:row>140</xdr:row>
      <xdr:rowOff>1225237</xdr:rowOff>
    </xdr:to>
    <xdr:pic>
      <xdr:nvPicPr>
        <xdr:cNvPr id="5" name="Picture 4" descr="http://barysh.org/upload/rk/01f/narod-bud.jpg">
          <a:extLst>
            <a:ext uri="{FF2B5EF4-FFF2-40B4-BE49-F238E27FC236}">
              <a16:creationId xmlns:a16="http://schemas.microsoft.com/office/drawing/2014/main" xmlns="" id="{0426BCB3-F0A6-B240-A427-A102453EF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3110900" y="171462700"/>
          <a:ext cx="2747919" cy="122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230</xdr:col>
      <xdr:colOff>0</xdr:colOff>
      <xdr:row>89</xdr:row>
      <xdr:rowOff>0</xdr:rowOff>
    </xdr:from>
    <xdr:to>
      <xdr:col>230</xdr:col>
      <xdr:colOff>304800</xdr:colOff>
      <xdr:row>89</xdr:row>
      <xdr:rowOff>304800</xdr:rowOff>
    </xdr:to>
    <xdr:sp macro="" textlink="">
      <xdr:nvSpPr>
        <xdr:cNvPr id="6" name="avatar">
          <a:extLst>
            <a:ext uri="{FF2B5EF4-FFF2-40B4-BE49-F238E27FC236}">
              <a16:creationId xmlns:a16="http://schemas.microsoft.com/office/drawing/2014/main" xmlns="" id="{42777B90-CDA7-7C45-8E9E-6BF836F530AA}"/>
            </a:ext>
          </a:extLst>
        </xdr:cNvPr>
        <xdr:cNvSpPr>
          <a:spLocks noChangeAspect="1" noChangeArrowheads="1"/>
        </xdr:cNvSpPr>
      </xdr:nvSpPr>
      <xdr:spPr bwMode="auto">
        <a:xfrm>
          <a:off x="323100700" y="10214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242</xdr:col>
      <xdr:colOff>1362863</xdr:colOff>
      <xdr:row>140</xdr:row>
      <xdr:rowOff>361951</xdr:rowOff>
    </xdr:from>
    <xdr:to>
      <xdr:col>242</xdr:col>
      <xdr:colOff>2476671</xdr:colOff>
      <xdr:row>140</xdr:row>
      <xdr:rowOff>769302</xdr:rowOff>
    </xdr:to>
    <xdr:pic>
      <xdr:nvPicPr>
        <xdr:cNvPr id="7" name="Рисунок 6" descr="https://cherdakli.com/wp-content/uploads/2016/04/narodnyiy-byudzhet1.jpg">
          <a:extLst>
            <a:ext uri="{FF2B5EF4-FFF2-40B4-BE49-F238E27FC236}">
              <a16:creationId xmlns:a16="http://schemas.microsoft.com/office/drawing/2014/main" xmlns="" id="{135A0176-01A6-2B4E-BA28-73827E412A2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6632663" y="171824651"/>
          <a:ext cx="1113808" cy="407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243</xdr:col>
      <xdr:colOff>1390440</xdr:colOff>
      <xdr:row>140</xdr:row>
      <xdr:rowOff>514800</xdr:rowOff>
    </xdr:from>
    <xdr:to>
      <xdr:col>243</xdr:col>
      <xdr:colOff>2503947</xdr:colOff>
      <xdr:row>140</xdr:row>
      <xdr:rowOff>920145</xdr:rowOff>
    </xdr:to>
    <xdr:pic>
      <xdr:nvPicPr>
        <xdr:cNvPr id="8" name="Рисунок 7">
          <a:extLst>
            <a:ext uri="{FF2B5EF4-FFF2-40B4-BE49-F238E27FC236}">
              <a16:creationId xmlns:a16="http://schemas.microsoft.com/office/drawing/2014/main" xmlns="" id="{49501F48-B120-FA46-8789-F1E18E170F1A}"/>
            </a:ext>
          </a:extLst>
        </xdr:cNvPr>
        <xdr:cNvPicPr/>
      </xdr:nvPicPr>
      <xdr:blipFill>
        <a:blip xmlns:r="http://schemas.openxmlformats.org/officeDocument/2006/relationships" r:embed="rId6" cstate="print"/>
        <a:stretch/>
      </xdr:blipFill>
      <xdr:spPr>
        <a:xfrm>
          <a:off x="359632040" y="171977500"/>
          <a:ext cx="1113507" cy="405345"/>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566964</xdr:colOff>
      <xdr:row>28</xdr:row>
      <xdr:rowOff>149678</xdr:rowOff>
    </xdr:from>
    <xdr:to>
      <xdr:col>21</xdr:col>
      <xdr:colOff>385536</xdr:colOff>
      <xdr:row>42</xdr:row>
      <xdr:rowOff>172356</xdr:rowOff>
    </xdr:to>
    <xdr:graphicFrame macro="">
      <xdr:nvGraphicFramePr>
        <xdr:cNvPr id="2" name="Диаграмма 1">
          <a:extLst>
            <a:ext uri="{FF2B5EF4-FFF2-40B4-BE49-F238E27FC236}">
              <a16:creationId xmlns:a16="http://schemas.microsoft.com/office/drawing/2014/main" xmlns="" id="{8E0CBC2B-B25E-D44D-8BB1-40F10B6810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1107016</xdr:colOff>
      <xdr:row>97</xdr:row>
      <xdr:rowOff>194732</xdr:rowOff>
    </xdr:from>
    <xdr:to>
      <xdr:col>20</xdr:col>
      <xdr:colOff>567267</xdr:colOff>
      <xdr:row>105</xdr:row>
      <xdr:rowOff>25399</xdr:rowOff>
    </xdr:to>
    <xdr:graphicFrame macro="">
      <xdr:nvGraphicFramePr>
        <xdr:cNvPr id="5" name="Диаграмма 4">
          <a:extLst>
            <a:ext uri="{FF2B5EF4-FFF2-40B4-BE49-F238E27FC236}">
              <a16:creationId xmlns:a16="http://schemas.microsoft.com/office/drawing/2014/main" xmlns="" id="{418A9578-43E1-D84C-851C-861450F501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EDIA\&#1040;&#1085;&#1072;&#1083;&#1080;&#1090;&#1080;&#1082;&#1072;\&#1042;&#1053;&#1045;&#1064;&#1053;&#1048;&#1045;%20&#1053;&#1040;&#1055;&#1056;&#1040;&#1042;&#1051;&#1045;&#1053;&#1048;&#1071;\&#1054;&#1058;&#1050;&#1056;&#1067;&#1058;&#1067;&#1049;%20&#1041;&#1070;&#1044;&#1046;&#1045;&#1058;\&#1047;&#1072;&#1087;&#1088;&#1086;&#1089;%20&#1052;&#1060;%20&#1082;%20&#1044;&#1086;&#1082;&#1083;&#1072;&#1076;&#1091;%20&#1086;%20&#1083;&#1091;&#1095;&#1096;&#1077;&#1081;%20&#1087;&#1088;&#1072;&#1082;&#1090;&#1080;&#1082;&#1077;\2020%20(&#1048;&#1041;%20&#1079;&#1072;%202019%20&#1075;&#1086;&#1076;)\&#1055;&#1088;&#1080;&#1083;&#1086;&#1078;&#1077;&#1085;&#1080;&#1077;%201.2_&#1057;&#1055;&#1041;__&#1058;&#1041;%20&#1074;%20&#1096;&#1082;&#1086;&#1083;&#1072;&#1093;_14.04.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MEDIA\&#1040;&#1085;&#1072;&#1083;&#1080;&#1090;&#1080;&#1082;&#1072;\&#1042;&#1053;&#1045;&#1064;&#1053;&#1048;&#1045;%20&#1053;&#1040;&#1055;&#1056;&#1040;&#1042;&#1051;&#1045;&#1053;&#1048;&#1071;\&#1054;&#1058;&#1050;&#1056;&#1067;&#1058;&#1067;&#1049;%20&#1041;&#1070;&#1044;&#1046;&#1045;&#1058;\&#1047;&#1072;&#1087;&#1088;&#1086;&#1089;%20&#1052;&#1060;%20&#1082;%20&#1044;&#1086;&#1082;&#1083;&#1072;&#1076;&#1091;%20&#1086;%20&#1083;&#1091;&#1095;&#1096;&#1077;&#1081;%20&#1087;&#1088;&#1072;&#1082;&#1090;&#1080;&#1082;&#1077;\&#1059;&#1095;&#1077;&#1090;&#1085;&#1072;&#1103;%20&#1087;&#1086;&#1083;&#1080;&#1090;&#1080;&#1082;&#1072;%20&#1082;%20&#1086;&#1090;&#1095;&#1077;&#1090;&#1072;&#1084;%20&#1087;&#1086;%20&#1048;&#1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MEDIA\&#1040;&#1085;&#1072;&#1083;&#1080;&#1090;&#1080;&#1082;&#1072;\&#1042;&#1053;&#1045;&#1064;&#1053;&#1048;&#1045;%20&#1053;&#1040;&#1055;&#1056;&#1040;&#1042;&#1051;&#1045;&#1053;&#1048;&#1071;\&#1054;&#1058;&#1050;&#1056;&#1067;&#1058;&#1067;&#1049;%20&#1041;&#1070;&#1044;&#1046;&#1045;&#1058;\&#1047;&#1072;&#1087;&#1088;&#1086;&#1089;%20&#1052;&#1060;%20&#1082;%20&#1044;&#1086;&#1082;&#1083;&#1072;&#1076;&#1091;%20&#1086;%20&#1083;&#1091;&#1095;&#1096;&#1077;&#1081;%20&#1087;&#1088;&#1072;&#1082;&#1090;&#1080;&#1082;&#1077;\2021%20(&#1048;&#1041;%20&#1079;&#1072;%202020%20&#1075;&#1086;&#1076;)\&#1041;&#1083;&#1072;&#1075;&#1086;&#1087;&#1086;&#1083;&#1091;&#1095;&#1072;&#1090;&#1077;&#1083;&#1080;\&#1041;&#1083;&#1072;&#1075;&#1086;&#1087;&#1086;&#1083;&#1091;&#1095;&#1072;&#1090;&#1077;&#1083;&#1080;%20(&#1086;&#1090;&#1095;&#1077;&#1090;%20&#1079;&#1072;%202020%20&#1075;&#1086;&#107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EDIA\&#1040;&#1085;&#1072;&#1083;&#1080;&#1090;&#1080;&#1082;&#1072;\&#1042;&#1053;&#1045;&#1064;&#1053;&#1048;&#1045;%20&#1053;&#1040;&#1055;&#1056;&#1040;&#1042;&#1051;&#1045;&#1053;&#1048;&#1071;\&#1054;&#1058;&#1050;&#1056;&#1067;&#1058;&#1067;&#1049;%20&#1041;&#1070;&#1044;&#1046;&#1045;&#1058;\&#1047;&#1072;&#1087;&#1088;&#1086;&#1089;%20&#1052;&#1060;%20&#1082;%20&#1044;&#1086;&#1082;&#1083;&#1072;&#1076;&#1091;%20&#1086;%20&#1083;&#1091;&#1095;&#1096;&#1077;&#1081;%20&#1087;&#1088;&#1072;&#1082;&#1090;&#1080;&#1082;&#1077;\2021%20(&#1048;&#1041;%20&#1079;&#1072;%202020%20&#1075;&#1086;&#1076;)\&#1054;&#1090;&#1087;&#1088;&#1072;&#1074;&#1083;&#1077;&#1085;&#1086;\070421_request_form1_&#1058;&#1074;&#1086;&#1081;%20&#1073;&#1102;&#1076;&#1078;&#1077;&#109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оварь"/>
      <sheetName val="практика субъекта"/>
    </sheetNames>
    <sheetDataSet>
      <sheetData sheetId="0" refreshError="1"/>
      <sheetData sheetId="1" refreshError="1">
        <row r="12">
          <cell r="F12" t="str">
            <v>http://gov.spb.ru/law?d&amp;nd=822403529&amp;nh=0</v>
          </cell>
        </row>
        <row r="20">
          <cell r="F20" t="str">
            <v>Администрация Центрального района Санкт-Петербурга</v>
          </cell>
        </row>
        <row r="22">
          <cell r="F22" t="str">
            <v>Государственные бюджетные образовательные учреждения Центрального района Санкт-Петербурга</v>
          </cell>
        </row>
        <row r="125">
          <cell r="F125" t="str">
            <v>https://tvoybudget.spb.ru/press; https://yadi.sk/d/STXBWeWut004OA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тная политика"/>
    </sheetNames>
    <sheetDataSet>
      <sheetData sheetId="0" refreshError="1">
        <row r="9">
          <cell r="N9">
            <v>5384.3419999999996</v>
          </cell>
          <cell r="Q9">
            <v>120000</v>
          </cell>
          <cell r="U9">
            <v>2.0517530043320544E-2</v>
          </cell>
        </row>
        <row r="10">
          <cell r="U10">
            <v>4.2234665365231544E-3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19, ТБ18"/>
      <sheetName val="1. Шарафанович"/>
      <sheetName val="2. Муковникова"/>
      <sheetName val="4. Челнокова"/>
      <sheetName val="5. Лемешев"/>
      <sheetName val="6. Афонина"/>
      <sheetName val="7.Королев"/>
      <sheetName val="8.Белугин"/>
      <sheetName val="9. Иванова"/>
      <sheetName val="10. Францужан"/>
      <sheetName val="11. Лисицына"/>
      <sheetName val="12. Сочивко"/>
      <sheetName val="13. Анисимова"/>
      <sheetName val="14. Полевая"/>
      <sheetName val="15. Гизатуллина"/>
    </sheetNames>
    <sheetDataSet>
      <sheetData sheetId="0" refreshError="1">
        <row r="24">
          <cell r="H24">
            <v>3868389.1406400003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ловарь"/>
      <sheetName val="практика субъекта"/>
    </sheetNames>
    <sheetDataSet>
      <sheetData sheetId="0" refreshError="1"/>
      <sheetData sheetId="1" refreshError="1">
        <row r="72">
          <cell r="F72" t="str">
            <v>"Методические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с АНО "ИНИ ЕУ в СПб".</v>
          </cell>
        </row>
        <row r="73">
          <cell r="F73" t="str">
            <v>Материалы размещены на портале проекта: https://tvoybudget.spb.ru/materials/material/80</v>
          </cell>
        </row>
        <row r="75">
          <cell r="F75">
            <v>5384.3419999999996</v>
          </cell>
        </row>
        <row r="76">
          <cell r="F76" t="str">
            <v>https://petrostat.gks.ru/storage/mediabank/TCgYnq5o/%D0%A7%D0%B8%D1%81%D0%BB.%D0%A1%D0%9F%D0%B1%20%D0%BD%D0%B0%2001.01.2021.pdf</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petrostat.gks.ru/folder/29437" TargetMode="External"/><Relationship Id="rId299" Type="http://schemas.openxmlformats.org/officeDocument/2006/relationships/hyperlink" Target="http://gorodsreda.ru/" TargetMode="External"/><Relationship Id="rId21" Type="http://schemas.openxmlformats.org/officeDocument/2006/relationships/hyperlink" Target="https://df.gov35.ru/dokumenty-strategicheskogo-planirovaniya/gosudarstvennaya-programma-departamenta-finansov/aktualnaya-versiya-gosudarstvennoy-programmy/" TargetMode="External"/><Relationship Id="rId63" Type="http://schemas.openxmlformats.org/officeDocument/2006/relationships/hyperlink" Target="https://login.consultant.ru/link/?req=doc&amp;base=RLAW265&amp;n=104518&amp;dst=100006" TargetMode="External"/><Relationship Id="rId159" Type="http://schemas.openxmlformats.org/officeDocument/2006/relationships/hyperlink" Target="https://guvp.khabkrai.ru/Deyatelnost/TOS/Obschaya-informaciya-i-normativnye-pravovye-akty" TargetMode="External"/><Relationship Id="rId324" Type="http://schemas.openxmlformats.org/officeDocument/2006/relationships/hyperlink" Target="http://www.kirovreg.ru/publ/AkOUP.nsf/de017b98ac867075c32571440061b25c/a477b32730cd333b43258256004958f1?OpenDocument" TargetMode="External"/><Relationship Id="rId170" Type="http://schemas.openxmlformats.org/officeDocument/2006/relationships/hyperlink" Target="https://mvp.government-nnov.ru/?id=48287" TargetMode="External"/><Relationship Id="rId226" Type="http://schemas.openxmlformats.org/officeDocument/2006/relationships/hyperlink" Target="http://www.pravo.gov66.ru/23905/" TargetMode="External"/><Relationship Id="rId268" Type="http://schemas.openxmlformats.org/officeDocument/2006/relationships/hyperlink" Target="http://ppmi.sakha.gov.ru/" TargetMode="External"/><Relationship Id="rId32" Type="http://schemas.openxmlformats.org/officeDocument/2006/relationships/hyperlink" Target="http://docs.cntd.ru/document/550244134" TargetMode="External"/><Relationship Id="rId74" Type="http://schemas.openxmlformats.org/officeDocument/2006/relationships/hyperlink" Target="https://kaliningrad.gks.ru/population" TargetMode="External"/><Relationship Id="rId128" Type="http://schemas.openxmlformats.org/officeDocument/2006/relationships/hyperlink" Target="https://tmsk.gks.ru/storage/mediabank/%D0%A7%D0%B8%D1%81%D0%BB%D0%B5%D0%BD%D0%BD%D0%BE%D1%81%D1%82%D1%8C%20%D0%BD%D0%B0%D1%81%D0%B5%D0%BB%D0%B5%D0%BD%D0%B8%D1%8F(12).pdf" TargetMode="External"/><Relationship Id="rId335" Type="http://schemas.openxmlformats.org/officeDocument/2006/relationships/hyperlink" Target="http://publication.pravo.gov.ru/Document/View/7400201902120003" TargetMode="External"/><Relationship Id="rId5" Type="http://schemas.openxmlformats.org/officeDocument/2006/relationships/hyperlink" Target="https://cloud.mail.ru/public/43VB/q6RjRJqxP" TargetMode="External"/><Relationship Id="rId181" Type="http://schemas.openxmlformats.org/officeDocument/2006/relationships/hyperlink" Target="http://docs.cntd.ru/document/553364140" TargetMode="External"/><Relationship Id="rId237" Type="http://schemas.openxmlformats.org/officeDocument/2006/relationships/hyperlink" Target="https://pib.sakhminfin.ru/vote" TargetMode="External"/><Relationship Id="rId279" Type="http://schemas.openxmlformats.org/officeDocument/2006/relationships/hyperlink" Target="http://mcx.rk08.ru/kompleksnoe-razvitie-selskikh-territoriy/" TargetMode="External"/><Relationship Id="rId43" Type="http://schemas.openxmlformats.org/officeDocument/2006/relationships/hyperlink" Target="https://yar.gks.ru/storage/mediabank/yaroslavskaya_oblast_v_tsifrah_2020_god.pdf" TargetMode="External"/><Relationship Id="rId139" Type="http://schemas.openxmlformats.org/officeDocument/2006/relationships/hyperlink" Target="https://www.tambov.gov.ru/gmspk/urt.html" TargetMode="External"/><Relationship Id="rId290" Type="http://schemas.openxmlformats.org/officeDocument/2006/relationships/hyperlink" Target="https://tatstat.gks.ru/storage/mediabank/&#1052;&#1054;&#1095;&#1080;&#1089;&#1083;2020_308759_311478.pdf" TargetMode="External"/><Relationship Id="rId304" Type="http://schemas.openxmlformats.org/officeDocument/2006/relationships/hyperlink" Target="http://mcx-altai.ru/proekt-gosudarstvennoj-programmy-kompleksnogo-razvitiya-sela" TargetMode="External"/><Relationship Id="rId346" Type="http://schemas.openxmlformats.org/officeDocument/2006/relationships/hyperlink" Target="https://rosstat.gov.ru/compendium/document/13282" TargetMode="External"/><Relationship Id="rId85" Type="http://schemas.openxmlformats.org/officeDocument/2006/relationships/hyperlink" Target="https://dsx.avo.ru/ustojcivoe-razvitie-sel-skih-territorij?inheritRedirect=true" TargetMode="External"/><Relationship Id="rId150" Type="http://schemas.openxmlformats.org/officeDocument/2006/relationships/hyperlink" Target="https://gkh.admtyumen.ru/OIGV/gkh/actions/programs/program.htm?id=1138@egTargetGrant" TargetMode="External"/><Relationship Id="rId192" Type="http://schemas.openxmlformats.org/officeDocument/2006/relationships/hyperlink" Target="http://docs.cntd.ru/document/553386375" TargetMode="External"/><Relationship Id="rId206" Type="http://schemas.openxmlformats.org/officeDocument/2006/relationships/hyperlink" Target="http://mfnso.nso.ru/page/2632" TargetMode="External"/><Relationship Id="rId248" Type="http://schemas.openxmlformats.org/officeDocument/2006/relationships/hyperlink" Target="https://minfin.saratov.gov.ru/index.php?option=com_acrfilestorage&amp;task=download&amp;on=2065" TargetMode="External"/><Relationship Id="rId12" Type="http://schemas.openxmlformats.org/officeDocument/2006/relationships/hyperlink" Target="http://publication.pravo.gov.ru/Document/View/3600201905300001?rangeSize=20" TargetMode="External"/><Relationship Id="rId108" Type="http://schemas.openxmlformats.org/officeDocument/2006/relationships/hyperlink" Target="https://kurskstat.gks.ru/storage/mediabank/&#1063;&#1048;&#1057;&#1051;&#1045;&#1053;&#1053;&#1054;&#1057;&#1058;&#1068;%20&#1053;&#1040;&#1057;&#1045;&#1051;&#1045;&#1053;&#1048;&#1071;.pdf" TargetMode="External"/><Relationship Id="rId315" Type="http://schemas.openxmlformats.org/officeDocument/2006/relationships/hyperlink" Target="http://docs.cntd.ru/document/553216517" TargetMode="External"/><Relationship Id="rId54" Type="http://schemas.openxmlformats.org/officeDocument/2006/relationships/hyperlink" Target="https://apkkostroma.ru/industry-info/krst/index.aspx" TargetMode="External"/><Relationship Id="rId96" Type="http://schemas.openxmlformats.org/officeDocument/2006/relationships/hyperlink" Target="http://agro.cap.ru/action/activity/" TargetMode="External"/><Relationship Id="rId161"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217" Type="http://schemas.openxmlformats.org/officeDocument/2006/relationships/hyperlink" Target="https://school.tvoybudget.spb.ru/" TargetMode="External"/><Relationship Id="rId259" Type="http://schemas.openxmlformats.org/officeDocument/2006/relationships/hyperlink" Target="http://mari-el.gov.ru/mecon/Pages/competitions.aspx" TargetMode="External"/><Relationship Id="rId23" Type="http://schemas.openxmlformats.org/officeDocument/2006/relationships/hyperlink" Target="http://programs.vologda-oblast.ru/prog/programma_gubernatora_narodnyj_byudzhet/" TargetMode="External"/><Relationship Id="rId119" Type="http://schemas.openxmlformats.org/officeDocument/2006/relationships/hyperlink" Target="https://msu.lenobl.ru/ru/programmy-i-plany/iniciativnye-komissii-v-administrativnyh-centrah/" TargetMode="External"/><Relationship Id="rId270" Type="http://schemas.openxmlformats.org/officeDocument/2006/relationships/hyperlink" Target="http://ppmi.sakha.gov.ru/Home" TargetMode="External"/><Relationship Id="rId326" Type="http://schemas.openxmlformats.org/officeDocument/2006/relationships/hyperlink" Target="http://www.kirovreg.ru/publ/AkOUP.nsf/de017b98ac867075c32571440061b25c/c5cfc3177e78934f43257dcf00397b26?OpenDocument" TargetMode="External"/><Relationship Id="rId65" Type="http://schemas.openxmlformats.org/officeDocument/2006/relationships/hyperlink" Target="http://www.statdata.ru/naselenie/kostromskoi-oblasti" TargetMode="External"/><Relationship Id="rId130" Type="http://schemas.openxmlformats.org/officeDocument/2006/relationships/hyperlink" Target="https://agro.tmbreg.ru/assets/files/prv/01_2020/PAO-2019-1506.pdf" TargetMode="External"/><Relationship Id="rId172" Type="http://schemas.openxmlformats.org/officeDocument/2006/relationships/hyperlink" Target="http://publication.pravo.gov.ru/Document/View/5200202012300004" TargetMode="External"/><Relationship Id="rId228" Type="http://schemas.openxmlformats.org/officeDocument/2006/relationships/hyperlink" Target="http://minter.permkrai.ru/proekty-mestnykh-initsiativ/initsiativnoe-byudzhetirovanie/npa-ib/" TargetMode="External"/><Relationship Id="rId281" Type="http://schemas.openxmlformats.org/officeDocument/2006/relationships/hyperlink" Target="https://www.instagram.com/mshrk08/" TargetMode="External"/><Relationship Id="rId337" Type="http://schemas.openxmlformats.org/officeDocument/2006/relationships/hyperlink" Target="https://pravo.donland.ru/doc/view/id/%D0%9E%D0%B1%D0%BB%D0%B0%D1%81%D1%82%D0%BD%D0%BE%D0%B9+%D0%B7%D0%B0%D0%BA%D0%BE%D0%BD_70-%D0%97%D0%A1_25122018_11295/" TargetMode="External"/><Relationship Id="rId34" Type="http://schemas.openxmlformats.org/officeDocument/2006/relationships/hyperlink" Target="http://docs.cntd.ru/document/550244134" TargetMode="External"/><Relationship Id="rId76" Type="http://schemas.openxmlformats.org/officeDocument/2006/relationships/hyperlink" Target="https://stavstat.gks.ru/storage/mediabank/%D0%9E%D1%86%D0%B5%D0%BD%D0%BA%D0%B0%20%D1%87%D0%B8%D1%81%D0%BB%D0%B5%D0%BD%D0%BD%D0%BE%D1%81%D1%82%D0%B8%20%D0%BD%D0%B0%D1%81%D0%B5%D0%BB%D0%B5%D0%BD%D0%B8%D1%8F%20%D0%9A%D0%91%D0%A0%20%D0%BD%D0%B0%2001.01.2020%D0%B3.%20%D0%B8%20%D0%B2%20%D1%81%D1%80%D0%B5%D0%B4%D0%BD%D0%B5%D0%BC%20%D0%B7%D0%B0%202019%D0%B3..pdf" TargetMode="External"/><Relationship Id="rId141" Type="http://schemas.openxmlformats.org/officeDocument/2006/relationships/hyperlink" Target="https://www.tambov.gov.ru/news/view/proekt-narodnaya-iniciativa-novye-usloviya-novye-idei.html" TargetMode="External"/><Relationship Id="rId7" Type="http://schemas.openxmlformats.org/officeDocument/2006/relationships/hyperlink" Target="https://iro22.ru/index.php/2017-09-05-03-16-33/konkurs-shkolnykh-initsiativ-ya-schitayu/normativno-pravovye-dokumenty.html" TargetMode="External"/><Relationship Id="rId183" Type="http://schemas.openxmlformats.org/officeDocument/2006/relationships/hyperlink" Target="http://docs.cntd.ru/document/553364140" TargetMode="External"/><Relationship Id="rId239" Type="http://schemas.openxmlformats.org/officeDocument/2006/relationships/hyperlink" Target="https://pib.sakhminfin.ru/show/ppi" TargetMode="External"/><Relationship Id="rId250" Type="http://schemas.openxmlformats.org/officeDocument/2006/relationships/hyperlink" Target="https://ipbd.ru/doc/6201201912250004/" TargetMode="External"/><Relationship Id="rId292" Type="http://schemas.openxmlformats.org/officeDocument/2006/relationships/hyperlink" Target="https://drive.google.com/drive/folders/1FI_RiMFtjXzlddlreYZVCLP93Hy4QW2j?usp=sharing" TargetMode="External"/><Relationship Id="rId306" Type="http://schemas.openxmlformats.org/officeDocument/2006/relationships/hyperlink" Target="https://ppmi.bashkortostan.ru/" TargetMode="External"/><Relationship Id="rId45" Type="http://schemas.openxmlformats.org/officeDocument/2006/relationships/hyperlink" Target="http://www.udmurt.ru/regulatory/index.php?typeid=31183294&amp;regnum=196&amp;sdate=21.05.2019&amp;edate=&amp;sdatepub=&amp;edatepub=&amp;q=&amp;doccnt=" TargetMode="External"/><Relationship Id="rId87" Type="http://schemas.openxmlformats.org/officeDocument/2006/relationships/hyperlink" Target="https://dtf.avo.ru/podderzka-iniciativ-naselenia" TargetMode="External"/><Relationship Id="rId110" Type="http://schemas.openxmlformats.org/officeDocument/2006/relationships/hyperlink" Target="https://adm.rkursk.ru/index.php?id=693&amp;mat_id=111028&amp;page=3" TargetMode="External"/><Relationship Id="rId348" Type="http://schemas.openxmlformats.org/officeDocument/2006/relationships/hyperlink" Target="http://www.yamalfin.ru/index.php?option=com_content&amp;view=article&amp;id=3044:-------21--2018--631-&amp;catid=158:2018-12-13-04-38-03&amp;Itemid=125" TargetMode="External"/><Relationship Id="rId152" Type="http://schemas.openxmlformats.org/officeDocument/2006/relationships/hyperlink" Target="https://vk.com/tmncomfort" TargetMode="External"/><Relationship Id="rId194" Type="http://schemas.openxmlformats.org/officeDocument/2006/relationships/hyperlink" Target="https://&#1094;&#1084;&#1087;&#1080;.&#1088;&#1092;/novosti/" TargetMode="External"/><Relationship Id="rId208" Type="http://schemas.openxmlformats.org/officeDocument/2006/relationships/hyperlink" Target="https://ovmf2.consultant.ru/cgi/online.cgi?req=doc&amp;cacheid=D5B049842777A6A21BFAADF56F06EA5C&amp;SORTTYPE=0&amp;BASENODE=23700&amp;ts=45898649024806218800036728&amp;base=RLAW148&amp;n=165928&amp;rnd=0B2C7C8FF542C7F5FBABDE5D700E1C5E" TargetMode="External"/><Relationship Id="rId261" Type="http://schemas.openxmlformats.org/officeDocument/2006/relationships/hyperlink" Target="http://mari-el.gov.ru/mecon/Pages/competitions.aspx" TargetMode="External"/><Relationship Id="rId14" Type="http://schemas.openxmlformats.org/officeDocument/2006/relationships/hyperlink" Target="https://www.govvrn.ru/iniciativnoe-budzetirovanie" TargetMode="External"/><Relationship Id="rId56" Type="http://schemas.openxmlformats.org/officeDocument/2006/relationships/hyperlink" Target="https://login.consultant.ru/link/?req=doc&amp;base=RLAW265&amp;n=102109&amp;dst=100002" TargetMode="External"/><Relationship Id="rId317" Type="http://schemas.openxmlformats.org/officeDocument/2006/relationships/hyperlink" Target="https://regionrb.info/" TargetMode="External"/><Relationship Id="rId98" Type="http://schemas.openxmlformats.org/officeDocument/2006/relationships/hyperlink" Target="https://docs.cntd.ru/document/463710828" TargetMode="External"/><Relationship Id="rId121" Type="http://schemas.openxmlformats.org/officeDocument/2006/relationships/hyperlink" Target="https://vk.com/public188542037" TargetMode="External"/><Relationship Id="rId163" Type="http://schemas.openxmlformats.org/officeDocument/2006/relationships/hyperlink" Target="https://ovmf2.consultant.ru/cgi/online.cgi?rnd=66D8B55318E3190061A470AE6405CD26&amp;req=doc&amp;base=MOB&amp;n=307719&amp;dst=100011&amp;fld=134&amp;REFFIELD=134&amp;REFDST=1000000048&amp;REFDOC=331165&amp;REFBASE=MOB&amp;stat=refcode%3D19827%3Bdstident%3D100011%3Bindex%3D73" TargetMode="External"/><Relationship Id="rId219" Type="http://schemas.openxmlformats.org/officeDocument/2006/relationships/hyperlink" Target="https://tvoybudget.spb.ru/press" TargetMode="External"/><Relationship Id="rId230" Type="http://schemas.openxmlformats.org/officeDocument/2006/relationships/hyperlink" Target="http://minter.permkrai.ru/proekty-mestnykh-initsiativ/initsiativnoe-byudzhetirovanie/initsiativnoe-byudzhetirovanie/" TargetMode="External"/><Relationship Id="rId251" Type="http://schemas.openxmlformats.org/officeDocument/2006/relationships/hyperlink" Target="https://minter.ryazangov.ru/activities/direction/podderzhka-mestnykh-initsiativ/" TargetMode="External"/><Relationship Id="rId25" Type="http://schemas.openxmlformats.org/officeDocument/2006/relationships/hyperlink" Target="https://login.consultant.ru/link/?req=doc&amp;base=RLAW180&amp;n=219646&amp;dst=106824" TargetMode="External"/><Relationship Id="rId46" Type="http://schemas.openxmlformats.org/officeDocument/2006/relationships/hyperlink" Target="http://www.udmurt.ru/regulatory/index.php?typeid=31183294&amp;regnum=196&amp;sdate=21.05.2019&amp;edate=&amp;sdatepub=&amp;edatepub=&amp;q=&amp;doccnt=" TargetMode="External"/><Relationship Id="rId67"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272" Type="http://schemas.openxmlformats.org/officeDocument/2006/relationships/hyperlink" Target="https://ppmi.yakutia.click/Home" TargetMode="External"/><Relationship Id="rId293" Type="http://schemas.openxmlformats.org/officeDocument/2006/relationships/hyperlink" Target="https://minregion-ra.ru/wp-content/uploads/2018/03/%D0%9F%D0%BE%D1%81%D1%82%D0%B0%D0%BD%D0%BE%D0%B2%D0%BB%D0%B5%D0%BD%D0%B8%D0%B5-%E2%84%96-25-%D0%BE%D1%82-31.01.2018.pdf" TargetMode="External"/><Relationship Id="rId307" Type="http://schemas.openxmlformats.org/officeDocument/2006/relationships/hyperlink" Target="https://vk.com/cigi_isi_rb" TargetMode="External"/><Relationship Id="rId328" Type="http://schemas.openxmlformats.org/officeDocument/2006/relationships/hyperlink" Target="http://socialkirov.ru/images/PPMIImages/&#1055;&#1055;&#1052;&#1048;_&#1083;&#1086;&#1075;&#1086;.png" TargetMode="External"/><Relationship Id="rId349" Type="http://schemas.openxmlformats.org/officeDocument/2006/relationships/hyperlink" Target="https://vk.com/yamalfin" TargetMode="External"/><Relationship Id="rId88" Type="http://schemas.openxmlformats.org/officeDocument/2006/relationships/hyperlink" Target="http://dvp.ivanovoobl.ru/?type=news&amp;id=44014" TargetMode="External"/><Relationship Id="rId111" Type="http://schemas.openxmlformats.org/officeDocument/2006/relationships/hyperlink" Target="https://adm.rkursk.ru/index.php?id=109&amp;mat_id=60146&amp;page=30&amp;sort_field=103&amp;sort_order=0&amp;year=2016" TargetMode="External"/><Relationship Id="rId132" Type="http://schemas.openxmlformats.org/officeDocument/2006/relationships/hyperlink" Target="https://tmb.gks.ru/folder/33717" TargetMode="External"/><Relationship Id="rId153" Type="http://schemas.openxmlformats.org/officeDocument/2006/relationships/hyperlink" Target="https://minstroy.49gov.ru/common/upload/25/editor/file/Gorsreda_brandbook_new.pdf" TargetMode="External"/><Relationship Id="rId174" Type="http://schemas.openxmlformats.org/officeDocument/2006/relationships/hyperlink" Target="https://mgu.novreg.ru/npa.html" TargetMode="External"/><Relationship Id="rId195" Type="http://schemas.openxmlformats.org/officeDocument/2006/relationships/hyperlink" Target="https://novgorodstat.gks.ru/storage/mediabank/%D0%9D%D0%B0%D1%81%D0%B5%D0%BB%D0%B5%D0%BD%D0%B8%D0%B5%202020.pdf" TargetMode="External"/><Relationship Id="rId209" Type="http://schemas.openxmlformats.org/officeDocument/2006/relationships/hyperlink" Target="https://pskovstat.gks.ru/storage/mediabank/nas200325_1.htm" TargetMode="External"/><Relationship Id="rId220" Type="http://schemas.openxmlformats.org/officeDocument/2006/relationships/hyperlink" Target="https://tvoybudget.spb.ru/materials/material/80" TargetMode="External"/><Relationship Id="rId241" Type="http://schemas.openxmlformats.org/officeDocument/2006/relationships/hyperlink" Target="https://www.facebook.com/budget65/%20https:/%20%20%20%20%20%20%20%20%20%20%20%20%20%20%20%20%20%20%20%20%20%20%20%20%20%20%20%20%20%20%20%20%20%20%20%20%20%20%20%20%20%20%20%20%20%20%20%20%20%20%20%20/vk.com/budget65" TargetMode="External"/><Relationship Id="rId15" Type="http://schemas.openxmlformats.org/officeDocument/2006/relationships/hyperlink" Target="https://facto.ru/longread-2020-01-30/selo-vrn.html" TargetMode="External"/><Relationship Id="rId36" Type="http://schemas.openxmlformats.org/officeDocument/2006/relationships/hyperlink" Target="https://www.youtube.com/watch?v=yStxxSP1eWg,https://www.youtube.com/watch?v=4iZ4CeBNjSQ," TargetMode="External"/><Relationship Id="rId57" Type="http://schemas.openxmlformats.org/officeDocument/2006/relationships/hyperlink" Target="http://www.statdata.ru/naselenie/kostromskoi-oblasti" TargetMode="External"/><Relationship Id="rId262" Type="http://schemas.openxmlformats.org/officeDocument/2006/relationships/hyperlink" Target="http://mari-el.gov.ru/pravo/Pages/2014/gov_decrees_2014.aspx" TargetMode="External"/><Relationship Id="rId283" Type="http://schemas.openxmlformats.org/officeDocument/2006/relationships/hyperlink" Target="http://minfin.kalmregion.ru/deyatelnost/initsiativnoe-byudzhetirovanie/" TargetMode="External"/><Relationship Id="rId318" Type="http://schemas.openxmlformats.org/officeDocument/2006/relationships/hyperlink" Target="https://house.bashkortostan.ru/activity/14535/" TargetMode="External"/><Relationship Id="rId339" Type="http://schemas.openxmlformats.org/officeDocument/2006/relationships/hyperlink" Target="https://pravo.donland.ru/doc/view/id/%D0%9F%D0%BE%D1%81%D1%82%D0%B0%D0%BD%D0%BE%D0%B2%D0%BB%D0%B5%D0%BD%D0%B8%D0%B5_280_07042021_26978/" TargetMode="External"/><Relationship Id="rId78" Type="http://schemas.openxmlformats.org/officeDocument/2006/relationships/hyperlink" Target="https://pravitelstvo.kbr.ru/documents/post/index.php?ELEMENT_ID=12897" TargetMode="External"/><Relationship Id="rId99" Type="http://schemas.openxmlformats.org/officeDocument/2006/relationships/hyperlink" Target="http://ufo.ulntc.ru:8080/ppmi/npa" TargetMode="External"/><Relationship Id="rId101" Type="http://schemas.openxmlformats.org/officeDocument/2006/relationships/hyperlink" Target="https://law.ulgov.ru/doc/14744" TargetMode="External"/><Relationship Id="rId122" Type="http://schemas.openxmlformats.org/officeDocument/2006/relationships/hyperlink" Target="https://www.tverfin.ru/" TargetMode="External"/><Relationship Id="rId143" Type="http://schemas.openxmlformats.org/officeDocument/2006/relationships/hyperlink" Target="https://agro.tmbreg.ru/inv.html" TargetMode="External"/><Relationship Id="rId164" Type="http://schemas.openxmlformats.org/officeDocument/2006/relationships/hyperlink" Target="https://ovmf2.consultant.ru/cgi/online.cgi?req=doc&amp;ts=1221384029048017265032415124&amp;cacheid=0B4A555950C6A7B3B7F5320E42485259&amp;mode=splus&amp;base=MOB&amp;n=326046&amp;rnd=766ED2922F66E41589131AB5C030BDB0" TargetMode="External"/><Relationship Id="rId185" Type="http://schemas.openxmlformats.org/officeDocument/2006/relationships/hyperlink" Target="https://vk.com/narodbudget_no" TargetMode="External"/><Relationship Id="rId350" Type="http://schemas.openxmlformats.org/officeDocument/2006/relationships/printerSettings" Target="../printerSettings/printerSettings4.bin"/><Relationship Id="rId9" Type="http://schemas.openxmlformats.org/officeDocument/2006/relationships/hyperlink" Target="https://akstat.gks.ru/folder/33247" TargetMode="External"/><Relationship Id="rId210" Type="http://schemas.openxmlformats.org/officeDocument/2006/relationships/hyperlink" Target="https://pskov.ru/vlast/ispolnitelnaya/administratsiya-oblasti/apparat/upravlenie-po-mestnomu-samoupr/territorialnoe-obshchestvennoe" TargetMode="External"/><Relationship Id="rId26" Type="http://schemas.openxmlformats.org/officeDocument/2006/relationships/hyperlink" Target="https://login.consultant.ru/link/?req=doc&amp;base=RLAW180&amp;n=201582&amp;dst=1000000006" TargetMode="External"/><Relationship Id="rId231" Type="http://schemas.openxmlformats.org/officeDocument/2006/relationships/hyperlink" Target="https://veved.ru/perm/perm-news/152842-v-prikame-na-kraevoj-konkurs-postupilo-pochti-300-proektov-iniciativnogo-bjudzhetirovanija.html" TargetMode="External"/><Relationship Id="rId252" Type="http://schemas.openxmlformats.org/officeDocument/2006/relationships/hyperlink" Target="https://minter.ryazangov.ru/activities/direction/podderzhka-mestnykh-initsiativ/" TargetMode="External"/><Relationship Id="rId273" Type="http://schemas.openxmlformats.org/officeDocument/2006/relationships/hyperlink" Target="https://krl.gks.ru/folder/31905" TargetMode="External"/><Relationship Id="rId294" Type="http://schemas.openxmlformats.org/officeDocument/2006/relationships/hyperlink" Target="https://akstat.gks.ru/storage/mediabank/c9KP31L2/&#1054;&#1094;&#1077;&#1085;&#1082;&#1072;%20&#1095;&#1080;&#1089;&#1083;&#1077;&#1085;&#1085;&#1086;&#1089;&#1090;&#1080;%20&#1087;&#1086;&#1089;&#1090;&#1086;&#1103;&#1085;&#1085;&#1086;&#1075;&#1086;%20&#1085;&#1072;&#1089;&#1077;&#1083;&#1077;&#1085;&#1080;&#1103;%20&#1056;&#1077;&#1089;&#1087;&#1091;&#1073;&#1083;&#1080;&#1082;&#1080;%20&#1040;&#1083;&#1090;&#1072;&#1081;%20&#1085;&#1072;%201%20&#1103;&#1085;&#1074;&#1072;&#1088;&#1103;%202020%20&#1075;&#1086;&#1076;&#1072;.xlsx" TargetMode="External"/><Relationship Id="rId308" Type="http://schemas.openxmlformats.org/officeDocument/2006/relationships/hyperlink" Target="https://vk.com/cigi_isi_rb?z=photo-135547201_456239017%2Falbum-135547201_0%2Frev" TargetMode="External"/><Relationship Id="rId329" Type="http://schemas.openxmlformats.org/officeDocument/2006/relationships/hyperlink" Target="https://kirovstat.gks.ru/" TargetMode="External"/><Relationship Id="rId47" Type="http://schemas.openxmlformats.org/officeDocument/2006/relationships/hyperlink" Target="https://udmstat.gks.ru/folder/51924" TargetMode="External"/><Relationship Id="rId68"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89" Type="http://schemas.openxmlformats.org/officeDocument/2006/relationships/hyperlink" Target="http://dvp.ivanovoobl.ru/search/?type=news&amp;id=/?type=news&amp;id=42185" TargetMode="External"/><Relationship Id="rId112" Type="http://schemas.openxmlformats.org/officeDocument/2006/relationships/hyperlink" Target="https://petrostat.gks.ru/folder/29437" TargetMode="External"/><Relationship Id="rId133" Type="http://schemas.openxmlformats.org/officeDocument/2006/relationships/hyperlink" Target="https://www.tambov.gov.ru/assets/files/urt/pao-864.pdf" TargetMode="External"/><Relationship Id="rId154" Type="http://schemas.openxmlformats.org/officeDocument/2006/relationships/hyperlink" Target="https://login.consultant.ru/link/?req=doc&amp;base=RLAW026&amp;n=153135&amp;dst=1000000005" TargetMode="External"/><Relationship Id="rId175" Type="http://schemas.openxmlformats.org/officeDocument/2006/relationships/hyperlink" Target="https://docs.cntd.ru/document/570845985?marker" TargetMode="External"/><Relationship Id="rId340" Type="http://schemas.openxmlformats.org/officeDocument/2006/relationships/hyperlink" Target="https://rostov.gks.ru/storage/mediabank/5YxrWvpV/%D0%A7%D0%B8%D1%81%D0%BB%D0%B5%D0%BD%D0%BD%D0%BE%D1%81%D1%82%D1%8C%20%D0%BD%D0%B0%D1%81%D0%B5%D0%BB%D0%B5%D0%BD%D0%B8%D1%8F.pdf" TargetMode="External"/><Relationship Id="rId196" Type="http://schemas.openxmlformats.org/officeDocument/2006/relationships/hyperlink" Target="http://docs.cntd.ru/document/553386375" TargetMode="External"/><Relationship Id="rId200" Type="http://schemas.openxmlformats.org/officeDocument/2006/relationships/hyperlink" Target="https://docs.cntd.ru/document/450360732" TargetMode="External"/><Relationship Id="rId16" Type="http://schemas.openxmlformats.org/officeDocument/2006/relationships/hyperlink" Target="https://pravo.govvrn.ru/?q=node/16285" TargetMode="External"/><Relationship Id="rId221" Type="http://schemas.openxmlformats.org/officeDocument/2006/relationships/hyperlink" Target="https://drive.google.com/folderview?id=116IMcmgsc1FXUbepzOMNw7frRY3F8rt3" TargetMode="External"/><Relationship Id="rId242" Type="http://schemas.openxmlformats.org/officeDocument/2006/relationships/hyperlink" Target="https://www.youtube.com/watch?v=DNii10B8ujw" TargetMode="External"/><Relationship Id="rId263" Type="http://schemas.openxmlformats.org/officeDocument/2006/relationships/hyperlink" Target="https://ppmi.yakutia.click/Home" TargetMode="External"/><Relationship Id="rId284" Type="http://schemas.openxmlformats.org/officeDocument/2006/relationships/hyperlink" Target="http://minfin.kalmregion.ru/deyatelnost/initsiativnoe-byudzhetirovanie/" TargetMode="External"/><Relationship Id="rId319" Type="http://schemas.openxmlformats.org/officeDocument/2006/relationships/hyperlink" Target="https://www.instagram.com/minec_rd05/" TargetMode="External"/><Relationship Id="rId37" Type="http://schemas.openxmlformats.org/officeDocument/2006/relationships/hyperlink" Target="http://budget.orb.ru/images/gritsenko/post.doc" TargetMode="External"/><Relationship Id="rId58" Type="http://schemas.openxmlformats.org/officeDocument/2006/relationships/hyperlink" Target="https://ipr.kostroma.gov.ru/realizatsiya-proektov-razvitiya-osnovannykh-na-obshchestvennykh-initsiativakh/konkursnyy-otbor.php" TargetMode="External"/><Relationship Id="rId79" Type="http://schemas.openxmlformats.org/officeDocument/2006/relationships/hyperlink" Target="https://clck.ru/Ueacz" TargetMode="External"/><Relationship Id="rId102" Type="http://schemas.openxmlformats.org/officeDocument/2006/relationships/hyperlink" Target="https://law.ulgov.ru/doc/14744" TargetMode="External"/><Relationship Id="rId123" Type="http://schemas.openxmlformats.org/officeDocument/2006/relationships/hyperlink" Target="http://publication.pravo.gov.ru/Document/View/6900201912310001" TargetMode="External"/><Relationship Id="rId144" Type="http://schemas.openxmlformats.org/officeDocument/2006/relationships/hyperlink" Target="https://tmb.gks.ru/folder/33717" TargetMode="External"/><Relationship Id="rId330" Type="http://schemas.openxmlformats.org/officeDocument/2006/relationships/hyperlink" Target="https://www.gks.ru/folder/11110/document/13282" TargetMode="External"/><Relationship Id="rId90" Type="http://schemas.openxmlformats.org/officeDocument/2006/relationships/hyperlink" Target="http://dvp.ivanovoobl.ru/?type=news&amp;id=44014" TargetMode="External"/><Relationship Id="rId165" Type="http://schemas.openxmlformats.org/officeDocument/2006/relationships/hyperlink" Target="http://publication.pravo.gov.ru/Document/View/5200201909030008" TargetMode="External"/><Relationship Id="rId186" Type="http://schemas.openxmlformats.org/officeDocument/2006/relationships/hyperlink" Target="https://&#1094;&#1084;&#1087;&#1080;.&#1088;&#1092;/proekty/" TargetMode="External"/><Relationship Id="rId351" Type="http://schemas.openxmlformats.org/officeDocument/2006/relationships/drawing" Target="../drawings/drawing1.xml"/><Relationship Id="rId211" Type="http://schemas.openxmlformats.org/officeDocument/2006/relationships/hyperlink" Target="https://novgorodstat.gks.ru/storage/mediabank/%D0%9D%D0%B0%D1%81%D0%B5%D0%BB%D0%B5%D0%BD%D0%B8%D0%B5%202020.pdf" TargetMode="External"/><Relationship Id="rId232" Type="http://schemas.openxmlformats.org/officeDocument/2006/relationships/hyperlink" Target="http://minter.permkrai.ru/proekty-mestnykh-initsiativ/initsiativnoe-byudzhetirovanie/npa-ib/" TargetMode="External"/><Relationship Id="rId253" Type="http://schemas.openxmlformats.org/officeDocument/2006/relationships/hyperlink" Target="https://ryazan.gks.ru/storage/mediabank/%D0%9E%D1%86%D0%B5%D0%BD%D0%BA%D0%B0%20%D1%87%D0%B8%D1%81%D0%BB%D0%B5%D0%BD%D0%BD%D0%BE%D1%81%D1%82%D0%B8%20%D0%BF%D0%BE%D1%81%D1%82%D0%BE%D1%8F%D0%BD%D0%BD%D0%BE%D0%B3%D0%BE%20%D0%BD%D0%B0%D1%81%D0%B5%D0%BB%D0%B5%D0%BD%D0%B8%D1%8F%20%D0%A0%D1%8F%D0%B7%D0%B0%D0%BD%D1%81%D0%BA%D0%BE%D0%B9%20%D0%BE%D0%B1%D0%BB%D0%B0%D1%81%D1%82%D0%B8%20%D0%BD%D0%B0%201%20%D1%8F%D0%BD%D0%B2%D0%B0%D1%80%D1%8F%202020%20%D0%B3%D0%BE%D0%B4%D0%B0.pdf" TargetMode="External"/><Relationship Id="rId274" Type="http://schemas.openxmlformats.org/officeDocument/2006/relationships/hyperlink" Target="http://old.gov.karelia.ru/Projects/Initiatives/" TargetMode="External"/><Relationship Id="rId295" Type="http://schemas.openxmlformats.org/officeDocument/2006/relationships/hyperlink" Target="https://minregion-ra.ru/deyatelnost/realizatsiya-proekta-initsiativy-grazhdan.php" TargetMode="External"/><Relationship Id="rId309"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27" Type="http://schemas.openxmlformats.org/officeDocument/2006/relationships/hyperlink" Target="https://budget4me-34.ru/" TargetMode="External"/><Relationship Id="rId48" Type="http://schemas.openxmlformats.org/officeDocument/2006/relationships/hyperlink" Target="https://udmstat.gks.ru/folder/51924" TargetMode="External"/><Relationship Id="rId69" Type="http://schemas.openxmlformats.org/officeDocument/2006/relationships/hyperlink" Target="http://dsh.kurganobl.ru/assets/files/Invest/PPKO_28122019_458.pdf" TargetMode="External"/><Relationship Id="rId113" Type="http://schemas.openxmlformats.org/officeDocument/2006/relationships/hyperlink" Target="http://msu.lenobl.ru/news/mediaproekty/" TargetMode="External"/><Relationship Id="rId134" Type="http://schemas.openxmlformats.org/officeDocument/2006/relationships/hyperlink" Target="https://tmb.gks.ru/folder/33717" TargetMode="External"/><Relationship Id="rId320" Type="http://schemas.openxmlformats.org/officeDocument/2006/relationships/hyperlink" Target="http://www.minec-rd.ru/mestnye-initsiativy" TargetMode="External"/><Relationship Id="rId80" Type="http://schemas.openxmlformats.org/officeDocument/2006/relationships/hyperlink" Target="https://www.instagram.com/vl.komfortnayasreda/" TargetMode="External"/><Relationship Id="rId155" Type="http://schemas.openxmlformats.org/officeDocument/2006/relationships/hyperlink" Target="https://showdata.gks.ru/report/278928/?filter_1_0=2015-01-01+00%3A00%3A00%7C-56%2C2016-01-01+00%3A00%3A00%7C-56%2C2017-01-01+00%3A00%3A00%7C-56%2C2018-01-01+00%3A00%3A00%7C-56%2C2019-01-01+00%3A00%3A00%7C-56%2C2020-01-01+00%3A00%3A00%7C-56%2C2021-01-01+00" TargetMode="External"/><Relationship Id="rId176" Type="http://schemas.openxmlformats.org/officeDocument/2006/relationships/hyperlink" Target="https://&#1094;&#1084;&#1087;&#1080;.&#1088;&#1092;/proekty/doroga-k-domu/" TargetMode="External"/><Relationship Id="rId197" Type="http://schemas.openxmlformats.org/officeDocument/2006/relationships/hyperlink" Target="https://&#1094;&#1084;&#1087;&#1080;.&#1088;&#1092;/novosti/katalog-sbornik-proektov-realizovannykh-v-2020-godu/" TargetMode="External"/><Relationship Id="rId341" Type="http://schemas.openxmlformats.org/officeDocument/2006/relationships/hyperlink" Target="http://vmeste161.ru/" TargetMode="External"/><Relationship Id="rId201" Type="http://schemas.openxmlformats.org/officeDocument/2006/relationships/hyperlink" Target="http://docs.cntd.ru/document/553230534" TargetMode="External"/><Relationship Id="rId222" Type="http://schemas.openxmlformats.org/officeDocument/2006/relationships/hyperlink" Target="https://sverdl.gks.ru/folder/29698" TargetMode="External"/><Relationship Id="rId243" Type="http://schemas.openxmlformats.org/officeDocument/2006/relationships/hyperlink" Target="https://minfin.saratov.gov.ru/index.php?option=com_acrfilestorage&amp;task=download&amp;on=2060" TargetMode="External"/><Relationship Id="rId264" Type="http://schemas.openxmlformats.org/officeDocument/2006/relationships/hyperlink" Target="https://ppmi.yakutia.click/Home" TargetMode="External"/><Relationship Id="rId285" Type="http://schemas.openxmlformats.org/officeDocument/2006/relationships/hyperlink" Target="http://minfin.kalmregion.ru/deyatelnost/initsiativnoe-byudzhetirovanie/" TargetMode="External"/><Relationship Id="rId17" Type="http://schemas.openxmlformats.org/officeDocument/2006/relationships/hyperlink" Target="https://pravo.govvrn.ru/?q=node/15372" TargetMode="External"/><Relationship Id="rId38" Type="http://schemas.openxmlformats.org/officeDocument/2006/relationships/hyperlink" Target="http://budget.orb.ru/images/gritsenko/prikaz.doc" TargetMode="External"/><Relationship Id="rId59" Type="http://schemas.openxmlformats.org/officeDocument/2006/relationships/hyperlink" Target="http://www.statdata.ru/naselenie/kostromskoi-oblasti" TargetMode="External"/><Relationship Id="rId103" Type="http://schemas.openxmlformats.org/officeDocument/2006/relationships/hyperlink" Target="https://ulgov.ru/news/regional/2020.12.04/58446/" TargetMode="External"/><Relationship Id="rId124" Type="http://schemas.openxmlformats.org/officeDocument/2006/relationships/hyperlink" Target="https://depfin.tomsk.gov.ru/uploads/ckfinder/285/userfiles/files/%D0%9F42%D0%B0.pdf" TargetMode="External"/><Relationship Id="rId310" Type="http://schemas.openxmlformats.org/officeDocument/2006/relationships/hyperlink" Target="http://docs.cntd.ru/document/553216517" TargetMode="External"/><Relationship Id="rId70" Type="http://schemas.openxmlformats.org/officeDocument/2006/relationships/hyperlink" Target="https://admoblkaluga.ru/sub/finan/inciativ.php" TargetMode="External"/><Relationship Id="rId91" Type="http://schemas.openxmlformats.org/officeDocument/2006/relationships/hyperlink" Target="http://agro.cap.ru/action/activity/" TargetMode="External"/><Relationship Id="rId145" Type="http://schemas.openxmlformats.org/officeDocument/2006/relationships/hyperlink" Target="http://publication.pravo.gov.ru/Document/View/7100201509280006" TargetMode="External"/><Relationship Id="rId166" Type="http://schemas.openxmlformats.org/officeDocument/2006/relationships/hyperlink" Target="https://disk.yandex.ru/d/2dnqKuGttaliDg" TargetMode="External"/><Relationship Id="rId187" Type="http://schemas.openxmlformats.org/officeDocument/2006/relationships/hyperlink" Target="https://novgorodstat.gks.ru/storage/mediabank/%D0%9D%D0%B0%D1%81%D0%B5%D0%BB%D0%B5%D0%BD%D0%B8%D0%B5%202020.pdf" TargetMode="External"/><Relationship Id="rId331" Type="http://schemas.openxmlformats.org/officeDocument/2006/relationships/hyperlink" Target="https://admkrai.krasnodar.ru/upload/iblock/7fb/7fbf0fe8cabed452fca8a88b2bf79a92.pdf" TargetMode="External"/><Relationship Id="rId352" Type="http://schemas.openxmlformats.org/officeDocument/2006/relationships/vmlDrawing" Target="../drawings/vmlDrawing3.vml"/><Relationship Id="rId1" Type="http://schemas.openxmlformats.org/officeDocument/2006/relationships/hyperlink" Target="https://minfin.alregn.ru/bud/z2020/" TargetMode="External"/><Relationship Id="rId212" Type="http://schemas.openxmlformats.org/officeDocument/2006/relationships/hyperlink" Target="https://apk.novreg.ru/o-planakh-realizatcii-meropriyatiy-gosprogrammy-kompleksnoe-razvitie-selskikh-territoriy-novgorodskoy-oblasti-do-2025-goda-v-2021-godu.html%20%20%20;" TargetMode="External"/><Relationship Id="rId233" Type="http://schemas.openxmlformats.org/officeDocument/2006/relationships/hyperlink" Target="https://www.instagram.com/p/CE_aHBjlyF3/?igshid=18xi5io272aei" TargetMode="External"/><Relationship Id="rId254" Type="http://schemas.openxmlformats.org/officeDocument/2006/relationships/hyperlink" Target="https://disk.yandex.ru/d/xvUosd2ke_3_rQ" TargetMode="External"/><Relationship Id="rId28" Type="http://schemas.openxmlformats.org/officeDocument/2006/relationships/hyperlink" Target="http://www.volgograd.ru/" TargetMode="External"/><Relationship Id="rId49" Type="http://schemas.openxmlformats.org/officeDocument/2006/relationships/hyperlink" Target="https://vk.com/atmosfera_ur" TargetMode="External"/><Relationship Id="rId114" Type="http://schemas.openxmlformats.org/officeDocument/2006/relationships/hyperlink" Target="https://msu.lenobl.ru/ru/programmy-i-plany/selskie-starosty/" TargetMode="External"/><Relationship Id="rId275" Type="http://schemas.openxmlformats.org/officeDocument/2006/relationships/hyperlink" Target="https://krl.gks.ru/folder/31905" TargetMode="External"/><Relationship Id="rId296" Type="http://schemas.openxmlformats.org/officeDocument/2006/relationships/hyperlink" Target="https://minfin-altai.ru/deyatelnost/proactive-budgeting/" TargetMode="External"/><Relationship Id="rId300" Type="http://schemas.openxmlformats.org/officeDocument/2006/relationships/hyperlink" Target="https://minregion-ra.ru/wp-content/uploads/2017/05/217_2017.pdf" TargetMode="External"/><Relationship Id="rId60" Type="http://schemas.openxmlformats.org/officeDocument/2006/relationships/hyperlink" Target="https://login.consultant.ru/link/?req=doc&amp;base=RLAW265&amp;n=80122&amp;dst=100002" TargetMode="External"/><Relationship Id="rId81" Type="http://schemas.openxmlformats.org/officeDocument/2006/relationships/hyperlink" Target="https://jkx.avo.ru/formirovanie-komfortnoj-gorodskoj-sredy" TargetMode="External"/><Relationship Id="rId135" Type="http://schemas.openxmlformats.org/officeDocument/2006/relationships/hyperlink" Target="https://gkh.tmbreg.ru/form/Dostup_Sreda/Dostup_sreda_ogl.htm" TargetMode="External"/><Relationship Id="rId156" Type="http://schemas.openxmlformats.org/officeDocument/2006/relationships/hyperlink" Target="https://guvp.khabkrai.ru/Deyatelnost/TOS/Obschaya-informaciya-i-normativnye-pravovye-akty" TargetMode="External"/><Relationship Id="rId177" Type="http://schemas.openxmlformats.org/officeDocument/2006/relationships/hyperlink" Target="https://&#1094;&#1084;&#1087;&#1080;.&#1088;&#1092;/" TargetMode="External"/><Relationship Id="rId198" Type="http://schemas.openxmlformats.org/officeDocument/2006/relationships/hyperlink" Target="https://&#1094;&#1084;&#1087;&#1080;.&#1088;&#1092;/proekty/tos/" TargetMode="External"/><Relationship Id="rId321" Type="http://schemas.openxmlformats.org/officeDocument/2006/relationships/hyperlink" Target="https://doc.kirovreg.ru/upload/sed/2020/03/6/0.94541000%201583452785/325-%D0%97%D0%9E%20%D0%BE%D1%82%2019.12.2019.pdf" TargetMode="External"/><Relationship Id="rId342" Type="http://schemas.openxmlformats.org/officeDocument/2006/relationships/hyperlink" Target="https://www.donland.ru/activity/2623/" TargetMode="External"/><Relationship Id="rId202" Type="http://schemas.openxmlformats.org/officeDocument/2006/relationships/hyperlink" Target="https://novgorodstat.gks.ru/storage/mediabank/%D0%9D%D0%B0%D1%81%D0%B5%D0%BB%D0%B5%D0%BD%D0%B8%D0%B5%202020.pdf" TargetMode="External"/><Relationship Id="rId223" Type="http://schemas.openxmlformats.org/officeDocument/2006/relationships/hyperlink" Target="http://energy.midural.ru/gosudarstvennaya-programma/" TargetMode="External"/><Relationship Id="rId244" Type="http://schemas.openxmlformats.org/officeDocument/2006/relationships/hyperlink" Target="https://srtv.gks.ru/storage/mediabank/0Wz3614Q/%D0%9F%D1%80%D0%B5%D0%B4%D0%B2%D0%B0%D1%80%D0%B8%D1%82%D0%B5%D0%BB%D1%8C%D0%BD%D0%B0%D1%8F%20%D1%87%D0%B8%D1%81%D0%BB%D0%B5%D0%BD%D0%BD%D0%BE%D1%81%D1%82%D1%8C.pdf" TargetMode="External"/><Relationship Id="rId18" Type="http://schemas.openxmlformats.org/officeDocument/2006/relationships/hyperlink" Target="https://voronezhstat.gks.ru/" TargetMode="External"/><Relationship Id="rId39" Type="http://schemas.openxmlformats.org/officeDocument/2006/relationships/hyperlink" Target="http://budget.orb.ru/new/init-budg" TargetMode="External"/><Relationship Id="rId265" Type="http://schemas.openxmlformats.org/officeDocument/2006/relationships/hyperlink" Target="https://ppmi.yakutia.click/Home" TargetMode="External"/><Relationship Id="rId286" Type="http://schemas.openxmlformats.org/officeDocument/2006/relationships/hyperlink" Target="http://minfin.kalmregion.ru/deyatelnost/initsiativnoe-byudzhetirovanie/" TargetMode="External"/><Relationship Id="rId50" Type="http://schemas.openxmlformats.org/officeDocument/2006/relationships/hyperlink" Target="http://ur.atmosphere.team/" TargetMode="External"/><Relationship Id="rId104" Type="http://schemas.openxmlformats.org/officeDocument/2006/relationships/hyperlink" Target="https://minstroyrf.gov.ru/upload/iblock/7b3/Gorsreda_brandbook_new.pdf" TargetMode="External"/><Relationship Id="rId125" Type="http://schemas.openxmlformats.org/officeDocument/2006/relationships/hyperlink" Target="https://depfin.tomsk.gov.ru/initsiativnoe-bjudzhetirovanie" TargetMode="External"/><Relationship Id="rId146" Type="http://schemas.openxmlformats.org/officeDocument/2006/relationships/hyperlink" Target="http://publication.pravo.gov.ru/Document/View/7100202102010001" TargetMode="External"/><Relationship Id="rId167" Type="http://schemas.openxmlformats.org/officeDocument/2006/relationships/hyperlink" Target="https://disk.yandex.ru/d/2dnqKuGttaliDg" TargetMode="External"/><Relationship Id="rId188" Type="http://schemas.openxmlformats.org/officeDocument/2006/relationships/hyperlink" Target="https://mgu.novreg.ru/npa.html" TargetMode="External"/><Relationship Id="rId311" Type="http://schemas.openxmlformats.org/officeDocument/2006/relationships/hyperlink" Target="http://gsrb.ru/ru/nakazy-izbirateley/" TargetMode="External"/><Relationship Id="rId332" Type="http://schemas.openxmlformats.org/officeDocument/2006/relationships/hyperlink" Target="https://admkrai.krasnodar.ru/upload/iblock/7fb/7fbf0fe8cabed452fca8a88b2bf79a92.pdf" TargetMode="External"/><Relationship Id="rId353" Type="http://schemas.openxmlformats.org/officeDocument/2006/relationships/comments" Target="../comments3.xml"/><Relationship Id="rId71" Type="http://schemas.openxmlformats.org/officeDocument/2006/relationships/hyperlink" Target="http://docs.cntd.ru/document/460267690" TargetMode="External"/><Relationship Id="rId92" Type="http://schemas.openxmlformats.org/officeDocument/2006/relationships/hyperlink" Target="http://www.cap.ru/doc/laws/2020/02/03/ruling-40" TargetMode="External"/><Relationship Id="rId213" Type="http://schemas.openxmlformats.org/officeDocument/2006/relationships/hyperlink" Target="https://novgorodstat.gks.ru/storage/mediabank/%D0%9D%D0%B0%D1%81%D0%B5%D0%BB%D0%B5%D0%BD%D0%B8%D0%B5%202020.pdf" TargetMode="External"/><Relationship Id="rId234" Type="http://schemas.openxmlformats.org/officeDocument/2006/relationships/hyperlink" Target="http://sakhminfin.ru/index.php/news/3293-o-rezultatakh-konkursnogo-otbora-na-predostavlenie-v-2020-godu-byudzhetam-munitsipalnykh-obrazovanij-sakhalinskoj-oblasti-subsidii-iz-oblastnogo-byudzheta-na-realizatsiyu-v-sakhalinskoj-oblasti-obshchestvenno-znachimykh-proektov-osnovannykh-na-mestnykh-in" TargetMode="External"/><Relationship Id="rId2" Type="http://schemas.openxmlformats.org/officeDocument/2006/relationships/hyperlink" Target="https://docs.cntd.ru/document/444790925" TargetMode="External"/><Relationship Id="rId29" Type="http://schemas.openxmlformats.org/officeDocument/2006/relationships/hyperlink" Target="https://budget4me-34.ru/" TargetMode="External"/><Relationship Id="rId255" Type="http://schemas.openxmlformats.org/officeDocument/2006/relationships/hyperlink" Target="https://disk.yandex.ru/d/_EuNEgVbO9nnuA?w=1" TargetMode="External"/><Relationship Id="rId276" Type="http://schemas.openxmlformats.org/officeDocument/2006/relationships/hyperlink" Target="https://nac.gov.karelia.ru/about/3833/" TargetMode="External"/><Relationship Id="rId297" Type="http://schemas.openxmlformats.org/officeDocument/2006/relationships/hyperlink" Target="https://minfin-altai.ru/documents/files/2019/03/1_Ukaz_51-u.docx" TargetMode="External"/><Relationship Id="rId40" Type="http://schemas.openxmlformats.org/officeDocument/2006/relationships/hyperlink" Target="http://reshaem.vmeste76.ru/" TargetMode="External"/><Relationship Id="rId115" Type="http://schemas.openxmlformats.org/officeDocument/2006/relationships/hyperlink" Target="https://lenobl.ru/ru/dokumenty/opublikovanie-pravovyh-aktov/oficialno-opublikovanie-npa-s-10-iyunya-2013-goda/oficialnoe-opublikovanie-pravovyh-aktov-leningradskoj-oblasti-s-10-iyu/" TargetMode="External"/><Relationship Id="rId136" Type="http://schemas.openxmlformats.org/officeDocument/2006/relationships/hyperlink" Target="https://www.tambov.gov.ru/assets/files/urt/pao-864.pdf" TargetMode="External"/><Relationship Id="rId157" Type="http://schemas.openxmlformats.org/officeDocument/2006/relationships/hyperlink" Target="https://habstat.gks.ru/" TargetMode="External"/><Relationship Id="rId178" Type="http://schemas.openxmlformats.org/officeDocument/2006/relationships/hyperlink" Target="https://vk.com/wall-160413159?day=30102020&amp;offset=140&amp;q=%D0%B4%D0%BE%D1%80%D0%BE%D0%B3%D0%B0%20%D0%BA%20%D0%B4%D0%BE%D0%BC%D1%83&amp;w=wall-176520705_156/" TargetMode="External"/><Relationship Id="rId301" Type="http://schemas.openxmlformats.org/officeDocument/2006/relationships/hyperlink" Target="https://akstat.gks.ru/storage/mediabank/c9KP31L2/&#1054;&#1094;&#1077;&#1085;&#1082;&#1072;%20&#1095;&#1080;&#1089;&#1083;&#1077;&#1085;&#1085;&#1086;&#1089;&#1090;&#1080;%20&#1087;&#1086;&#1089;&#1090;&#1086;&#1103;&#1085;&#1085;&#1086;&#1075;&#1086;%20&#1085;&#1072;&#1089;&#1077;&#1083;&#1077;&#1085;&#1080;&#1103;%20&#1056;&#1077;&#1089;&#1087;&#1091;&#1073;&#1083;&#1080;&#1082;&#1080;%20&#1040;&#1083;&#1090;&#1072;&#1081;%20&#1085;&#1072;%201%20&#1103;&#1085;&#1074;&#1072;&#1088;&#1103;%202020%20&#1075;&#1086;&#1076;&#1072;.xlsx" TargetMode="External"/><Relationship Id="rId322" Type="http://schemas.openxmlformats.org/officeDocument/2006/relationships/hyperlink" Target="https://doc.kirovreg.ru/upload/sed/2021/01/29/0.49829100%201611925306/38-%D0%9F%20%D0%BE%D1%82%2028.01.2021.pdf" TargetMode="External"/><Relationship Id="rId343" Type="http://schemas.openxmlformats.org/officeDocument/2006/relationships/hyperlink" Target="https://disk.yandex.ru/client/disk/&#1048;&#1041;_&#1092;&#1080;&#1088;&#1084;&#1077;&#1085;&#1085;&#1099;&#1081;%20&#1089;&#1090;&#1080;&#1083;&#1100;/&#1051;&#1054;&#1043;&#1054;?idApp=client&amp;dialog=slider&amp;idDialog=%2Fdisk%2F&#1048;&#1041;_&#1092;&#1080;&#1088;&#1084;&#1077;&#1085;&#1085;&#1099;&#1081;%20&#1089;&#1090;&#1080;&#1083;&#1100;%2F&#1051;&#1054;&#1043;&#1054;%2F&#1083;&#1086;&#1075;&#1086;.jpg" TargetMode="External"/><Relationship Id="rId61" Type="http://schemas.openxmlformats.org/officeDocument/2006/relationships/hyperlink" Target="http://trans.adm44.ru/sfera/deytelnost/obshinic/" TargetMode="External"/><Relationship Id="rId82" Type="http://schemas.openxmlformats.org/officeDocument/2006/relationships/hyperlink" Target="https://vladimirstat.gks.ru/demograf" TargetMode="External"/><Relationship Id="rId199" Type="http://schemas.openxmlformats.org/officeDocument/2006/relationships/hyperlink" Target="https://&#1094;&#1084;&#1087;&#1080;.&#1088;&#1092;/%20%20&#1058;&#1077;&#1088;&#1088;&#1080;&#1090;&#1086;&#1088;&#1080;&#1072;&#1083;&#1100;&#1085;&#1086;&#1077;%20&#1086;&#1073;&#1097;&#1077;&#1089;&#1090;&#1074;&#1077;&#1085;&#1085;&#1086;&#1077;%20&#1089;&#1072;&#1084;&#1086;&#1091;&#1087;&#1088;&#1072;&#1074;&#1083;&#1077;&#1085;&#1080;&#1077;%20(xn--h1ahj0a.xn--p1ai)" TargetMode="External"/><Relationship Id="rId203" Type="http://schemas.openxmlformats.org/officeDocument/2006/relationships/hyperlink" Target="https://docs.cntd.ru/document/450333035" TargetMode="External"/><Relationship Id="rId19" Type="http://schemas.openxmlformats.org/officeDocument/2006/relationships/hyperlink" Target="http://publication.pravo.gov.ru/Document/View/3600201905300001?rangeSize=20" TargetMode="External"/><Relationship Id="rId224" Type="http://schemas.openxmlformats.org/officeDocument/2006/relationships/hyperlink" Target="http://energy.midural.ru/napravleniya-deyatelnosti/formirovanie-komfortnoj-gorodskoj-sredy/" TargetMode="External"/><Relationship Id="rId245" Type="http://schemas.openxmlformats.org/officeDocument/2006/relationships/hyperlink" Target="https://minfin.saratov.gov.ru/budget/proekty/proekt-po-podderzhke-mestnykh-initsiativ-v-saratovskoj-oblasti/o-proekte" TargetMode="External"/><Relationship Id="rId266" Type="http://schemas.openxmlformats.org/officeDocument/2006/relationships/hyperlink" Target="https://ppmi.yakutia.click/Home" TargetMode="External"/><Relationship Id="rId287" Type="http://schemas.openxmlformats.org/officeDocument/2006/relationships/hyperlink" Target="https://www.instagram.com/p/CMeyYrdlM3r/?igshid=9vl5p4jskj3t" TargetMode="External"/><Relationship Id="rId30" Type="http://schemas.openxmlformats.org/officeDocument/2006/relationships/hyperlink" Target="http://10.1.2.160:1000/Reports/Full.aspx?year=2020" TargetMode="External"/><Relationship Id="rId105" Type="http://schemas.openxmlformats.org/officeDocument/2006/relationships/hyperlink" Target="https://docs.cntd.ru/document/463732391" TargetMode="External"/><Relationship Id="rId126" Type="http://schemas.openxmlformats.org/officeDocument/2006/relationships/hyperlink" Target="http://vlfin.ru/nashi-stati/lichnye-finansy/zdes-moya-kopeechka-vot-nasha-skameechka-initsiativnoe-byudzhetirovanie-prineslo-oshchutimye-plody/?sphrase_id=7835;" TargetMode="External"/><Relationship Id="rId147" Type="http://schemas.openxmlformats.org/officeDocument/2006/relationships/hyperlink" Target="https://my-files.su/5e671t" TargetMode="External"/><Relationship Id="rId168" Type="http://schemas.openxmlformats.org/officeDocument/2006/relationships/hyperlink" Target="http://mf.nnov.ru/files/budget/N_PA/Proekt/2019/Postanovlenie_616_ot_30.08.2019.zip" TargetMode="External"/><Relationship Id="rId312"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333" Type="http://schemas.openxmlformats.org/officeDocument/2006/relationships/hyperlink" Target="https://admkrai.krasnodar.ru/upload/iblock/929/929e735a1bd74bc746554e0956b85848.pdf" TargetMode="External"/><Relationship Id="rId51" Type="http://schemas.openxmlformats.org/officeDocument/2006/relationships/hyperlink" Target="http://www.admoil.ru/finans/narodni-budget/logotip.rar" TargetMode="External"/><Relationship Id="rId72" Type="http://schemas.openxmlformats.org/officeDocument/2006/relationships/hyperlink" Target="https://kaliningrad.gks.ru/population" TargetMode="External"/><Relationship Id="rId93" Type="http://schemas.openxmlformats.org/officeDocument/2006/relationships/hyperlink" Target="http://www.cap.ru/doc/laws/2018/07/02/decree_311127/" TargetMode="External"/><Relationship Id="rId189" Type="http://schemas.openxmlformats.org/officeDocument/2006/relationships/hyperlink" Target="https://docs.cntd.ru/document/553386375" TargetMode="External"/><Relationship Id="rId3" Type="http://schemas.openxmlformats.org/officeDocument/2006/relationships/hyperlink" Target="https://iro22.ru/index.php/2017-09-05-03-16-33/konkurs-shkolnykh-initsiativ-ya-schitayu.html" TargetMode="External"/><Relationship Id="rId214" Type="http://schemas.openxmlformats.org/officeDocument/2006/relationships/hyperlink" Target="https://disk.yandex.ru/d/JTOfHf4e8LhFCw?w=1" TargetMode="External"/><Relationship Id="rId235" Type="http://schemas.openxmlformats.org/officeDocument/2006/relationships/hyperlink" Target="https://www.facebook.com/budget65/%20https:/%20%20%20%20%20%20%20%20%20%20%20%20%20%20%20%20%20%20%20%20%20%20%20%20%20%20%20%20%20%20%20%20%20%20%20%20%20%20%20%20%20%20%20%20%20%20%20%20%20%20%20%20/vk.com/budget65" TargetMode="External"/><Relationship Id="rId256" Type="http://schemas.openxmlformats.org/officeDocument/2006/relationships/hyperlink" Target="http://publication.pravo.gov.ru/Document/View/6200201702270003" TargetMode="External"/><Relationship Id="rId277" Type="http://schemas.openxmlformats.org/officeDocument/2006/relationships/hyperlink" Target="http://old.gov.karelia.ru/Projects/Initiatives/" TargetMode="External"/><Relationship Id="rId298" Type="http://schemas.openxmlformats.org/officeDocument/2006/relationships/hyperlink" Target="https://vk.com/official_ga" TargetMode="External"/><Relationship Id="rId116" Type="http://schemas.openxmlformats.org/officeDocument/2006/relationships/hyperlink" Target="https://msu.lenobl.ru/ru/programmy-i-plany/iniciativnye-komissii-v-administrativnyh-centrah/2020-god/" TargetMode="External"/><Relationship Id="rId137" Type="http://schemas.openxmlformats.org/officeDocument/2006/relationships/hyperlink" Target="https://www.tambov.gov.ru/assets/files/urt/pao-864.pdf" TargetMode="External"/><Relationship Id="rId158" Type="http://schemas.openxmlformats.org/officeDocument/2006/relationships/hyperlink" Target="https://instagram.com/guvp_khabkrai," TargetMode="External"/><Relationship Id="rId302" Type="http://schemas.openxmlformats.org/officeDocument/2006/relationships/hyperlink" Target="http://mcx-altai.ru/attachments/article/1946/1_20210311-postanovlenie-pravitelstva-respubliki-altaj-ot-26-dekabrja-2019-g.-&#8470;-379.docx" TargetMode="External"/><Relationship Id="rId323" Type="http://schemas.openxmlformats.org/officeDocument/2006/relationships/hyperlink" Target="https://kirovreg.ru/publ/AkOUP.nsf/de017b98ac867075c32571440061b25c/c5cfc3177e78934f43257dcf00397b26?OpenDocument" TargetMode="External"/><Relationship Id="rId344" Type="http://schemas.openxmlformats.org/officeDocument/2006/relationships/hyperlink" Target="https://disk.yandex.ru/client/disk/&#1048;&#1041;_&#1092;&#1080;&#1088;&#1084;&#1077;&#1085;&#1085;&#1099;&#1081;%20&#1089;&#1090;&#1080;&#1083;&#1100;/&#1064;&#1040;&#1041;&#1051;&#1054;&#1053;&#1067;" TargetMode="External"/><Relationship Id="rId20" Type="http://schemas.openxmlformats.org/officeDocument/2006/relationships/hyperlink" Target="https://df.gov35.ru/dokumenty-strategicheskogo-planirovaniya/gosudarstvennaya-programma-departamenta-finansov/aktualnaya-versiya-gosudarstvennoy-programmy/" TargetMode="External"/><Relationship Id="rId41" Type="http://schemas.openxmlformats.org/officeDocument/2006/relationships/hyperlink" Target="https://wampi.ru/image/RvQUm1a" TargetMode="External"/><Relationship Id="rId62" Type="http://schemas.openxmlformats.org/officeDocument/2006/relationships/hyperlink" Target="https://login.consultant.ru/link/?req=doc&amp;base=RLAW265&amp;n=102109&amp;dst=1000000003" TargetMode="External"/><Relationship Id="rId83" Type="http://schemas.openxmlformats.org/officeDocument/2006/relationships/hyperlink" Target="https://dsx.avo.ru/search?q=&#1087;&#1086;&#1089;&#1090;&#1072;&#1085;&#1086;&#1074;&#1083;&#1077;&#1085;&#1080;&#1077;+&#1086;&#1090;+20.12.2019+&#8470;904" TargetMode="External"/><Relationship Id="rId179" Type="http://schemas.openxmlformats.org/officeDocument/2006/relationships/hyperlink" Target="https://&#1094;&#1084;&#1087;&#1080;.&#1088;&#1092;/novosti/katalog-sbornik-proektov-realizovannykh-v-2020-godu/" TargetMode="External"/><Relationship Id="rId190" Type="http://schemas.openxmlformats.org/officeDocument/2006/relationships/hyperlink" Target="http://docs.cntd.ru/document/553230534" TargetMode="External"/><Relationship Id="rId204" Type="http://schemas.openxmlformats.org/officeDocument/2006/relationships/hyperlink" Target="http://docs.cntd.ru/document/553230534" TargetMode="External"/><Relationship Id="rId225" Type="http://schemas.openxmlformats.org/officeDocument/2006/relationships/hyperlink" Target="https://sverdl.gks.ru/folder/29698" TargetMode="External"/><Relationship Id="rId246" Type="http://schemas.openxmlformats.org/officeDocument/2006/relationships/hyperlink" Target="https://www.instagram.com/sarminfin/" TargetMode="External"/><Relationship Id="rId267" Type="http://schemas.openxmlformats.org/officeDocument/2006/relationships/hyperlink" Target="https://sakha.gks.ru/folder/32348" TargetMode="External"/><Relationship Id="rId288" Type="http://schemas.openxmlformats.org/officeDocument/2006/relationships/hyperlink" Target="https://astrastat.gks.ru/folder/35673" TargetMode="External"/><Relationship Id="rId106" Type="http://schemas.openxmlformats.org/officeDocument/2006/relationships/hyperlink" Target="https://minstroyrf.gov.ru/upload/iblock/7b3/Gorsreda_brandbook_new.pdf" TargetMode="External"/><Relationship Id="rId127" Type="http://schemas.openxmlformats.org/officeDocument/2006/relationships/hyperlink" Target="https://depfin.tomsk.gov.ru/uploads/ckfinder/285/userfiles/images/%D0%BA%D1%80%D1%83%D0%B3%D0%B8.jpg" TargetMode="External"/><Relationship Id="rId313" Type="http://schemas.openxmlformats.org/officeDocument/2006/relationships/hyperlink" Target="http://&#1088;&#1077;&#1072;&#1083;&#1100;&#1085;&#1099;&#1077;-&#1076;&#1077;&#1083;&#1072;.&#1088;&#1092;/" TargetMode="External"/><Relationship Id="rId10" Type="http://schemas.openxmlformats.org/officeDocument/2006/relationships/hyperlink" Target="https://amurstat.gks.ru/storage/mediabank/8B7LZIh7/07_1_4.htm" TargetMode="External"/><Relationship Id="rId31" Type="http://schemas.openxmlformats.org/officeDocument/2006/relationships/hyperlink" Target="http://publication.pravo.gov.ru/Document/View/4200201908130001" TargetMode="External"/><Relationship Id="rId52" Type="http://schemas.openxmlformats.org/officeDocument/2006/relationships/hyperlink" Target="http://www.statdata.ru/naselenie/kostromskoi-oblasti" TargetMode="External"/><Relationship Id="rId73" Type="http://schemas.openxmlformats.org/officeDocument/2006/relationships/hyperlink" Target="https://minstroy39.ru/upload/%D0%9F%D0%9F%D0%9A%D0%9E%20465%20%D0%BE%D1%82%2031%2008%202017%20%D0%B3%D0%BE%D1%81%20%D0%BF%D1%80%D0%BE%D0%B3%D1%80%D0%B0%D0%BC%D0%BC%D0%B0.pdf" TargetMode="External"/><Relationship Id="rId94" Type="http://schemas.openxmlformats.org/officeDocument/2006/relationships/hyperlink" Target="https://chuvash.gks.ru/demog" TargetMode="External"/><Relationship Id="rId148" Type="http://schemas.openxmlformats.org/officeDocument/2006/relationships/hyperlink" Target="https://showdata.gks.ru/report/278928/?filter_1_0=2015-01-01+00%3A00%3A00%7C-56%2C2016-01-01+00%3A00%3A00%7C-56%2C2017-01-01+00%3A00%3A00%7C-56%2C2018-01-01+00%3A00%3A00%7C-56%2C2019-01-01+00%3A00%3A00%7C-56%2C2020-01-01+00%3A00%3A00%7C-56%2C2021-01-01+00" TargetMode="External"/><Relationship Id="rId169" Type="http://schemas.openxmlformats.org/officeDocument/2006/relationships/hyperlink" Target="http://mf.nnov.ru/files/budget/N_PA/Proekt/2019/Postanovlenie_616_ot_30.08.2019.zip" TargetMode="External"/><Relationship Id="rId334" Type="http://schemas.openxmlformats.org/officeDocument/2006/relationships/hyperlink" Target="http://publication.pravo.gov.ru/Document/View/7400202012230002" TargetMode="External"/><Relationship Id="rId4" Type="http://schemas.openxmlformats.org/officeDocument/2006/relationships/hyperlink" Target="https://cloud.mail.ru/public/D63z/oU71DQAJn" TargetMode="External"/><Relationship Id="rId180" Type="http://schemas.openxmlformats.org/officeDocument/2006/relationships/hyperlink" Target="https://novgorodstat.gks.ru/storage/mediabank/%D0%9D%D0%B0%D1%81%D0%B5%D0%BB%D0%B5%D0%BD%D0%B8%D0%B5%202020.pdf" TargetMode="External"/><Relationship Id="rId215" Type="http://schemas.openxmlformats.org/officeDocument/2006/relationships/hyperlink" Target="https://www.samregion.ru/open_government/institutions-gubernatorskij-proekt-sodejstvie/" TargetMode="External"/><Relationship Id="rId236" Type="http://schemas.openxmlformats.org/officeDocument/2006/relationships/hyperlink" Target="https://pib.sakhminfin.ru/" TargetMode="External"/><Relationship Id="rId257" Type="http://schemas.openxmlformats.org/officeDocument/2006/relationships/hyperlink" Target="http://mari-el.gov.ru/minselhoz/Pages/normativ2016_5_2_rme.aspx" TargetMode="External"/><Relationship Id="rId278" Type="http://schemas.openxmlformats.org/officeDocument/2006/relationships/hyperlink" Target="https://m.vk.com/album-169034427_0?rev=1&amp;from=profile&amp;z=photo-169034427_457239153%2Falbum-169034427_0%2Frev" TargetMode="External"/><Relationship Id="rId303" Type="http://schemas.openxmlformats.org/officeDocument/2006/relationships/hyperlink" Target="https://akstat.gks.ru/storage/mediabank/c9KP31L2/&#1054;&#1094;&#1077;&#1085;&#1082;&#1072;%20&#1095;&#1080;&#1089;&#1083;&#1077;&#1085;&#1085;&#1086;&#1089;&#1090;&#1080;%20&#1087;&#1086;&#1089;&#1090;&#1086;&#1103;&#1085;&#1085;&#1086;&#1075;&#1086;%20&#1085;&#1072;&#1089;&#1077;&#1083;&#1077;&#1085;&#1080;&#1103;%20&#1056;&#1077;&#1089;&#1087;&#1091;&#1073;&#1083;&#1080;&#1082;&#1080;%20&#1040;&#1083;&#1090;&#1072;&#1081;%20&#1085;&#1072;%201%20&#1103;&#1085;&#1074;&#1072;&#1088;&#1103;%202020%20&#1075;&#1086;&#1076;&#1072;.xlsx" TargetMode="External"/><Relationship Id="rId42" Type="http://schemas.openxmlformats.org/officeDocument/2006/relationships/hyperlink" Target="https://docs.cntd.ru/document/446168877" TargetMode="External"/><Relationship Id="rId84" Type="http://schemas.openxmlformats.org/officeDocument/2006/relationships/hyperlink" Target="https://dsx.avo.ru/search?q=&#1087;&#1086;&#1089;&#1090;&#1072;&#1085;&#1086;&#1074;&#1083;&#1077;&#1085;&#1080;&#1077;+&#1086;&#1090;+20.12.2019+&#8470;904" TargetMode="External"/><Relationship Id="rId138" Type="http://schemas.openxmlformats.org/officeDocument/2006/relationships/hyperlink" Target="https://tmb.gks.ru/folder/33717" TargetMode="External"/><Relationship Id="rId345" Type="http://schemas.openxmlformats.org/officeDocument/2006/relationships/hyperlink" Target="http://publication.pravo.gov.ru/Document/View/4800201904040004?index=0&amp;rangeSize=1" TargetMode="External"/><Relationship Id="rId191" Type="http://schemas.openxmlformats.org/officeDocument/2006/relationships/hyperlink" Target="https://docs.cntd.ru/document/450360732" TargetMode="External"/><Relationship Id="rId205" Type="http://schemas.openxmlformats.org/officeDocument/2006/relationships/hyperlink" Target="https://novgorodstat.gks.ru/storage/mediabank/%D0%9D%D0%B0%D1%81%D0%B5%D0%BB%D0%B5%D0%BD%D0%B8%D0%B5%202020.pdf" TargetMode="External"/><Relationship Id="rId247" Type="http://schemas.openxmlformats.org/officeDocument/2006/relationships/hyperlink" Target="https://minfin.saratov.gov.ru/images/article_images/20210201/20210201-informatsionnoe-soobshchenie-o-provedenii-konkursnogo-otbora-munitsipalnykh-obrazovanij-saratovskoj-oblasti.jpg" TargetMode="External"/><Relationship Id="rId107" Type="http://schemas.openxmlformats.org/officeDocument/2006/relationships/hyperlink" Target="http://energy.ulregion.ru/" TargetMode="External"/><Relationship Id="rId289" Type="http://schemas.openxmlformats.org/officeDocument/2006/relationships/hyperlink" Target="https://base.garant.ru/8154075/" TargetMode="External"/><Relationship Id="rId11" Type="http://schemas.openxmlformats.org/officeDocument/2006/relationships/hyperlink" Target="https://amurstat.gks.ru/storage/mediabank/8B7LZIh7/07_1_4.htm" TargetMode="External"/><Relationship Id="rId53" Type="http://schemas.openxmlformats.org/officeDocument/2006/relationships/hyperlink" Target="https://login.consultant.ru/link/?req=doc&amp;base=RLAW265&amp;n=104907&amp;dst=1000000002" TargetMode="External"/><Relationship Id="rId149" Type="http://schemas.openxmlformats.org/officeDocument/2006/relationships/hyperlink" Target="https://admtyumen.ru/ogv_ru/finance/programs/program.htm?id=1190@egTargetGrant" TargetMode="External"/><Relationship Id="rId314" Type="http://schemas.openxmlformats.org/officeDocument/2006/relationships/hyperlink" Target="https://cloud.mail.ru/public/4d5m/2pz11yaGj" TargetMode="External"/><Relationship Id="rId95" Type="http://schemas.openxmlformats.org/officeDocument/2006/relationships/hyperlink" Target="http://www.agro.cap.ru/action/activity/iniciativnoe-byudzhetirovanie" TargetMode="External"/><Relationship Id="rId160" Type="http://schemas.openxmlformats.org/officeDocument/2006/relationships/hyperlink" Target="https://laws.khv.gov.ru/" TargetMode="External"/><Relationship Id="rId216" Type="http://schemas.openxmlformats.org/officeDocument/2006/relationships/hyperlink" Target="https://twitter.com/SOdeistvie63" TargetMode="External"/><Relationship Id="rId258" Type="http://schemas.openxmlformats.org/officeDocument/2006/relationships/hyperlink" Target="http://mari-el.gov.ru/mecon/Pages/competitions.aspx" TargetMode="External"/><Relationship Id="rId22" Type="http://schemas.openxmlformats.org/officeDocument/2006/relationships/hyperlink" Target="https://vologdastat.gks.ru/storage/mediabank/%D0%A7%D0%B8%D1%81%D0%BB%D0%B5%D0%BD%D0%BD%D0%BE%D1%81%D1%82%D1%8C_20_341599.htm" TargetMode="External"/><Relationship Id="rId64" Type="http://schemas.openxmlformats.org/officeDocument/2006/relationships/hyperlink" Target="http://gkh.adm44.ru/sov_sreda/" TargetMode="External"/><Relationship Id="rId118" Type="http://schemas.openxmlformats.org/officeDocument/2006/relationships/hyperlink" Target="http://msu.lenobl.ru/news/mediaproekty/" TargetMode="External"/><Relationship Id="rId325" Type="http://schemas.openxmlformats.org/officeDocument/2006/relationships/hyperlink" Target="http://minfin.kirov.ru.opt-images.1c-bitrix-cdn.ru/upload/medialibrary/documents/2019_03/%D0%BD%D0%B1.png" TargetMode="External"/><Relationship Id="rId171" Type="http://schemas.openxmlformats.org/officeDocument/2006/relationships/hyperlink" Target="http://publication.pravo.gov.ru/Document/View/5200202011300004" TargetMode="External"/><Relationship Id="rId227" Type="http://schemas.openxmlformats.org/officeDocument/2006/relationships/hyperlink" Target="https://sverdl.gks.ru/folder/29698" TargetMode="External"/><Relationship Id="rId269" Type="http://schemas.openxmlformats.org/officeDocument/2006/relationships/hyperlink" Target="https://minfin.sakha.gov.ru/initsiativnoe-bjudzhetirovanie" TargetMode="External"/><Relationship Id="rId33" Type="http://schemas.openxmlformats.org/officeDocument/2006/relationships/hyperlink" Target="https://www.ofukem.ru/images/logo_iniciative_budg.png" TargetMode="External"/><Relationship Id="rId129" Type="http://schemas.openxmlformats.org/officeDocument/2006/relationships/hyperlink" Target="https://depfin.tomsk.gov.ru/news/front/view/id/70196" TargetMode="External"/><Relationship Id="rId280" Type="http://schemas.openxmlformats.org/officeDocument/2006/relationships/hyperlink" Target="https://astrastat.gks.ru/folder/35673" TargetMode="External"/><Relationship Id="rId336" Type="http://schemas.openxmlformats.org/officeDocument/2006/relationships/hyperlink" Target="https://chelstat.gks.ru/population" TargetMode="External"/><Relationship Id="rId75" Type="http://schemas.openxmlformats.org/officeDocument/2006/relationships/hyperlink" Target="https://krasnoznamensk.gov39.ru/formirovanie-komfortnoy-gorodskoy-sredy-na-2018-2022-gg.html," TargetMode="External"/><Relationship Id="rId140" Type="http://schemas.openxmlformats.org/officeDocument/2006/relationships/hyperlink" Target="https://www.facebook.com/groups/965650083551503/" TargetMode="External"/><Relationship Id="rId182" Type="http://schemas.openxmlformats.org/officeDocument/2006/relationships/hyperlink" Target="http://docs.cntd.ru/document/553230534" TargetMode="External"/><Relationship Id="rId6" Type="http://schemas.openxmlformats.org/officeDocument/2006/relationships/hyperlink" Target="https://minfin.alregn.ru/bud/z2020/" TargetMode="External"/><Relationship Id="rId238" Type="http://schemas.openxmlformats.org/officeDocument/2006/relationships/hyperlink" Target="https://www.facebook.com/budget65/%20https:/%20%20%20%20%20%20%20%20%20%20%20%20%20%20%20%20%20%20%20%20%20%20%20%20%20%20%20%20%20%20%20%20%20%20%20%20%20%20%20%20%20%20%20%20%20%20%20%20%20%20%20%20/vk.com/budget65" TargetMode="External"/><Relationship Id="rId291" Type="http://schemas.openxmlformats.org/officeDocument/2006/relationships/hyperlink" Target="https://signal.rkomi.ru/budzhet/razrabotan-logotip-proekta-narodnyy-byudzhet" TargetMode="External"/><Relationship Id="rId305" Type="http://schemas.openxmlformats.org/officeDocument/2006/relationships/hyperlink" Target="http://docs.cntd.ru/document/553216517" TargetMode="External"/><Relationship Id="rId347" Type="http://schemas.openxmlformats.org/officeDocument/2006/relationships/hyperlink" Target="http://sovetskaya22.ru/news/news/Another-court-of-Lipetsk-has-prospered-in-the-framework-of-the-Proactive-budgeting/" TargetMode="External"/><Relationship Id="rId44" Type="http://schemas.openxmlformats.org/officeDocument/2006/relationships/hyperlink" Target="https://docs.cntd.ru/document/446168877" TargetMode="External"/><Relationship Id="rId86" Type="http://schemas.openxmlformats.org/officeDocument/2006/relationships/hyperlink" Target="https://dtf.avo.ru/podderzka-iniciativ-naselenia" TargetMode="External"/><Relationship Id="rId151" Type="http://schemas.openxmlformats.org/officeDocument/2006/relationships/hyperlink" Target="http://gorodsreda.ru/" TargetMode="External"/><Relationship Id="rId193" Type="http://schemas.openxmlformats.org/officeDocument/2006/relationships/hyperlink" Target="https://&#1094;&#1084;&#1087;&#1080;.&#1088;&#1092;/" TargetMode="External"/><Relationship Id="rId207" Type="http://schemas.openxmlformats.org/officeDocument/2006/relationships/hyperlink" Target="https://ovmf2.consultant.ru/cgi/online.cgi?req=doc&amp;cacheid=603BA65AD6558414184CEEEA9DAA8A05&amp;SORTTYPE=0&amp;BASENODE=23700&amp;ts=133004834408205846370949368&amp;base=RLAW148&amp;n=164323&amp;rnd=78DB87F0E7078876E8DBB5D770C5B483" TargetMode="External"/><Relationship Id="rId249" Type="http://schemas.openxmlformats.org/officeDocument/2006/relationships/hyperlink" Target="http://publication.pravo.gov.ru/Document/View/6200201912230025" TargetMode="External"/><Relationship Id="rId13" Type="http://schemas.openxmlformats.org/officeDocument/2006/relationships/hyperlink" Target="http://aleksandrovskoe-pavlovskregion.ru/wp-content/uploads/2018/08/Rasporyazhenie-pravitelstva-Voronezhskoy-oblasti-ot-19.04.2017-----282-r---O-razvitii-initsiativnogo-byudzhetirovaniya-na-territorii-Voronezhskoy-oblasti--.doc" TargetMode="External"/><Relationship Id="rId109" Type="http://schemas.openxmlformats.org/officeDocument/2006/relationships/hyperlink" Target="https://adm.rkursk.ru/index.php?id=10&amp;mat_id=89749&amp;query=%ED%E0%F0%EE%E4%ED%FB%E9+%E1%FE%E4%E6%E5%F2+%E8%E7%E2%E5%F9%E5%ED%E8%E5+2019" TargetMode="External"/><Relationship Id="rId260" Type="http://schemas.openxmlformats.org/officeDocument/2006/relationships/hyperlink" Target="https://maristat.gks.ru/folder/27269" TargetMode="External"/><Relationship Id="rId316"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55" Type="http://schemas.openxmlformats.org/officeDocument/2006/relationships/hyperlink" Target="consultantplus://offline/ref=55AB044EF2AE989F64BAC01863E5C4A9ADFF11BADF275679A20855BC8E46D11C9C7059606921C791BA63221FB7AD46C4F510AAEFFC56605E2760CEN9c9M" TargetMode="External"/><Relationship Id="rId97" Type="http://schemas.openxmlformats.org/officeDocument/2006/relationships/hyperlink" Target="https://law.ulgov.ru/doc/14746" TargetMode="External"/><Relationship Id="rId120" Type="http://schemas.openxmlformats.org/officeDocument/2006/relationships/hyperlink" Target="https://ppmi.tverfin.ru/" TargetMode="External"/><Relationship Id="rId162" Type="http://schemas.openxmlformats.org/officeDocument/2006/relationships/hyperlink" Target="https://ovmf2.consultant.ru/cgi/online.cgi?req=doc&amp;ts=155202624105309729631190472&amp;cacheid=BE3771CA87324EE9826D00E861E8CF15&amp;mode=splus&amp;base=MOB&amp;n=309201&amp;rnd=66D8B55318E3190061A470AE6405CD26" TargetMode="External"/><Relationship Id="rId218" Type="http://schemas.openxmlformats.org/officeDocument/2006/relationships/hyperlink" Target="http://gov.spb.ru/law?d&amp;nd=822403529&amp;nh=0" TargetMode="External"/><Relationship Id="rId271" Type="http://schemas.openxmlformats.org/officeDocument/2006/relationships/hyperlink" Target="https://youtu.be/MFAABUpO15k" TargetMode="External"/><Relationship Id="rId24" Type="http://schemas.openxmlformats.org/officeDocument/2006/relationships/hyperlink" Target="https://vologda-oblast.ru/novosti/v_pravitelstve_oblasti_obyavili_o_starte_konkursnogo_otbora_proekta_narodnyy_byudzhet_na_2020_god_/" TargetMode="External"/><Relationship Id="rId66"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131" Type="http://schemas.openxmlformats.org/officeDocument/2006/relationships/hyperlink" Target="https://agro.tmbreg.ru/inv.html" TargetMode="External"/><Relationship Id="rId327" Type="http://schemas.openxmlformats.org/officeDocument/2006/relationships/hyperlink" Target="http://www.socialkirov.ru/social/root/ppmi/Info.htm" TargetMode="External"/><Relationship Id="rId173" Type="http://schemas.openxmlformats.org/officeDocument/2006/relationships/hyperlink" Target="https://nizhstat.gks.ru/" TargetMode="External"/><Relationship Id="rId229" Type="http://schemas.openxmlformats.org/officeDocument/2006/relationships/hyperlink" Target="https://vmeste.permkrai.ru/program/category/6/" TargetMode="External"/><Relationship Id="rId240" Type="http://schemas.openxmlformats.org/officeDocument/2006/relationships/hyperlink" Target="https://pib.sakhminfin.ru/" TargetMode="External"/><Relationship Id="rId35" Type="http://schemas.openxmlformats.org/officeDocument/2006/relationships/hyperlink" Target="https://rosstat.gov.ru/storage/mediabank/&#1063;&#1080;&#1089;&#1083;&#1077;&#1085;&#1085;&#1086;&#1089;&#1090;&#1100;%20&#1087;&#1086;%20&#1052;&#1054;_Site.xlsx" TargetMode="External"/><Relationship Id="rId77" Type="http://schemas.openxmlformats.org/officeDocument/2006/relationships/hyperlink" Target="https://pravitelstvo.kbr.ru/documents/post/index.php?ELEMENT_ID=16584" TargetMode="External"/><Relationship Id="rId100" Type="http://schemas.openxmlformats.org/officeDocument/2006/relationships/hyperlink" Target="https://uln.gks.ru/" TargetMode="External"/><Relationship Id="rId282" Type="http://schemas.openxmlformats.org/officeDocument/2006/relationships/hyperlink" Target="https://vesti-kalmykia.ru/news/nachinaetsya-realizaciya-razvitiya-selskih-territorij;" TargetMode="External"/><Relationship Id="rId338" Type="http://schemas.openxmlformats.org/officeDocument/2006/relationships/hyperlink" Target="https://pravo.donland.ru/doc/view/id/%D0%9E%D0%B1%D0%BB%D0%B0%D1%81%D1%82%D0%BD%D0%BE%D0%B9+%D0%B7%D0%B0%D0%BA%D0%BE%D0%BD_178-%D0%97%D0%A1_01082019_12886/" TargetMode="External"/><Relationship Id="rId8" Type="http://schemas.openxmlformats.org/officeDocument/2006/relationships/hyperlink" Target="https://iro22.ru/index.php/2017-09-05-03-16-33/konkurs-shkolnykh-initsiativ-ya-schitayu/normativno-pravovye-dokumenty.html" TargetMode="External"/><Relationship Id="rId142" Type="http://schemas.openxmlformats.org/officeDocument/2006/relationships/hyperlink" Target="https://agro.tmbreg.ru/assets/files/prv/01_2020/PAO-2019-1506.pdf" TargetMode="External"/><Relationship Id="rId184" Type="http://schemas.openxmlformats.org/officeDocument/2006/relationships/hyperlink" Target="https://vk.com/wall-172227097_282"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glazrayon.ru/city/fin/podderzhka/norm/" TargetMode="External"/><Relationship Id="rId299" Type="http://schemas.openxmlformats.org/officeDocument/2006/relationships/hyperlink" Target="http://adm.syzran.ru/index.php?id=43&amp;tx_documents_fe%5Bdocument%5D=3086&amp;tx_documents_fe%5Baction%5D=show&amp;tx_documents_fe%5Bcontroller%5D=Document&amp;cHash=c5bb408fc2dbc6c4c21bc396e7836212" TargetMode="External"/><Relationship Id="rId21" Type="http://schemas.openxmlformats.org/officeDocument/2006/relationships/hyperlink" Target="https://&#1078;&#1080;&#1074;&#1105;&#1084;&#1085;&#1072;&#1089;&#1077;&#1074;&#1077;&#1088;&#1077;.&#1088;&#1092;/" TargetMode="External"/><Relationship Id="rId63" Type="http://schemas.openxmlformats.org/officeDocument/2006/relationships/hyperlink" Target="http://www.adminbelka.ru/documents/925.html" TargetMode="External"/><Relationship Id="rId159" Type="http://schemas.openxmlformats.org/officeDocument/2006/relationships/hyperlink" Target="http://finotdnovoorsk.ru/kadrovoe-obespechenie" TargetMode="External"/><Relationship Id="rId324" Type="http://schemas.openxmlformats.org/officeDocument/2006/relationships/hyperlink" Target="https://&#1077;&#1082;&#1072;&#1090;&#1077;&#1088;&#1080;&#1085;&#1073;&#1091;&#1088;&#1075;.&#1088;&#1092;/&#1086;&#1092;&#1080;&#1094;&#1080;&#1072;&#1083;&#1100;&#1085;&#1086;/&#1076;&#1086;&#1082;&#1091;&#1084;&#1077;&#1085;&#1090;&#1099;/&#1087;&#1086;&#1089;&#1090;&#1072;&#1085;&#1086;&#1074;&#1083;&#1077;&#1085;&#1080;&#1103;/&#1087;_2018/23803" TargetMode="External"/><Relationship Id="rId366" Type="http://schemas.openxmlformats.org/officeDocument/2006/relationships/hyperlink" Target="https://www.n-vartovsk.ru/ibudget/" TargetMode="External"/><Relationship Id="rId170" Type="http://schemas.openxmlformats.org/officeDocument/2006/relationships/hyperlink" Target="http://gov.cap.ru/SiteMap.aspx?gov_id=916&amp;id=2735344&amp;title=Iniciativnoe_byudzhetirovanie_v_g._Cheboksari" TargetMode="External"/><Relationship Id="rId226" Type="http://schemas.openxmlformats.org/officeDocument/2006/relationships/hyperlink" Target="http://barysh.org/regulatory/Post2015/490.pdf" TargetMode="External"/><Relationship Id="rId433" Type="http://schemas.openxmlformats.org/officeDocument/2006/relationships/hyperlink" Target="http://admkonda.ru/normativno-pravovye-akty-nb-mejd.html" TargetMode="External"/><Relationship Id="rId268" Type="http://schemas.openxmlformats.org/officeDocument/2006/relationships/hyperlink" Target="https://stkulatka.ulregion.ru/mz/marat/1933.html" TargetMode="External"/><Relationship Id="rId32" Type="http://schemas.openxmlformats.org/officeDocument/2006/relationships/hyperlink" Target="http://nadymregion.ru/local-government/administration/byudzhetnaya-initsiativa-grazhdan.php" TargetMode="External"/><Relationship Id="rId74" Type="http://schemas.openxmlformats.org/officeDocument/2006/relationships/hyperlink" Target="https://vk.com/moi_yamalskiy_raion" TargetMode="External"/><Relationship Id="rId128" Type="http://schemas.openxmlformats.org/officeDocument/2006/relationships/hyperlink" Target="http://&#1073;&#1091;&#1079;&#1091;&#1083;&#1091;&#1082;.&#1088;&#1092;/content/%D0%BD%D0%B0%D1%80%D0%BE%D0%B4%D0%BD%D1%8B%D0%B9-%D0%B1%D1%8E%D0%B4%D0%B6%D0%B5%D1%82" TargetMode="External"/><Relationship Id="rId335" Type="http://schemas.openxmlformats.org/officeDocument/2006/relationships/hyperlink" Target="file:///\\var\folders\_b\content\act\35581dd1-0443-46c4-8a2c-722cb44c855c.doc" TargetMode="External"/><Relationship Id="rId377" Type="http://schemas.openxmlformats.org/officeDocument/2006/relationships/hyperlink" Target="http://nvraion.ru/ekonomika-i-finansy/chislennost/" TargetMode="External"/><Relationship Id="rId5" Type="http://schemas.openxmlformats.org/officeDocument/2006/relationships/hyperlink" Target="https://vk.com/mozhraion" TargetMode="External"/><Relationship Id="rId181" Type="http://schemas.openxmlformats.org/officeDocument/2006/relationships/hyperlink" Target="https://www.shadrinsk-city.ru/?p=59348" TargetMode="External"/><Relationship Id="rId237" Type="http://schemas.openxmlformats.org/officeDocument/2006/relationships/hyperlink" Target="https://uln.gks.ru/search?q=&#1095;&#1080;&#1089;&#1083;&#1077;&#1085;&#1085;&#1086;&#1089;&#1090;&#1100;+&#1042;&#1077;&#1096;&#1082;&#1072;&#1081;&#1084;&#1089;&#1082;&#1086;&#1075;&#1086;+&#1088;&#1072;&#1081;&#1086;&#1085;&#1072;" TargetMode="External"/><Relationship Id="rId402" Type="http://schemas.openxmlformats.org/officeDocument/2006/relationships/hyperlink" Target="https://www.instagram.com/p/CC-UhMSKXNk/?igshid=zj39erwa6gvm" TargetMode="External"/><Relationship Id="rId279" Type="http://schemas.openxmlformats.org/officeDocument/2006/relationships/hyperlink" Target="https://uln.gks.ru/folder/40275" TargetMode="External"/><Relationship Id="rId444" Type="http://schemas.openxmlformats.org/officeDocument/2006/relationships/hyperlink" Target="http://&#1089;&#1072;&#1088;&#1072;&#1085;&#1087;&#1072;&#1091;&#1083;&#1100;-&#1072;&#1076;&#1084;.&#1088;&#1092;/initciativnoe-byudzhetirovanie.html" TargetMode="External"/><Relationship Id="rId43" Type="http://schemas.openxmlformats.org/officeDocument/2006/relationships/hyperlink" Target="https://www.admmuji.ru/file/g8uqdn5f6" TargetMode="External"/><Relationship Id="rId139" Type="http://schemas.openxmlformats.org/officeDocument/2006/relationships/hyperlink" Target="http://sorochinsk56.ru/index.php?id=1041" TargetMode="External"/><Relationship Id="rId290" Type="http://schemas.openxmlformats.org/officeDocument/2006/relationships/hyperlink" Target="https://novgorodstat.gks.ru/storage/mediabank/%D0%9D%D0%B0%D1%81%D0%B5%D0%BB%D0%B5%D0%BD%D0%B8%D0%B5%202020.pdf" TargetMode="External"/><Relationship Id="rId304" Type="http://schemas.openxmlformats.org/officeDocument/2006/relationships/hyperlink" Target="http://www.zdsamara.ru/about/info/messages/1662/" TargetMode="External"/><Relationship Id="rId346" Type="http://schemas.openxmlformats.org/officeDocument/2006/relationships/hyperlink" Target="https://www.gks.ru/scripts/db_inet2/passport/table.aspx?opt=718760002020" TargetMode="External"/><Relationship Id="rId388" Type="http://schemas.openxmlformats.org/officeDocument/2006/relationships/hyperlink" Target="http://admlangepas.ru/open-budget/proactive-budgeting/" TargetMode="External"/><Relationship Id="rId85" Type="http://schemas.openxmlformats.org/officeDocument/2006/relationships/hyperlink" Target="http://&#1089;&#1072;&#1084;&#1073;&#1091;&#1088;&#1075;.&#1088;&#1092;/documents/914.html" TargetMode="External"/><Relationship Id="rId150" Type="http://schemas.openxmlformats.org/officeDocument/2006/relationships/hyperlink" Target="http://&#1075;&#1088;&#1072;&#1095;&#1077;&#1074;&#1089;&#1082;&#1080;&#1081;-&#1088;&#1072;&#1081;&#1086;&#1085;.&#1088;&#1092;/about/byudzhet/narodnyy-byudzhet1" TargetMode="External"/><Relationship Id="rId192" Type="http://schemas.openxmlformats.org/officeDocument/2006/relationships/hyperlink" Target="https://crimea.gks.ru/folder/27537" TargetMode="External"/><Relationship Id="rId206" Type="http://schemas.openxmlformats.org/officeDocument/2006/relationships/hyperlink" Target="https://stavstat.gks.ru/storage/mediabank/&#1063;&#1080;&#1089;&#1083;&#1077;&#1085;&#1085;&#1086;&#1089;&#1090;&#1100;%20&#1085;&#1072;&#1089;&#1077;&#1083;&#1077;&#1085;&#1080;&#1103;%20&#1085;&#1072;%2001.01.2020%20&#1075;.%20&#1080;%20&#1074;%20&#1089;&#1088;&#1077;&#1076;&#1085;&#1077;&#1084;%20&#1079;&#1072;%202019%20&#1075;&#1086;&#1076;(1).rar" TargetMode="External"/><Relationship Id="rId413" Type="http://schemas.openxmlformats.org/officeDocument/2006/relationships/hyperlink" Target="http://www.admkonda.ru/narodnyy-byudzhet-sp-leushi.html" TargetMode="External"/><Relationship Id="rId248" Type="http://schemas.openxmlformats.org/officeDocument/2006/relationships/hyperlink" Target="http://karsunmo.ru/postanovleniya/" TargetMode="External"/><Relationship Id="rId455" Type="http://schemas.openxmlformats.org/officeDocument/2006/relationships/hyperlink" Target="https://www.gks.ru/scripts/db_inet2/passport/table.aspx?opt=718114122020" TargetMode="External"/><Relationship Id="rId12" Type="http://schemas.openxmlformats.org/officeDocument/2006/relationships/hyperlink" Target="https://www.gks.ru/dbscripts/munst/munst71/DBInet.cgi" TargetMode="External"/><Relationship Id="rId108" Type="http://schemas.openxmlformats.org/officeDocument/2006/relationships/hyperlink" Target="https://rosstat.gov.ru/compendium/document/13282" TargetMode="External"/><Relationship Id="rId315" Type="http://schemas.openxmlformats.org/officeDocument/2006/relationships/hyperlink" Target="https://www.gks.ru/scripts/db_inet2/passport/table.aspx?opt=657710002020" TargetMode="External"/><Relationship Id="rId357" Type="http://schemas.openxmlformats.org/officeDocument/2006/relationships/hyperlink" Target="http://www.statdata.ru/naselenie/naselenie-hmao" TargetMode="External"/><Relationship Id="rId54" Type="http://schemas.openxmlformats.org/officeDocument/2006/relationships/hyperlink" Target="http://adm-muji.ru/dokumenty-0.html" TargetMode="External"/><Relationship Id="rId96" Type="http://schemas.openxmlformats.org/officeDocument/2006/relationships/hyperlink" Target="http://www.purovskoe.ru/byudzhetnye-iniciativy.html" TargetMode="External"/><Relationship Id="rId161" Type="http://schemas.openxmlformats.org/officeDocument/2006/relationships/hyperlink" Target="http://finotdnovoorsk.ru/" TargetMode="External"/><Relationship Id="rId217" Type="http://schemas.openxmlformats.org/officeDocument/2006/relationships/hyperlink" Target="https://blagoveshensk.bashkortostan.ru/presscenter/news/277712/" TargetMode="External"/><Relationship Id="rId399" Type="http://schemas.openxmlformats.org/officeDocument/2006/relationships/hyperlink" Target="https://malinovskiy.admsov.com/action/in-bu.php?PAGEN_1=2" TargetMode="External"/><Relationship Id="rId259" Type="http://schemas.openxmlformats.org/officeDocument/2006/relationships/hyperlink" Target="http://maina-admin.ru/about/statistics/butget" TargetMode="External"/><Relationship Id="rId424" Type="http://schemas.openxmlformats.org/officeDocument/2006/relationships/hyperlink" Target="http://admkonda.ru/tinybrowser/files/poseleniya2019/mortka/postrasp/mortka-post-2019-05-132.doc" TargetMode="External"/><Relationship Id="rId466" Type="http://schemas.openxmlformats.org/officeDocument/2006/relationships/printerSettings" Target="../printerSettings/printerSettings5.bin"/><Relationship Id="rId23" Type="http://schemas.openxmlformats.org/officeDocument/2006/relationships/hyperlink" Target="http://budget.depfinnbr.ru/initsiativnoe-byudzhetirovanie/proekt-ritm" TargetMode="External"/><Relationship Id="rId119" Type="http://schemas.openxmlformats.org/officeDocument/2006/relationships/hyperlink" Target="http://glazrayon.ru/city/fin/podderzhka/" TargetMode="External"/><Relationship Id="rId270" Type="http://schemas.openxmlformats.org/officeDocument/2006/relationships/hyperlink" Target="https://uln.gks.ru/search?q=&#1095;&#1080;&#1089;&#1083;&#1077;&#1085;&#1085;&#1086;&#1089;&#1090;&#1100;+&#1042;&#1077;&#1096;&#1082;&#1072;&#1081;&#1084;&#1089;&#1082;&#1086;&#1075;&#1086;+&#1088;&#1072;&#1081;&#1086;&#1085;&#1072;" TargetMode="External"/><Relationship Id="rId326" Type="http://schemas.openxmlformats.org/officeDocument/2006/relationships/hyperlink" Target="http://&#1080;&#1085;&#1080;&#1094;&#1080;&#1072;&#1090;&#1080;&#1074;&#1072;.&#1077;&#1082;&#1072;&#1090;&#1077;&#1088;&#1080;&#1085;&#1073;&#1091;&#1088;&#1075;.&#1088;&#1092;/" TargetMode="External"/><Relationship Id="rId65" Type="http://schemas.openxmlformats.org/officeDocument/2006/relationships/hyperlink" Target="http://www.adminbelka.ru/tinybrowser/files/bydjetnay_iniciativa_grajdan/2019/02/3_protokol_zasedaniya_konkursnoy_komissii_po_provedeniyu_konkursnogo_otbora_proektov_ot_18_06_2019.pdf" TargetMode="External"/><Relationship Id="rId130" Type="http://schemas.openxmlformats.org/officeDocument/2006/relationships/hyperlink" Target="http://www.finuprgaj.ru/&#1085;&#1072;&#1088;&#1086;&#1076;&#1085;&#1099;&#1081;-&#1073;&#1102;&#1076;&#1078;&#1077;&#1090;/&#1076;&#1086;&#1082;&#1091;&#1084;&#1077;&#1085;&#1090;&#1099;/attachment/&#1087;&#1086;&#1089;&#1090;&#1072;&#1085;&#1086;&#1074;&#1083;&#1077;&#1085;&#1080;&#1077;-2" TargetMode="External"/><Relationship Id="rId368" Type="http://schemas.openxmlformats.org/officeDocument/2006/relationships/hyperlink" Target="http://budjet-dlya-grajdan.admpokachi.ru/initsiativnoe-byudzhetirovanie/" TargetMode="External"/><Relationship Id="rId172" Type="http://schemas.openxmlformats.org/officeDocument/2006/relationships/hyperlink" Target="https://kaliningrad.gks.ru/statistical_news/document/81341" TargetMode="External"/><Relationship Id="rId228" Type="http://schemas.openxmlformats.org/officeDocument/2006/relationships/hyperlink" Target="http://barysh.org/city/finance/narodnyi_budget/" TargetMode="External"/><Relationship Id="rId435" Type="http://schemas.openxmlformats.org/officeDocument/2006/relationships/hyperlink" Target="https://cloud.mail.ru/public/4UDj/29skSVipr" TargetMode="External"/><Relationship Id="rId281" Type="http://schemas.openxmlformats.org/officeDocument/2006/relationships/hyperlink" Target="https://cherdakli.com/?p=426" TargetMode="External"/><Relationship Id="rId337" Type="http://schemas.openxmlformats.org/officeDocument/2006/relationships/hyperlink" Target="http://budget.uray.ru/iniciativnoe-bjudzhetirovanie-v-rf/" TargetMode="External"/><Relationship Id="rId34" Type="http://schemas.openxmlformats.org/officeDocument/2006/relationships/hyperlink" Target="https://tumstat.gks.ru/" TargetMode="External"/><Relationship Id="rId76" Type="http://schemas.openxmlformats.org/officeDocument/2006/relationships/hyperlink" Target="https://tasu.ru/ekonomika-i-finansy/initsiativnoe-byudzhetirovanie/," TargetMode="External"/><Relationship Id="rId141" Type="http://schemas.openxmlformats.org/officeDocument/2006/relationships/hyperlink" Target="http://sorochinsk56.ru/index.php?id=1039" TargetMode="External"/><Relationship Id="rId379" Type="http://schemas.openxmlformats.org/officeDocument/2006/relationships/hyperlink" Target="https://gp-izluchinsk.ru/obshchestvennoe-obsuzhdenie2/2430-1/" TargetMode="External"/><Relationship Id="rId7" Type="http://schemas.openxmlformats.org/officeDocument/2006/relationships/hyperlink" Target="https://df.salekhard.org/byudzhetnaya-initsiativa-grazhdan/2020/contest1.php" TargetMode="External"/><Relationship Id="rId183" Type="http://schemas.openxmlformats.org/officeDocument/2006/relationships/hyperlink" Target="https://www.magnitogorsk.ru/storage/app/uploads/public/5e3/2c2/3a5/5e32c23a5c522990153951.docx" TargetMode="External"/><Relationship Id="rId239" Type="http://schemas.openxmlformats.org/officeDocument/2006/relationships/hyperlink" Target="https://www.mo-veshkaima.ru/view_news.php?id=21638" TargetMode="External"/><Relationship Id="rId390" Type="http://schemas.openxmlformats.org/officeDocument/2006/relationships/hyperlink" Target="http://www.admkogalym.ru/economics/budget/initsiativnoe-byudzhetirovanie/proekt-po-podderzhke-mestnykh-initsiativ-v-gorode-kogalyme/konkursnyy-otbor-proektov-initsiativ-grazhdan-po-voprosam-mestnogo-znacheniya-v-gorode-kogalyme/2020/index.php" TargetMode="External"/><Relationship Id="rId404" Type="http://schemas.openxmlformats.org/officeDocument/2006/relationships/hyperlink" Target="http://www.statdata.ru/naselenie/naselenie-hmao" TargetMode="External"/><Relationship Id="rId446" Type="http://schemas.openxmlformats.org/officeDocument/2006/relationships/hyperlink" Target="https://www.gks.ru/scripts/db_inet2/passport/table.aspx?opt=718110002020" TargetMode="External"/><Relationship Id="rId250" Type="http://schemas.openxmlformats.org/officeDocument/2006/relationships/hyperlink" Target="http://www.krasnorechenskoesp.ru/load/narodnyj_bjudzhet/32" TargetMode="External"/><Relationship Id="rId292" Type="http://schemas.openxmlformats.org/officeDocument/2006/relationships/hyperlink" Target="https://5310skom.edusite.ru/DswMedia/prikaz28042020-84.pdf" TargetMode="External"/><Relationship Id="rId306" Type="http://schemas.openxmlformats.org/officeDocument/2006/relationships/hyperlink" Target="http://www.zdsamara.ru/dlya-naseleniya/tvoy-konstruktor-dvora/" TargetMode="External"/><Relationship Id="rId45" Type="http://schemas.openxmlformats.org/officeDocument/2006/relationships/hyperlink" Target="https://vk.com/public170438171" TargetMode="External"/><Relationship Id="rId87" Type="http://schemas.openxmlformats.org/officeDocument/2006/relationships/hyperlink" Target="http://&#1089;&#1072;&#1084;&#1073;&#1091;&#1088;&#1075;.&#1088;&#1092;/informaciya-o-proekte.html" TargetMode="External"/><Relationship Id="rId110" Type="http://schemas.openxmlformats.org/officeDocument/2006/relationships/hyperlink" Target="http://harampur.ru/planirovanie-byudzheta.html" TargetMode="External"/><Relationship Id="rId348" Type="http://schemas.openxmlformats.org/officeDocument/2006/relationships/hyperlink" Target="http://budget.admsurgut.ru/budget/330738467" TargetMode="External"/><Relationship Id="rId152" Type="http://schemas.openxmlformats.org/officeDocument/2006/relationships/hyperlink" Target="http://&#1075;&#1088;&#1072;&#1095;&#1077;&#1074;&#1089;&#1082;&#1080;&#1081;-&#1088;&#1072;&#1081;&#1086;&#1085;.&#1088;&#1092;/about/operativnoe-preduprezhdenie-mchs/&#1055;&#1088;&#1077;&#1079;&#1077;&#1085;&#1090;&#1072;&#1094;&#1080;&#1103;%20&#1087;&#1088;&#1086;&#1077;&#1082;&#1090;&#1072;%20&#1053;&#1072;&#1088;&#1086;&#1076;&#1085;&#1099;&#1081;%20&#1073;&#1102;&#1076;&#1078;&#1077;&#1090;%20&#1089;%20&#1075;&#1088;&#1072;&#1095;&#1077;&#1084;.ppt" TargetMode="External"/><Relationship Id="rId194" Type="http://schemas.openxmlformats.org/officeDocument/2006/relationships/hyperlink" Target="https://dzhankoy.rk.gov.ru/uploads/txteditor/dzhankoy/attachments/d4/1d/8c/d98f00b204e9800998ecf8427e/phpqeL7To_prot.pdf" TargetMode="External"/><Relationship Id="rId208" Type="http://schemas.openxmlformats.org/officeDocument/2006/relationships/hyperlink" Target="https://stavstat.gks.ru/contacts" TargetMode="External"/><Relationship Id="rId415" Type="http://schemas.openxmlformats.org/officeDocument/2006/relationships/hyperlink" Target="http://admkonda.ru/narodnyy-byudzhet-0.html" TargetMode="External"/><Relationship Id="rId457" Type="http://schemas.openxmlformats.org/officeDocument/2006/relationships/hyperlink" Target="http://admlyhma.ru/admininstration-actions/budget/proactive/" TargetMode="External"/><Relationship Id="rId261" Type="http://schemas.openxmlformats.org/officeDocument/2006/relationships/hyperlink" Target="https://www.gks.ru/scripts/db_inet2/passport/table.aspx?opt=736201512020" TargetMode="External"/><Relationship Id="rId14" Type="http://schemas.openxmlformats.org/officeDocument/2006/relationships/hyperlink" Target="https://lbt.yanao.ru/activity/730/" TargetMode="External"/><Relationship Id="rId56" Type="http://schemas.openxmlformats.org/officeDocument/2006/relationships/hyperlink" Target="http://www.admin-moovg.ru/documents/1255.html;" TargetMode="External"/><Relationship Id="rId317" Type="http://schemas.openxmlformats.org/officeDocument/2006/relationships/hyperlink" Target="http://alapaevskoe.ru/article/show/id/10121" TargetMode="External"/><Relationship Id="rId359" Type="http://schemas.openxmlformats.org/officeDocument/2006/relationships/hyperlink" Target="https://admhmansy.ru/rule/admhmansy/adm/department-of-finance-management/new-byudzhet/initsiativnoe-byudzhetirovanie/" TargetMode="External"/><Relationship Id="rId98" Type="http://schemas.openxmlformats.org/officeDocument/2006/relationships/hyperlink" Target="http://www.purovskoe.ru/" TargetMode="External"/><Relationship Id="rId121" Type="http://schemas.openxmlformats.org/officeDocument/2006/relationships/hyperlink" Target="http://glazrayon.ru/city/fin/podderzhka/konkurs/" TargetMode="External"/><Relationship Id="rId163" Type="http://schemas.openxmlformats.org/officeDocument/2006/relationships/hyperlink" Target="http://&#1087;&#1077;&#1088;&#1074;&#1086;&#1084;&#1072;&#1081;&#1089;&#1082;&#1080;&#1081;-&#1087;&#1086;&#1089;&#1089;&#1086;&#1074;&#1077;&#1090;.&#1088;&#1092;/?page_id=7713" TargetMode="External"/><Relationship Id="rId219"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370" Type="http://schemas.openxmlformats.org/officeDocument/2006/relationships/hyperlink" Target="http://budjet-dlya-grajdan.admpokachi.ru/initsiativnoe-byudzhetirovanie/konkursy/rabota-komissii/" TargetMode="External"/><Relationship Id="rId426" Type="http://schemas.openxmlformats.org/officeDocument/2006/relationships/hyperlink" Target="http://admkuma.ru/polozhenie-o-provedenii-konkursnogo-otbora-proektov-narodnyy-byudzhet-v-gorodskom-poselenii-kuminskiy.html" TargetMode="External"/><Relationship Id="rId230" Type="http://schemas.openxmlformats.org/officeDocument/2006/relationships/hyperlink" Target="https://uln.gks.ru/search?q=&#1095;&#1080;&#1089;&#1083;&#1077;&#1085;&#1085;&#1086;&#1089;&#1090;&#1100;+&#1042;&#1077;&#1096;&#1082;&#1072;&#1081;&#1084;&#1089;&#1082;&#1086;&#1075;&#1086;+&#1088;&#1072;&#1081;&#1086;&#1085;&#1072;" TargetMode="External"/><Relationship Id="rId468" Type="http://schemas.openxmlformats.org/officeDocument/2006/relationships/vmlDrawing" Target="../drawings/vmlDrawing4.vml"/><Relationship Id="rId25" Type="http://schemas.openxmlformats.org/officeDocument/2006/relationships/hyperlink" Target="http://www.muravlenko24.ru/" TargetMode="External"/><Relationship Id="rId67" Type="http://schemas.openxmlformats.org/officeDocument/2006/relationships/hyperlink" Target="http://www.adminbelka.ru/tinybrowser/files/dokumenty/postanovleniya/2019/22/protokol.pdf" TargetMode="External"/><Relationship Id="rId272" Type="http://schemas.openxmlformats.org/officeDocument/2006/relationships/hyperlink" Target="http://terenga.ru/node/10485" TargetMode="External"/><Relationship Id="rId328" Type="http://schemas.openxmlformats.org/officeDocument/2006/relationships/hyperlink" Target="https://www.gks.ru/scripts/db_inet2/passport/table.aspx?opt=718110002020" TargetMode="External"/><Relationship Id="rId132" Type="http://schemas.openxmlformats.org/officeDocument/2006/relationships/hyperlink" Target="https://www.finuprgaj.ru/&#1086;&#1090;&#1082;&#1088;&#1099;&#1090;&#1099;&#1081;-&#1073;&#1102;&#1076;&#1078;&#1077;&#1090;/&#1085;&#1072;&#1088;&#1086;&#1076;&#1085;&#1099;&#1081;-&#1073;&#1102;&#1076;&#1078;&#1077;&#1090;-2/&#1076;&#1086;&#1082;&#1091;&#1084;&#1077;&#1085;&#1090;&#1099;" TargetMode="External"/><Relationship Id="rId174" Type="http://schemas.openxmlformats.org/officeDocument/2006/relationships/hyperlink" Target="https://old.kaluga-gov.ru/?q=&#1080;&#1085;&#1080;&#1094;&#1080;&#1072;&#1090;&#1080;&#1074;&#1085;&#1086;&#1077;-&#1073;&#1102;&#1076;&#1078;&#1077;&#1090;&#1080;&#1088;&#1086;&#1074;&#1072;&#1085;&#1080;&#1077;_442365699" TargetMode="External"/><Relationship Id="rId381" Type="http://schemas.openxmlformats.org/officeDocument/2006/relationships/hyperlink" Target="http://www.statdata.ru/naselenie/naselenie-hmao" TargetMode="External"/><Relationship Id="rId241" Type="http://schemas.openxmlformats.org/officeDocument/2006/relationships/hyperlink" Target="http://inza.ulregion.ru/organ_vlasti/107/8945.html" TargetMode="External"/><Relationship Id="rId437" Type="http://schemas.openxmlformats.org/officeDocument/2006/relationships/hyperlink" Target="http://www.admkonda.ru/rezul-taty-oprosov.html" TargetMode="External"/><Relationship Id="rId36" Type="http://schemas.openxmlformats.org/officeDocument/2006/relationships/hyperlink" Target="http://nadymregion.ru/local-government/administration/byudzhetnaya-initsiativa-grazhdan.php" TargetMode="External"/><Relationship Id="rId283" Type="http://schemas.openxmlformats.org/officeDocument/2006/relationships/hyperlink" Target="https://uln.gks.ru/search?q=&#1095;&#1080;&#1089;&#1083;&#1077;&#1085;&#1085;&#1086;&#1089;&#1090;&#1100;+&#1042;&#1077;&#1096;&#1082;&#1072;&#1081;&#1084;&#1089;&#1082;&#1086;&#1075;&#1086;+&#1088;&#1072;&#1081;&#1086;&#1085;&#1072;" TargetMode="External"/><Relationship Id="rId339" Type="http://schemas.openxmlformats.org/officeDocument/2006/relationships/hyperlink" Target="http://uray.ru/v-urae-startovala-ezhegodnaja-akcija-100-predlozhenij-v-narodnyj-bjudzhet/" TargetMode="External"/><Relationship Id="rId78" Type="http://schemas.openxmlformats.org/officeDocument/2006/relationships/hyperlink" Target="https://www.puradm.ru/one-doc/8209" TargetMode="External"/><Relationship Id="rId101" Type="http://schemas.openxmlformats.org/officeDocument/2006/relationships/hyperlink" Target="https://rosstat.gov.ru/compendium/document/13282" TargetMode="External"/><Relationship Id="rId143" Type="http://schemas.openxmlformats.org/officeDocument/2006/relationships/hyperlink" Target="http://finotdel-akbulak.ru/index.php?option=com_content&amp;view=article&amp;id=202&amp;Itemid=117" TargetMode="External"/><Relationship Id="rId185" Type="http://schemas.openxmlformats.org/officeDocument/2006/relationships/hyperlink" Target="http://budget.magnitogorsk.ru/Show/Category/2?ItemId=111" TargetMode="External"/><Relationship Id="rId350" Type="http://schemas.openxmlformats.org/officeDocument/2006/relationships/hyperlink" Target="https://www.admrad.ru/%d0%b8%d1%82%d0%be%d0%b3%d0%b8-%d1%81%d0%be%d1%86%d0%b8%d0%b0%d0%bb%d1%8c%d0%bd%d0%be-%d1%8d%d0%ba%d0%be%d0%bd%d0%be%d0%bc%d0%b8%d1%87%d0%b5%d1%81%d0%ba%d0%be%d0%b3%d0%be-%d1%80%d0%b0%d0%b7%d0%b2-16/" TargetMode="External"/><Relationship Id="rId406" Type="http://schemas.openxmlformats.org/officeDocument/2006/relationships/hyperlink" Target="http://www.statdata.ru/naselenie/naselenie-hmao" TargetMode="External"/><Relationship Id="rId9" Type="http://schemas.openxmlformats.org/officeDocument/2006/relationships/hyperlink" Target="https://www.salekhard.org/about/info/news/16393/" TargetMode="External"/><Relationship Id="rId210" Type="http://schemas.openxmlformats.org/officeDocument/2006/relationships/hyperlink" Target="https://admnvrsk.ru/dokumenty/dokumenty-administratsii/normativnye-pravovye-akty/postanovlenija/document-20190620114643-159789/?sphrase_id=10454" TargetMode="External"/><Relationship Id="rId392" Type="http://schemas.openxmlformats.org/officeDocument/2006/relationships/hyperlink" Target="http://admpioner.ru/Katalog/" TargetMode="External"/><Relationship Id="rId448" Type="http://schemas.openxmlformats.org/officeDocument/2006/relationships/hyperlink" Target="http://vkazym.ru/admininstration-actions/budget/initiative_budgeting/?ELEMENT_ID=56917" TargetMode="External"/><Relationship Id="rId252" Type="http://schemas.openxmlformats.org/officeDocument/2006/relationships/hyperlink" Target="http://kuzovatovo.ulregion.ru/5889/posel/10.html" TargetMode="External"/><Relationship Id="rId294" Type="http://schemas.openxmlformats.org/officeDocument/2006/relationships/hyperlink" Target="https://novgorodstat.gks.ru/storage/mediabank/%D0%9D%D0%B0%D1%81%D0%B5%D0%BB%D0%B5%D0%BD%D0%B8%D0%B5%202020.pdf" TargetMode="External"/><Relationship Id="rId308" Type="http://schemas.openxmlformats.org/officeDocument/2006/relationships/hyperlink" Target="http://www.zdsamara.ru/regulatory/munitsipalnye-pravovye-akty/2525/" TargetMode="External"/><Relationship Id="rId47" Type="http://schemas.openxmlformats.org/officeDocument/2006/relationships/hyperlink" Target="http://azov-adm.ru/documents/2777.html" TargetMode="External"/><Relationship Id="rId89" Type="http://schemas.openxmlformats.org/officeDocument/2006/relationships/hyperlink" Target="http://&#1089;&#1072;&#1084;&#1073;&#1091;&#1088;&#1075;.&#1088;&#1092;/ispolnenie-proekta.html" TargetMode="External"/><Relationship Id="rId112" Type="http://schemas.openxmlformats.org/officeDocument/2006/relationships/hyperlink" Target="http://&#1079;&#1072;&#1074;&#1100;&#1103;&#1083;&#1086;&#1074;&#1089;&#1082;&#1080;&#1081;.&#1088;&#1092;/about/news/news/za-preobrazhenie/" TargetMode="External"/><Relationship Id="rId154" Type="http://schemas.openxmlformats.org/officeDocument/2006/relationships/hyperlink" Target="http://krasnogvardfo.ru/assets/files/113-npa.rar" TargetMode="External"/><Relationship Id="rId361" Type="http://schemas.openxmlformats.org/officeDocument/2006/relationships/hyperlink" Target="https://vk.com/myvmestexm" TargetMode="External"/><Relationship Id="rId196" Type="http://schemas.openxmlformats.org/officeDocument/2006/relationships/hyperlink" Target="https://dzhankoy.rk.gov.ru/uploads/txteditor/dzhankoy/attachments/d4/1d/8c/d98f00b204e9800998ecf8427e/phpkuqS1f_1.pdf" TargetMode="External"/><Relationship Id="rId417" Type="http://schemas.openxmlformats.org/officeDocument/2006/relationships/hyperlink" Target="http://www.shugur.ru/documents/1396.html" TargetMode="External"/><Relationship Id="rId459" Type="http://schemas.openxmlformats.org/officeDocument/2006/relationships/hyperlink" Target="https://www.gks.ru/scripts/db_inet2/passport/table.aspx?opt=718114202020" TargetMode="External"/><Relationship Id="rId16" Type="http://schemas.openxmlformats.org/officeDocument/2006/relationships/hyperlink" Target="https://&#1078;&#1080;&#1074;&#1105;&#1084;&#1085;&#1072;&#1089;&#1077;&#1074;&#1077;&#1088;&#1077;.&#1088;&#1092;/" TargetMode="External"/><Relationship Id="rId221"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263" Type="http://schemas.openxmlformats.org/officeDocument/2006/relationships/hyperlink" Target="https://uln.gks.ru/folder/40275" TargetMode="External"/><Relationship Id="rId319" Type="http://schemas.openxmlformats.org/officeDocument/2006/relationships/hyperlink" Target="https://sverdl.gks.ru/storage/mediabank/&#1063;&#1080;&#1089;&#1083;.&#1052;&#1054;_2020.xls" TargetMode="External"/><Relationship Id="rId58" Type="http://schemas.openxmlformats.org/officeDocument/2006/relationships/hyperlink" Target="http://&#1087;&#1080;&#1090;&#1083;&#1103;&#1088;.&#1088;&#1092;/byudzhetnaya-initsiativa-grazhdan" TargetMode="External"/><Relationship Id="rId123" Type="http://schemas.openxmlformats.org/officeDocument/2006/relationships/hyperlink" Target="https://www.gks.ru/scripts/db_inet2/passport/table.aspx?opt=946060002020" TargetMode="External"/><Relationship Id="rId330" Type="http://schemas.openxmlformats.org/officeDocument/2006/relationships/hyperlink" Target="http://www.admbel.ru/local-control/administration/finans/part/" TargetMode="External"/><Relationship Id="rId165" Type="http://schemas.openxmlformats.org/officeDocument/2006/relationships/hyperlink" Target="http://fin-or.ru/ckfinder/userfiles/images/&#1085;&#1072;&#1088;&#1086;&#1076;&#1085;&#1099;&#1081;%20&#1073;&#1102;&#1076;&#1078;&#1077;&#1090;2.jpg" TargetMode="External"/><Relationship Id="rId372" Type="http://schemas.openxmlformats.org/officeDocument/2006/relationships/hyperlink" Target="http://www.admnyagan.ru/img/bn/tvoivibor1.jpg" TargetMode="External"/><Relationship Id="rId428" Type="http://schemas.openxmlformats.org/officeDocument/2006/relationships/hyperlink" Target="http://admkuma.ru/narodnyy-byudzhet.html" TargetMode="External"/><Relationship Id="rId232" Type="http://schemas.openxmlformats.org/officeDocument/2006/relationships/hyperlink" Target="http://www.b-nagatkinskoe.ru/" TargetMode="External"/><Relationship Id="rId274" Type="http://schemas.openxmlformats.org/officeDocument/2006/relationships/hyperlink" Target="http://ulraion.ru/page/230" TargetMode="External"/><Relationship Id="rId27" Type="http://schemas.openxmlformats.org/officeDocument/2006/relationships/hyperlink" Target="https://tumstat.gks.ru/ofstat_ynao" TargetMode="External"/><Relationship Id="rId69" Type="http://schemas.openxmlformats.org/officeDocument/2006/relationships/hyperlink" Target="http://www.&#1078;&#1080;&#1074;&#1105;&#1084;&#1085;&#1072;&#1089;&#1077;&#1074;&#1077;&#1088;&#1077;.&#1088;&#1091;/" TargetMode="External"/><Relationship Id="rId134" Type="http://schemas.openxmlformats.org/officeDocument/2006/relationships/hyperlink" Target="https://www.finuprgaj.ru/&#1086;&#1090;&#1082;&#1088;&#1099;&#1090;&#1099;&#1081;-&#1073;&#1102;&#1076;&#1078;&#1077;&#1090;/&#1085;&#1072;&#1088;&#1086;&#1076;&#1085;&#1099;&#1081;-&#1073;&#1102;&#1076;&#1078;&#1077;&#1090;-2/&#1076;&#1086;&#1082;&#1091;&#1084;&#1077;&#1085;&#1090;&#1099;" TargetMode="External"/><Relationship Id="rId80" Type="http://schemas.openxmlformats.org/officeDocument/2006/relationships/hyperlink" Target="http://dfik.ru/images/files/protokol_20052020.pdf" TargetMode="External"/><Relationship Id="rId176" Type="http://schemas.openxmlformats.org/officeDocument/2006/relationships/hyperlink" Target="http://admbalabanovo.ru/economica/initsiativnye-proekty/dokumenty/arkhiv.php" TargetMode="External"/><Relationship Id="rId341" Type="http://schemas.openxmlformats.org/officeDocument/2006/relationships/hyperlink" Target="https://admsr.ru/budget/initsiativnoe-byudzhetirovanie/" TargetMode="External"/><Relationship Id="rId383" Type="http://schemas.openxmlformats.org/officeDocument/2006/relationships/hyperlink" Target="https://admmegion.ru/gov/laws/index.php?ELEMENT_ID=329183" TargetMode="External"/><Relationship Id="rId439" Type="http://schemas.openxmlformats.org/officeDocument/2006/relationships/hyperlink" Target="http://www.admkonda.ru/nb-normativnye-dokumenty.html" TargetMode="External"/><Relationship Id="rId201" Type="http://schemas.openxmlformats.org/officeDocument/2006/relationships/hyperlink" Target="https://ishim.admtyumen.ru/mo/Ishim/economics/more.htm?id=11872606@cmsArticle" TargetMode="External"/><Relationship Id="rId243" Type="http://schemas.openxmlformats.org/officeDocument/2006/relationships/hyperlink" Target="https://ok.ru/novostiinz/topic/152484000597493" TargetMode="External"/><Relationship Id="rId285" Type="http://schemas.openxmlformats.org/officeDocument/2006/relationships/hyperlink" Target="http://&#1092;&#1080;&#1085;-73.&#1088;&#1092;/otkrytyj-byudzhet/2015-05-26-06-06-49/narodnyj-byudzhet-2017/otbor.html" TargetMode="External"/><Relationship Id="rId450" Type="http://schemas.openxmlformats.org/officeDocument/2006/relationships/hyperlink" Target="http://vkazym.ru/admininstration-actions/budget/initiative_budgeting/?ELEMENT_ID=65155" TargetMode="External"/><Relationship Id="rId38" Type="http://schemas.openxmlformats.org/officeDocument/2006/relationships/hyperlink" Target="https://tumstat.gks.ru/" TargetMode="External"/><Relationship Id="rId103" Type="http://schemas.openxmlformats.org/officeDocument/2006/relationships/hyperlink" Target="https://trk-luch.ru/news/idei-voploshchayutsya-zdes-i-seychas/?sphrase_id=66426" TargetMode="External"/><Relationship Id="rId310" Type="http://schemas.openxmlformats.org/officeDocument/2006/relationships/hyperlink" Target="https://samarastat.gks.ru/population" TargetMode="External"/><Relationship Id="rId91" Type="http://schemas.openxmlformats.org/officeDocument/2006/relationships/hyperlink" Target="https://rosstat.gov.ru/compendium/document/13282" TargetMode="External"/><Relationship Id="rId145" Type="http://schemas.openxmlformats.org/officeDocument/2006/relationships/hyperlink" Target="https://www.sites.google.com/site/ruregdatav1/naselenie/orenburgskoj-oblasti" TargetMode="External"/><Relationship Id="rId187" Type="http://schemas.openxmlformats.org/officeDocument/2006/relationships/hyperlink" Target="http://www.1maysk.ru/index.php?option=com_content&amp;view=article&amp;id=9668:2019-05-17-11-17-37&amp;catid=256:2017-10-17-07-22-16&amp;Itemid=100087" TargetMode="External"/><Relationship Id="rId352" Type="http://schemas.openxmlformats.org/officeDocument/2006/relationships/hyperlink" Target="http://oktregion.ru/ekonomika-i-finansy/byudzhet-dlya-grazhdan/initsiativnoe-byudzhetirovanie/konkursy-proektov-initsiativnogo-byudzhetirovaniya/konkurs-proektov-initsiativnogo-byudzhetirovaniya-2020-god-55/" TargetMode="External"/><Relationship Id="rId394" Type="http://schemas.openxmlformats.org/officeDocument/2006/relationships/hyperlink" Target="http://admpioner.ru/Katalog/20201" TargetMode="External"/><Relationship Id="rId408" Type="http://schemas.openxmlformats.org/officeDocument/2006/relationships/hyperlink" Target="https://vk.com/id84654767?w=wall84654767_1304" TargetMode="External"/><Relationship Id="rId212" Type="http://schemas.openxmlformats.org/officeDocument/2006/relationships/hyperlink" Target="https://askino.bashkortostan.ru/projects/506/" TargetMode="External"/><Relationship Id="rId254" Type="http://schemas.openxmlformats.org/officeDocument/2006/relationships/hyperlink" Target="http://kuzovatovo.ulregion.ru/5906/5914/17247/17253.html" TargetMode="External"/><Relationship Id="rId49" Type="http://schemas.openxmlformats.org/officeDocument/2006/relationships/hyperlink" Target="http://adm-gorki.ru/documents/224.html" TargetMode="External"/><Relationship Id="rId114" Type="http://schemas.openxmlformats.org/officeDocument/2006/relationships/hyperlink" Target="http://&#1079;&#1072;&#1074;&#1100;&#1103;&#1083;&#1086;&#1074;&#1089;&#1082;&#1080;&#1081;.&#1088;&#1092;/about/ekonomika/initsiativnoe-byudzhetirovanie/rezultaty-konkursnykh-protsedur-po-podderzhke-proektov/index.php" TargetMode="External"/><Relationship Id="rId296" Type="http://schemas.openxmlformats.org/officeDocument/2006/relationships/hyperlink" Target="https://novgorodstat.gks.ru/storage/mediabank/%D0%9D%D0%B0%D1%81%D0%B5%D0%BB%D0%B5%D0%BD%D0%B8%D0%B5%202020.pdf" TargetMode="External"/><Relationship Id="rId461" Type="http://schemas.openxmlformats.org/officeDocument/2006/relationships/hyperlink" Target="http://&#1072;&#1076;&#1084;&#1089;&#1086;&#1089;&#1085;&#1086;&#1074;&#1082;&#1072;.&#1088;&#1092;/local-control/administtion/budget/proactive/?ELEMENT_ID=49863" TargetMode="External"/><Relationship Id="rId60" Type="http://schemas.openxmlformats.org/officeDocument/2006/relationships/hyperlink" Target="http://adminshur.ru/budjetnaya_iniciativa_grajdan_2019" TargetMode="External"/><Relationship Id="rId156" Type="http://schemas.openxmlformats.org/officeDocument/2006/relationships/hyperlink" Target="http://finotdnovoorsk.ru/postanovlenie-o-narodnom-byudzhete" TargetMode="External"/><Relationship Id="rId198" Type="http://schemas.openxmlformats.org/officeDocument/2006/relationships/hyperlink" Target="http://www.tyumen-city.ru/ekonomika/finansi/iniciativnoe-budjetirovanie/" TargetMode="External"/><Relationship Id="rId321" Type="http://schemas.openxmlformats.org/officeDocument/2006/relationships/hyperlink" Target="https://www.gks.ru/scripts/db_inet2/passport/munr.aspx?base=munst65" TargetMode="External"/><Relationship Id="rId363" Type="http://schemas.openxmlformats.org/officeDocument/2006/relationships/hyperlink" Target="http://hmrn.ru/raion/ekonomika/ser/passport_socio_economic_situation/index.php" TargetMode="External"/><Relationship Id="rId419" Type="http://schemas.openxmlformats.org/officeDocument/2006/relationships/hyperlink" Target="http://lugovoikonda.ru/narodnyy-byudzhet.html" TargetMode="External"/><Relationship Id="rId223" Type="http://schemas.openxmlformats.org/officeDocument/2006/relationships/hyperlink" Target="https://bsizgan.ulregion.ru/npa/par-2017/6990.html" TargetMode="External"/><Relationship Id="rId430" Type="http://schemas.openxmlformats.org/officeDocument/2006/relationships/hyperlink" Target="https://www.gks.ru/scripts/db_inet2/passport/table.aspx?opt=718161512020" TargetMode="External"/><Relationship Id="rId18" Type="http://schemas.openxmlformats.org/officeDocument/2006/relationships/hyperlink" Target="http://budget.depfinnbr.ru/initsiativnoe-byudzhetirovanie/proekt-ritm" TargetMode="External"/><Relationship Id="rId265" Type="http://schemas.openxmlformats.org/officeDocument/2006/relationships/hyperlink" Target="http://www.radishevo.ulregion.ru/" TargetMode="External"/><Relationship Id="rId125" Type="http://schemas.openxmlformats.org/officeDocument/2006/relationships/hyperlink" Target="https://www.gks.ru/scripts/db_inet2/passport/pass.aspx?base=munst53&amp;r=53712000" TargetMode="External"/><Relationship Id="rId167" Type="http://schemas.openxmlformats.org/officeDocument/2006/relationships/hyperlink" Target="http://fintotsk.ru/hearing/11" TargetMode="External"/><Relationship Id="rId332" Type="http://schemas.openxmlformats.org/officeDocument/2006/relationships/hyperlink" Target="https://disk.yandex.ru/i/1fg3x-v0cUKr_A" TargetMode="External"/><Relationship Id="rId374" Type="http://schemas.openxmlformats.org/officeDocument/2006/relationships/hyperlink" Target="https://www.gp-izluchinsk.ru/budjetgp/initsiativnoe-byudzhetirovanie/2020.php" TargetMode="External"/><Relationship Id="rId71" Type="http://schemas.openxmlformats.org/officeDocument/2006/relationships/hyperlink" Target="https://vk.com/molsovetyamal" TargetMode="External"/><Relationship Id="rId234" Type="http://schemas.openxmlformats.org/officeDocument/2006/relationships/hyperlink" Target="https://mo-veshkaima.ru/view_news.php?id=14236" TargetMode="External"/><Relationship Id="rId2" Type="http://schemas.openxmlformats.org/officeDocument/2006/relationships/hyperlink" Target="http://www.mozhga-rayon.ru/about/info/initsiativnoe-byudzhetirovanie-nashe-selo/" TargetMode="External"/><Relationship Id="rId29" Type="http://schemas.openxmlformats.org/officeDocument/2006/relationships/hyperlink" Target="https://&#1078;&#1080;&#1074;&#1105;&#1084;&#1085;&#1072;&#1089;&#1077;&#1074;&#1077;&#1088;&#1077;.&#1088;&#1092;/homely/" TargetMode="External"/><Relationship Id="rId276" Type="http://schemas.openxmlformats.org/officeDocument/2006/relationships/hyperlink" Target="https://cherdakli.com/?p=424;" TargetMode="External"/><Relationship Id="rId441" Type="http://schemas.openxmlformats.org/officeDocument/2006/relationships/hyperlink" Target="http://pripolarny.ru/konkurs_po_otboru_proektov_initsiativnogo_byudzhetirovaniya_v_selskom_poselenii_pripolyarnyy_2020_god" TargetMode="External"/><Relationship Id="rId40" Type="http://schemas.openxmlformats.org/officeDocument/2006/relationships/hyperlink" Target="https://www.admmuji.ru/file/94m3w3cxe" TargetMode="External"/><Relationship Id="rId136" Type="http://schemas.openxmlformats.org/officeDocument/2006/relationships/hyperlink" Target="http://sorochinsk56.ru/index.php?id=2119" TargetMode="External"/><Relationship Id="rId178" Type="http://schemas.openxmlformats.org/officeDocument/2006/relationships/hyperlink" Target="https://ok.ru/video/3616412864839" TargetMode="External"/><Relationship Id="rId301" Type="http://schemas.openxmlformats.org/officeDocument/2006/relationships/hyperlink" Target="https://yadi.sk/i/S3VNNsdL57pYeg" TargetMode="External"/><Relationship Id="rId343" Type="http://schemas.openxmlformats.org/officeDocument/2006/relationships/hyperlink" Target="https://www.admsr.ru/upload/iblock/65b/3257_npa.docx" TargetMode="External"/><Relationship Id="rId82" Type="http://schemas.openxmlformats.org/officeDocument/2006/relationships/hyperlink" Target="https://rosstat.gov.ru/compendium/document/13282" TargetMode="External"/><Relationship Id="rId203" Type="http://schemas.openxmlformats.org/officeDocument/2006/relationships/hyperlink" Target="https://amursk.ru/index.php?option=com_content&amp;task=view&amp;id=11714&amp;Itemid=361" TargetMode="External"/><Relationship Id="rId385" Type="http://schemas.openxmlformats.org/officeDocument/2006/relationships/hyperlink" Target="https://depfin.admmegion.ru/initiative_budget/" TargetMode="External"/><Relationship Id="rId19" Type="http://schemas.openxmlformats.org/officeDocument/2006/relationships/hyperlink" Target="https://vk.com/public183473795?z=photo-126323035_457253760%2Fwall-183473795_24" TargetMode="External"/><Relationship Id="rId224" Type="http://schemas.openxmlformats.org/officeDocument/2006/relationships/hyperlink" Target="https://www.gks.ru/scripts/db_inet2/passport/table.aspx?opt=736021512020" TargetMode="External"/><Relationship Id="rId245" Type="http://schemas.openxmlformats.org/officeDocument/2006/relationships/hyperlink" Target="https://uln.gks.ru/search?q=&#1095;&#1080;&#1089;&#1083;&#1077;&#1085;&#1085;&#1086;&#1089;&#1090;&#1100;+&#1042;&#1077;&#1096;&#1082;&#1072;&#1081;&#1084;&#1089;&#1082;&#1086;&#1075;&#1086;+&#1088;&#1072;&#1081;&#1086;&#1085;&#1072;" TargetMode="External"/><Relationship Id="rId266" Type="http://schemas.openxmlformats.org/officeDocument/2006/relationships/hyperlink" Target="http://www.sengilej.ru/filemanager.aspx?folderid=433" TargetMode="External"/><Relationship Id="rId287" Type="http://schemas.openxmlformats.org/officeDocument/2006/relationships/hyperlink" Target="http://&#1092;&#1080;&#1085;-73.&#1088;&#1092;/otkrytyj-byudzhet/2015-05-26-06-06-49/narodnyj-byudzhet-2020-god.html" TargetMode="External"/><Relationship Id="rId410" Type="http://schemas.openxmlformats.org/officeDocument/2006/relationships/hyperlink" Target="https://vk.com/id84654767?w=wall84654767_1304" TargetMode="External"/><Relationship Id="rId431" Type="http://schemas.openxmlformats.org/officeDocument/2006/relationships/hyperlink" Target="http://www.admkonda.ru/narodnyy-byudzhet-gp-kondinskoe.html" TargetMode="External"/><Relationship Id="rId452" Type="http://schemas.openxmlformats.org/officeDocument/2006/relationships/hyperlink" Target="http://admkazym.ru/local-control/administtion/budget/proactive/" TargetMode="External"/><Relationship Id="rId30" Type="http://schemas.openxmlformats.org/officeDocument/2006/relationships/hyperlink" Target="https://&#1078;&#1080;&#1074;&#1105;&#1084;&#1085;&#1072;&#1089;&#1077;&#1074;&#1077;&#1088;&#1077;.&#1088;&#1092;/" TargetMode="External"/><Relationship Id="rId105" Type="http://schemas.openxmlformats.org/officeDocument/2006/relationships/hyperlink" Target="https://rosstat.gov.ru/compendium/document/13282" TargetMode="External"/><Relationship Id="rId126" Type="http://schemas.openxmlformats.org/officeDocument/2006/relationships/hyperlink" Target="http://&#1073;&#1091;&#1079;&#1091;&#1083;&#1091;&#1082;.&#1088;&#1092;/%D0%BE%D0%BF%D1%80%D0%BE%D1%81/%D0%BA%D0%B0%D0%BA-%D0%B2%D1%8B-%D1%81%D1%87%D0%B8%D1%82%D0%B0%D0%B5%D1%82%D0%B5-%D0%B2-%D0%BA%D0%B0%D0%BA%D0%BE%D0%BC-%D0%B8%D0%B7-%D0%BF%D0%B5%D1%80%D0%B5%D1%87%D0%B8%D1%81%D0%BB%D0%B5%D0%BD%25" TargetMode="External"/><Relationship Id="rId147" Type="http://schemas.openxmlformats.org/officeDocument/2006/relationships/hyperlink" Target="https://rosstat.gov.ru/compendium/document/13282?print=1" TargetMode="External"/><Relationship Id="rId168" Type="http://schemas.openxmlformats.org/officeDocument/2006/relationships/hyperlink" Target="https://vk.com/fintotsk?w=poll-163040897_365024420" TargetMode="External"/><Relationship Id="rId312" Type="http://schemas.openxmlformats.org/officeDocument/2006/relationships/hyperlink" Target="https://twitter.com/AdmSamRna/status/1372144550836379663" TargetMode="External"/><Relationship Id="rId333" Type="http://schemas.openxmlformats.org/officeDocument/2006/relationships/hyperlink" Target="https://berezovo.ru/activity/finance/initsiativnoe-byudzhetirovanie/" TargetMode="External"/><Relationship Id="rId354" Type="http://schemas.openxmlformats.org/officeDocument/2006/relationships/hyperlink" Target="http://www.statdata.ru/naselenie/naselenie-hmao" TargetMode="External"/><Relationship Id="rId51" Type="http://schemas.openxmlformats.org/officeDocument/2006/relationships/hyperlink" Target="http://spmuzhi.ru/wp-content/uploads/2020/11/%E2%84%96477019_21_11_2020.pdf" TargetMode="External"/><Relationship Id="rId72" Type="http://schemas.openxmlformats.org/officeDocument/2006/relationships/hyperlink" Target="https://www.gks.ru/scripts/db_inet2/passport/table.aspx?opt=719284172020" TargetMode="External"/><Relationship Id="rId93" Type="http://schemas.openxmlformats.org/officeDocument/2006/relationships/hyperlink" Target="http://hanimey.ru/tinybrowser/files/budgetnaya-iniciativa/2020/01/2_attach.pdf" TargetMode="External"/><Relationship Id="rId189" Type="http://schemas.openxmlformats.org/officeDocument/2006/relationships/hyperlink" Target="http://poltav.poltav.omskportal.ru/omsu/poltav-3-52-248-1/poseleniya/poltavskoe-gorodskoe/programmy/Soc_ekonom" TargetMode="External"/><Relationship Id="rId375" Type="http://schemas.openxmlformats.org/officeDocument/2006/relationships/hyperlink" Target="http://nvraion.ru/ekonomika-i-finansy/initsiativnoe-byudzhetirovanie/" TargetMode="External"/><Relationship Id="rId396" Type="http://schemas.openxmlformats.org/officeDocument/2006/relationships/hyperlink" Target="https://taiga.admsov.com/action/in-bu.php" TargetMode="External"/><Relationship Id="rId3" Type="http://schemas.openxmlformats.org/officeDocument/2006/relationships/hyperlink" Target="http://www.mozhga-rayon.ru/about/info/initsiativnoe-byudzhetirovanie-nashe-selo/" TargetMode="External"/><Relationship Id="rId214" Type="http://schemas.openxmlformats.org/officeDocument/2006/relationships/hyperlink" Target="https://blagoveshensk.bashkortostan.ru/documents/active/260746/" TargetMode="External"/><Relationship Id="rId235" Type="http://schemas.openxmlformats.org/officeDocument/2006/relationships/hyperlink" Target="https://uln.gks.ru/search?q=&#1095;&#1080;&#1089;&#1083;&#1077;&#1085;&#1085;&#1086;&#1089;&#1090;&#1100;+&#1042;&#1077;&#1096;&#1082;&#1072;&#1081;&#1084;&#1089;&#1082;&#1086;&#1075;&#1086;+&#1088;&#1072;&#1081;&#1086;&#1085;&#1072;" TargetMode="External"/><Relationship Id="rId256" Type="http://schemas.openxmlformats.org/officeDocument/2006/relationships/hyperlink" Target="mailto:kuz-fu@mail.ru." TargetMode="External"/><Relationship Id="rId277" Type="http://schemas.openxmlformats.org/officeDocument/2006/relationships/hyperlink" Target="https://ok.ru/profile/569954170553" TargetMode="External"/><Relationship Id="rId298" Type="http://schemas.openxmlformats.org/officeDocument/2006/relationships/hyperlink" Target="https://novgorodstat.gks.ru/storage/mediabank/%D0%9D%D0%B0%D1%81%D0%B5%D0%BB%D0%B5%D0%BD%D0%B8%D0%B5%202020.pdf" TargetMode="External"/><Relationship Id="rId400" Type="http://schemas.openxmlformats.org/officeDocument/2006/relationships/hyperlink" Target="https://malinovskiy.admsov.com/action/in-bu.php" TargetMode="External"/><Relationship Id="rId421" Type="http://schemas.openxmlformats.org/officeDocument/2006/relationships/hyperlink" Target="https://ok.ru/group/60701864427563/topic/152131261537067" TargetMode="External"/><Relationship Id="rId442" Type="http://schemas.openxmlformats.org/officeDocument/2006/relationships/hyperlink" Target="http://www.statdata.ru/naselenie/naselenie-hmao" TargetMode="External"/><Relationship Id="rId463" Type="http://schemas.openxmlformats.org/officeDocument/2006/relationships/hyperlink" Target="http://&#1072;&#1076;&#1084;&#1089;&#1086;&#1089;&#1085;&#1086;&#1074;&#1082;&#1072;.&#1088;&#1092;/local-control/administtion/budget/proactive/?ELEMENT_ID=50102" TargetMode="External"/><Relationship Id="rId116" Type="http://schemas.openxmlformats.org/officeDocument/2006/relationships/hyperlink" Target="https://udmstat.gks.ru/folder/51924" TargetMode="External"/><Relationship Id="rId137" Type="http://schemas.openxmlformats.org/officeDocument/2006/relationships/hyperlink" Target="http://sorochinsk56.ru/index.php?id=2120" TargetMode="External"/><Relationship Id="rId158" Type="http://schemas.openxmlformats.org/officeDocument/2006/relationships/hyperlink" Target="http://finotdnovoorsk.ru/protokolyi-komissii" TargetMode="External"/><Relationship Id="rId302" Type="http://schemas.openxmlformats.org/officeDocument/2006/relationships/hyperlink" Target="https://rosstat.gov.ru/storage/mediabank/CcG8qBhP/mun_obr2020.rar" TargetMode="External"/><Relationship Id="rId323" Type="http://schemas.openxmlformats.org/officeDocument/2006/relationships/hyperlink" Target="http://movp.ru/site/section?id=1279" TargetMode="External"/><Relationship Id="rId344" Type="http://schemas.openxmlformats.org/officeDocument/2006/relationships/hyperlink" Target="https://instagram.com/budget_news_admsr?igshid=1lzenc868lcxw" TargetMode="External"/><Relationship Id="rId20" Type="http://schemas.openxmlformats.org/officeDocument/2006/relationships/hyperlink" Target="https://vk.com/public183473795?z=photo-183473795_457239168%2Fwall-183473795_102" TargetMode="External"/><Relationship Id="rId41" Type="http://schemas.openxmlformats.org/officeDocument/2006/relationships/hyperlink" Target="https://rosstat.gov.ru/compendium/document/13282" TargetMode="External"/><Relationship Id="rId62" Type="http://schemas.openxmlformats.org/officeDocument/2006/relationships/hyperlink" Target="http://&#1087;&#1088;&#1080;&#1091;&#1088;&#1072;&#1083;&#1100;&#1089;&#1082;&#1080;&#1081;&#1088;&#1072;&#1081;&#1086;&#1085;.&#1088;&#1092;/economy/initsiativnoe-byudzhetirovanie/" TargetMode="External"/><Relationship Id="rId83" Type="http://schemas.openxmlformats.org/officeDocument/2006/relationships/hyperlink" Target="https://trk-luch.ru/news/the-urengoy-budget-for-next-year-amounted-to-almost-half-a-billion-rubles/" TargetMode="External"/><Relationship Id="rId179" Type="http://schemas.openxmlformats.org/officeDocument/2006/relationships/hyperlink" Target="https://borovsk.bezformata.com/listnews/initciativnoe-byudzhetirovanie-v-borovske/57626896/" TargetMode="External"/><Relationship Id="rId365" Type="http://schemas.openxmlformats.org/officeDocument/2006/relationships/hyperlink" Target="http://&#1075;&#1086;&#1088;&#1086;&#1076;&#1072;-&#1088;&#1086;&#1089;&#1089;&#1080;&#1103;.&#1088;&#1092;/sity_id.php?id=72" TargetMode="External"/><Relationship Id="rId386" Type="http://schemas.openxmlformats.org/officeDocument/2006/relationships/hyperlink" Target="http://admlangepas.ru/open-budget/proactive-budgeting/legal-regulation2870/municipal-legal-acts5266/" TargetMode="External"/><Relationship Id="rId190" Type="http://schemas.openxmlformats.org/officeDocument/2006/relationships/hyperlink" Target="https://penza-gorod.ru/line_of_activity/public_self_government/konkurs-sotsialno-znachimykh-proektov-napravlennykh-na-razvitie-territorialnogo-obshchestvennogo-sam/2020-god/" TargetMode="External"/><Relationship Id="rId204" Type="http://schemas.openxmlformats.org/officeDocument/2006/relationships/hyperlink" Target="https://amursk.ru/index.php?option=com_content&amp;task=blogcategory&amp;id=214&amp;Itemid=361" TargetMode="External"/><Relationship Id="rId225" Type="http://schemas.openxmlformats.org/officeDocument/2006/relationships/hyperlink" Target="http://bsizgan.ulregion.ru/econom/bjudzhet_rajona/narod-budzhet.html" TargetMode="External"/><Relationship Id="rId246" Type="http://schemas.openxmlformats.org/officeDocument/2006/relationships/hyperlink" Target="http://www.kargino.ru/load/dokumenty_administracii/postanovlenija_2019_g/postanovlenie_69_ot_01_11_2019/49-1-0-552" TargetMode="External"/><Relationship Id="rId267" Type="http://schemas.openxmlformats.org/officeDocument/2006/relationships/hyperlink" Target="http://sengilej.ru/filemanager.aspx?fileid=9621" TargetMode="External"/><Relationship Id="rId288" Type="http://schemas.openxmlformats.org/officeDocument/2006/relationships/hyperlink" Target="https://novgorodstat.gks.ru/storage/mediabank/%D0%9D%D0%B0%D1%81%D0%B5%D0%BB%D0%B5%D0%BD%D0%B8%D0%B5%202020.pdf" TargetMode="External"/><Relationship Id="rId411" Type="http://schemas.openxmlformats.org/officeDocument/2006/relationships/hyperlink" Target="http://www.statdata.ru/naselenie/naselenie-hmao" TargetMode="External"/><Relationship Id="rId432" Type="http://schemas.openxmlformats.org/officeDocument/2006/relationships/hyperlink" Target="http://www.admkonda.ru/narodnyy-byudzhet-gp-kondinskoe.html" TargetMode="External"/><Relationship Id="rId453" Type="http://schemas.openxmlformats.org/officeDocument/2006/relationships/hyperlink" Target="https://www.gks.ru/scripts/db_inet2/passport/table.aspx?opt=718114102020" TargetMode="External"/><Relationship Id="rId106" Type="http://schemas.openxmlformats.org/officeDocument/2006/relationships/hyperlink" Target="http://&#1093;&#1072;&#1083;&#1103;&#1089;&#1072;&#1074;&#1101;&#1081;.&#1088;&#1092;/" TargetMode="External"/><Relationship Id="rId127" Type="http://schemas.openxmlformats.org/officeDocument/2006/relationships/hyperlink" Target="http://&#1073;&#1091;&#1079;&#1091;&#1083;&#1091;&#1082;.&#1088;&#1092;/content/%D0%BD%D0%B0%D1%80%D0%BE%D0%B4%D0%BD%D1%8B%D0%B9-%D0%B1%D1%8E%D0%B4%D0%B6%D0%B5%D1%82" TargetMode="External"/><Relationship Id="rId313" Type="http://schemas.openxmlformats.org/officeDocument/2006/relationships/hyperlink" Target="https://samadm.ru/authority/samarsky_district/docs/list/" TargetMode="External"/><Relationship Id="rId10" Type="http://schemas.openxmlformats.org/officeDocument/2006/relationships/hyperlink" Target="https://df.salekhard.org/byudzhetnaya-initsiativa-grazhdan/" TargetMode="External"/><Relationship Id="rId31" Type="http://schemas.openxmlformats.org/officeDocument/2006/relationships/hyperlink" Target="http://nadymregion.ru/upload/&#1055;&#1086;&#1089;&#1090;&#1072;&#1085;&#1086;&#1074;&#1083;&#1077;&#1085;&#1080;&#1077;%2097.docx" TargetMode="External"/><Relationship Id="rId52" Type="http://schemas.openxmlformats.org/officeDocument/2006/relationships/hyperlink" Target="http://lopchari-adm.ru/documents/2851.html" TargetMode="External"/><Relationship Id="rId73" Type="http://schemas.openxmlformats.org/officeDocument/2006/relationships/hyperlink" Target="https://vk.com/moi_yamalskiy_raion" TargetMode="External"/><Relationship Id="rId94" Type="http://schemas.openxmlformats.org/officeDocument/2006/relationships/hyperlink" Target="http://hanimey.ru/" TargetMode="External"/><Relationship Id="rId148" Type="http://schemas.openxmlformats.org/officeDocument/2006/relationships/hyperlink" Target="https://bz.orb.ru/files/documents/narod-budget-itogi.rar" TargetMode="External"/><Relationship Id="rId169" Type="http://schemas.openxmlformats.org/officeDocument/2006/relationships/hyperlink" Target="http://gcheb.cap.ru/doc/laws/2018/02/09/postanovlenie201" TargetMode="External"/><Relationship Id="rId334" Type="http://schemas.openxmlformats.org/officeDocument/2006/relationships/hyperlink" Target="http://www.statdata.ru/naselenie/naselenie-hmao" TargetMode="External"/><Relationship Id="rId355" Type="http://schemas.openxmlformats.org/officeDocument/2006/relationships/hyperlink" Target="https://adm.gov86.org/399/416/2121/2124/_p2_aview_b1176" TargetMode="External"/><Relationship Id="rId376" Type="http://schemas.openxmlformats.org/officeDocument/2006/relationships/hyperlink" Target="http://nvraion.ru/ekonomika-i-finansy/initsiativnoe-byudzhetirovanie/" TargetMode="External"/><Relationship Id="rId397" Type="http://schemas.openxmlformats.org/officeDocument/2006/relationships/hyperlink" Target="https://taiga.admsov.com/action/in-bu.php" TargetMode="External"/><Relationship Id="rId4" Type="http://schemas.openxmlformats.org/officeDocument/2006/relationships/hyperlink" Target="http://www.mozhga-rayon.ru/about/info/initsiativnoe-byudzhetirovanie-nashe-selo/" TargetMode="External"/><Relationship Id="rId180" Type="http://schemas.openxmlformats.org/officeDocument/2006/relationships/hyperlink" Target="https://www.gks.ru/scripts/db_inet2/passport/table.aspx?opt=29606101201920202021" TargetMode="External"/><Relationship Id="rId215" Type="http://schemas.openxmlformats.org/officeDocument/2006/relationships/hyperlink" Target="https://blagoveshensk.bashkortostan.ru/presscenter/news/277712/" TargetMode="External"/><Relationship Id="rId236" Type="http://schemas.openxmlformats.org/officeDocument/2006/relationships/hyperlink" Target="https://www.mo-veshkaima.ru/view_news.php?id=21638" TargetMode="External"/><Relationship Id="rId257" Type="http://schemas.openxmlformats.org/officeDocument/2006/relationships/hyperlink" Target="http://kuzovatovo.ulregion.ru/5886/norma/6793/7975/" TargetMode="External"/><Relationship Id="rId278" Type="http://schemas.openxmlformats.org/officeDocument/2006/relationships/hyperlink" Target="https://cherdakli.com/" TargetMode="External"/><Relationship Id="rId401" Type="http://schemas.openxmlformats.org/officeDocument/2006/relationships/hyperlink" Target="https://m.ok.ru/dk?st.cmd=userMediaStatusComments&amp;st.edit=off&amp;st.rpl=off&amp;st.topicId=152056277614066&amp;_prevCmd=userProfile&amp;tkn=8487&amp;_aid=photoLinkToTopicClick" TargetMode="External"/><Relationship Id="rId422" Type="http://schemas.openxmlformats.org/officeDocument/2006/relationships/hyperlink" Target="https://ok.ru/group/60701864427563/topic/152131261537067" TargetMode="External"/><Relationship Id="rId443" Type="http://schemas.openxmlformats.org/officeDocument/2006/relationships/hyperlink" Target="http://www.&#1089;&#1072;&#1088;&#1072;&#1085;&#1087;&#1072;&#1091;&#1083;&#1100;-&#1072;&#1076;&#1084;.&#1088;&#1092;/documents/706.html" TargetMode="External"/><Relationship Id="rId464" Type="http://schemas.openxmlformats.org/officeDocument/2006/relationships/hyperlink" Target="https://www.gks.ru/scripts/db_inet2/passport/table.aspx?opt=718114152020" TargetMode="External"/><Relationship Id="rId303" Type="http://schemas.openxmlformats.org/officeDocument/2006/relationships/hyperlink" Target="http://zdsamara.ru/regulatory/munitsipalnye-pravovye-akty/2430/" TargetMode="External"/><Relationship Id="rId42" Type="http://schemas.openxmlformats.org/officeDocument/2006/relationships/hyperlink" Target="https://www.admmuji.ru/file/g8uqdn5f6" TargetMode="External"/><Relationship Id="rId84" Type="http://schemas.openxmlformats.org/officeDocument/2006/relationships/hyperlink" Target="http://www.mo-urengoy.ru/index.php?option=com_content&amp;view=article&amp;id=4613" TargetMode="External"/><Relationship Id="rId138" Type="http://schemas.openxmlformats.org/officeDocument/2006/relationships/hyperlink" Target="http://sorochinsk56.ru/index.php?id=1039" TargetMode="External"/><Relationship Id="rId345" Type="http://schemas.openxmlformats.org/officeDocument/2006/relationships/hyperlink" Target="https://www.gks.ru/scripts/db_inet2/passport/table.aspx?opt=718760002020" TargetMode="External"/><Relationship Id="rId387" Type="http://schemas.openxmlformats.org/officeDocument/2006/relationships/hyperlink" Target="http://admlangepas.ru/open-budget/proactive-budgeting/attention-the-competition/itogi-realizatsii-initsiativnykh-proektov-v-2020-godu/" TargetMode="External"/><Relationship Id="rId191" Type="http://schemas.openxmlformats.org/officeDocument/2006/relationships/hyperlink" Target="https://penza-gorod.ru/news/na_grantovuyu_podderzhku_initsiativ_zhiteley_v_2020_godu_napravleno_18_millionov_rubley/" TargetMode="External"/><Relationship Id="rId205" Type="http://schemas.openxmlformats.org/officeDocument/2006/relationships/hyperlink" Target="http://www.georgievsk.ru/duma/reshen/469-24.doc" TargetMode="External"/><Relationship Id="rId247" Type="http://schemas.openxmlformats.org/officeDocument/2006/relationships/hyperlink" Target="https://uln.gks.ru/storage/mediabank/&#1063;&#1080;&#1089;&#1083;&#1077;&#1085;&#1085;&#1086;&#1089;&#1090;&#1100;%20&#1085;&#1072;&#1089;&#1077;&#1083;&#1077;&#1085;&#1080;&#1103;%20&#1084;&#1091;&#1085;&#1080;&#1094;&#1080;&#1087;&#1072;&#1083;&#1100;&#1085;&#1099;&#1093;%20&#1086;&#1073;&#1088;&#1072;&#1079;&#1086;&#1074;&#1072;&#1085;&#1080;&#1081;%20&#1059;&#1083;&#1100;&#1103;&#1085;&#1086;&#1074;&#1089;&#1082;&#1086;&#1081;%20&#1086;&#1073;&#1083;.xlsx" TargetMode="External"/><Relationship Id="rId412" Type="http://schemas.openxmlformats.org/officeDocument/2006/relationships/hyperlink" Target="http://adm-polov.ru/npa-1.html" TargetMode="External"/><Relationship Id="rId107" Type="http://schemas.openxmlformats.org/officeDocument/2006/relationships/hyperlink" Target="http://&#1093;&#1072;&#1083;&#1103;&#1089;&#1072;&#1074;&#1101;&#1081;.&#1088;&#1092;/ob-yavleniya.html" TargetMode="External"/><Relationship Id="rId289" Type="http://schemas.openxmlformats.org/officeDocument/2006/relationships/hyperlink" Target="https://komobrlub.edusite.ru/p94aa1.html" TargetMode="External"/><Relationship Id="rId454" Type="http://schemas.openxmlformats.org/officeDocument/2006/relationships/hyperlink" Target="http://admlyhma.ru/admininstration-actions/budget/proactive/" TargetMode="External"/><Relationship Id="rId11" Type="http://schemas.openxmlformats.org/officeDocument/2006/relationships/hyperlink" Target="https://df.salekhard.org/upload/medialibrary/db2/%D1%83%D1%8E%D1%82%D0%BD%D1%8B%D0%B9%20%D1%8F%D0%BC%D0%B0%D0%BB.png" TargetMode="External"/><Relationship Id="rId53" Type="http://schemas.openxmlformats.org/officeDocument/2006/relationships/hyperlink" Target="http://lopchari-adm.ru/byudzhetnye-iniciativy.html" TargetMode="External"/><Relationship Id="rId149" Type="http://schemas.openxmlformats.org/officeDocument/2006/relationships/hyperlink" Target="http://&#1075;&#1088;&#1072;&#1095;&#1077;&#1074;&#1089;&#1082;&#1080;&#1081;-&#1088;&#1072;&#1081;&#1086;&#1085;.&#1088;&#1092;/bitrix/redirect.php?event1=file&amp;event2=download&amp;event3=472%20&#1087;.doc&amp;goto=/upload/iblock/4d3/472%20&#1087;.doc" TargetMode="External"/><Relationship Id="rId314" Type="http://schemas.openxmlformats.org/officeDocument/2006/relationships/hyperlink" Target="http://alapaevskoe.ru/article/show/id/10222" TargetMode="External"/><Relationship Id="rId356" Type="http://schemas.openxmlformats.org/officeDocument/2006/relationships/hyperlink" Target="https://adm.gov86.org/news/346/_aview_b8276" TargetMode="External"/><Relationship Id="rId398" Type="http://schemas.openxmlformats.org/officeDocument/2006/relationships/hyperlink" Target="https://ok.ru/profile/575729663887/statuses/152420595066255" TargetMode="External"/><Relationship Id="rId95" Type="http://schemas.openxmlformats.org/officeDocument/2006/relationships/hyperlink" Target="https://trk-luch.ru/news/from-idea-to-implementation/?sphrase_id=66413" TargetMode="External"/><Relationship Id="rId160" Type="http://schemas.openxmlformats.org/officeDocument/2006/relationships/hyperlink" Target="https://ok.ru/group/55033267880141" TargetMode="External"/><Relationship Id="rId216"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423" Type="http://schemas.openxmlformats.org/officeDocument/2006/relationships/hyperlink" Target="https://ok.ru/group/60701864427563/topic/152963923680043" TargetMode="External"/><Relationship Id="rId258" Type="http://schemas.openxmlformats.org/officeDocument/2006/relationships/hyperlink" Target="https://uln.gks.ru/folder/40275" TargetMode="External"/><Relationship Id="rId465" Type="http://schemas.openxmlformats.org/officeDocument/2006/relationships/hyperlink" Target="https://polnovat.ru/2018/02/8151/" TargetMode="External"/><Relationship Id="rId22" Type="http://schemas.openxmlformats.org/officeDocument/2006/relationships/hyperlink" Target="http://budget.depfinnbr.ru/initsiativnoe-byudzhetirovanie/proekt-ritm" TargetMode="External"/><Relationship Id="rId64" Type="http://schemas.openxmlformats.org/officeDocument/2006/relationships/hyperlink" Target="http://www.adminbelka.ru/tinybrowser/files/bydjetnay_iniciativa_grajdan/2019/03/protokol.pdf" TargetMode="External"/><Relationship Id="rId118" Type="http://schemas.openxmlformats.org/officeDocument/2006/relationships/hyperlink" Target="http://glazrayon.ru/city/economica/statistika/naselenie/" TargetMode="External"/><Relationship Id="rId325" Type="http://schemas.openxmlformats.org/officeDocument/2006/relationships/hyperlink" Target="https://sverdl.gks.ru/" TargetMode="External"/><Relationship Id="rId367" Type="http://schemas.openxmlformats.org/officeDocument/2006/relationships/hyperlink" Target="http://budjet-dlya-grajdan.admpokachi.ru/initsiativnoe-byudzhetirovanie/golosovanie/" TargetMode="External"/><Relationship Id="rId171" Type="http://schemas.openxmlformats.org/officeDocument/2006/relationships/hyperlink" Target="https://chuvash.gks.ru/demog" TargetMode="External"/><Relationship Id="rId227" Type="http://schemas.openxmlformats.org/officeDocument/2006/relationships/hyperlink" Target="https://uln.gks.ru/folder/40275" TargetMode="External"/><Relationship Id="rId269" Type="http://schemas.openxmlformats.org/officeDocument/2006/relationships/hyperlink" Target="https://www.mo-veshkaima.ru/view_news.php?id=21638" TargetMode="External"/><Relationship Id="rId434" Type="http://schemas.openxmlformats.org/officeDocument/2006/relationships/hyperlink" Target="https://www.gks.ru/scripts/db_inet2/passport/table.aspx?opt=718161602020" TargetMode="External"/><Relationship Id="rId33" Type="http://schemas.openxmlformats.org/officeDocument/2006/relationships/hyperlink" Target="https://tumstat.gks.ru/" TargetMode="External"/><Relationship Id="rId129" Type="http://schemas.openxmlformats.org/officeDocument/2006/relationships/hyperlink" Target="http://&#1073;&#1091;&#1079;&#1091;&#1083;&#1091;&#1082;.&#1088;&#1092;/content/%D0%BD%D0%B0%D1%80%D0%BE%D0%B4%D0%BD%D1%8B%D0%B9-%D0%B1%D1%8E%D0%B4%D0%B6%D0%B5%D1%82" TargetMode="External"/><Relationship Id="rId280" Type="http://schemas.openxmlformats.org/officeDocument/2006/relationships/hyperlink" Target="https://cherdakli.com/?p=426" TargetMode="External"/><Relationship Id="rId336" Type="http://schemas.openxmlformats.org/officeDocument/2006/relationships/hyperlink" Target="http://budget.uray.ru/municipalnye-pravovye-akty/" TargetMode="External"/><Relationship Id="rId75" Type="http://schemas.openxmlformats.org/officeDocument/2006/relationships/hyperlink" Target="https://tasu.ru/files/819.pdf" TargetMode="External"/><Relationship Id="rId140" Type="http://schemas.openxmlformats.org/officeDocument/2006/relationships/hyperlink" Target="http://sorochinsk56.ru/assets/files/2020-Postanovlenia/soc_pasport.docx" TargetMode="External"/><Relationship Id="rId182" Type="http://schemas.openxmlformats.org/officeDocument/2006/relationships/hyperlink" Target="https://sverdl.gks.ru/folder/25983" TargetMode="External"/><Relationship Id="rId378" Type="http://schemas.openxmlformats.org/officeDocument/2006/relationships/hyperlink" Target="https://gp-izluchinsk.ru/obshchestvennoe-obsuzhdenie2/2430-1/" TargetMode="External"/><Relationship Id="rId403" Type="http://schemas.openxmlformats.org/officeDocument/2006/relationships/hyperlink" Target="https://vk.com/wall532804207_719" TargetMode="External"/><Relationship Id="rId6" Type="http://schemas.openxmlformats.org/officeDocument/2006/relationships/hyperlink" Target="https://docs.cntd.ru/document/561701850" TargetMode="External"/><Relationship Id="rId238" Type="http://schemas.openxmlformats.org/officeDocument/2006/relationships/hyperlink" Target="https://www.mo-veshkaima.ru/view_news.php?id=21927" TargetMode="External"/><Relationship Id="rId445" Type="http://schemas.openxmlformats.org/officeDocument/2006/relationships/hyperlink" Target="https://www.instagram.com/p/CKEKwifoxVO/?igshid=1nn6480lx6gcb" TargetMode="External"/><Relationship Id="rId291" Type="http://schemas.openxmlformats.org/officeDocument/2006/relationships/hyperlink" Target="https://5310skom.edusite.ru/DswMedia/prikazot05022020-32.pdf" TargetMode="External"/><Relationship Id="rId305" Type="http://schemas.openxmlformats.org/officeDocument/2006/relationships/hyperlink" Target="http://www.zdsamara.ru/regulatory/munitsipalnye-pravovye-akty/2525/" TargetMode="External"/><Relationship Id="rId347" Type="http://schemas.openxmlformats.org/officeDocument/2006/relationships/hyperlink" Target="https://cloud.mail.ru/public/3Ypa/4uBRDJWX4/" TargetMode="External"/><Relationship Id="rId44" Type="http://schemas.openxmlformats.org/officeDocument/2006/relationships/hyperlink" Target="https://&#1078;&#1080;&#1074;&#1105;&#1084;&#1085;&#1072;&#1089;&#1077;&#1074;&#1077;&#1088;&#1077;.&#1088;&#1092;/results" TargetMode="External"/><Relationship Id="rId86" Type="http://schemas.openxmlformats.org/officeDocument/2006/relationships/hyperlink" Target="https://rosstat.gov.ru/compendium/document/13282" TargetMode="External"/><Relationship Id="rId151" Type="http://schemas.openxmlformats.org/officeDocument/2006/relationships/hyperlink" Target="http://&#1075;&#1088;&#1072;&#1095;&#1077;&#1074;&#1089;&#1082;&#1080;&#1081;-&#1088;&#1072;&#1081;&#1086;&#1085;.&#1088;&#1092;/about/byudzhet/initsiativnoe-byudzhetirovanie/initsiativnoe-byudzhetirovanie" TargetMode="External"/><Relationship Id="rId389" Type="http://schemas.openxmlformats.org/officeDocument/2006/relationships/hyperlink" Target="http://www.statdata.ru/naselenie/naselenie-hmao" TargetMode="External"/><Relationship Id="rId193" Type="http://schemas.openxmlformats.org/officeDocument/2006/relationships/hyperlink" Target="https://dzhankoy.rk.gov.ru/article/show/2019_12_03_16_22_vnimaniiu_zhitelei_goroda" TargetMode="External"/><Relationship Id="rId207" Type="http://schemas.openxmlformats.org/officeDocument/2006/relationships/hyperlink" Target="http://ipatovo.org/page.php?id=18658" TargetMode="External"/><Relationship Id="rId249" Type="http://schemas.openxmlformats.org/officeDocument/2006/relationships/hyperlink" Target="http://www.krasnorechenskoesp.ru/load/narodnyj_bjudzhet/32" TargetMode="External"/><Relationship Id="rId414" Type="http://schemas.openxmlformats.org/officeDocument/2006/relationships/hyperlink" Target="http://admkonda.ru/narodnyy-byudzhet-0.html" TargetMode="External"/><Relationship Id="rId456" Type="http://schemas.openxmlformats.org/officeDocument/2006/relationships/hyperlink" Target="http://admlyhma.ru/admininstration-actions/budget/proactive/?attempt=1" TargetMode="External"/><Relationship Id="rId13" Type="http://schemas.openxmlformats.org/officeDocument/2006/relationships/hyperlink" Target="http://sh2.edushd.ru/partisipatornoe-byudzhetirovanie/index.php" TargetMode="External"/><Relationship Id="rId109" Type="http://schemas.openxmlformats.org/officeDocument/2006/relationships/hyperlink" Target="http://harampur.ru/documents/891.html" TargetMode="External"/><Relationship Id="rId260" Type="http://schemas.openxmlformats.org/officeDocument/2006/relationships/hyperlink" Target="http://www.maina-admin.ru/about/statistics/butget/narodniy%20budget.php" TargetMode="External"/><Relationship Id="rId316" Type="http://schemas.openxmlformats.org/officeDocument/2006/relationships/hyperlink" Target="http://alapaevskoe.ru/article/show/id/10121" TargetMode="External"/><Relationship Id="rId55" Type="http://schemas.openxmlformats.org/officeDocument/2006/relationships/hyperlink" Target="http://adm-muji.ru/byudzhetnaya-initciativa-grazhdan.html" TargetMode="External"/><Relationship Id="rId97" Type="http://schemas.openxmlformats.org/officeDocument/2006/relationships/hyperlink" Target="http://www.purovskoe.ru/idei-obshcestvennikov-p-purovsk-budut-voploshceny-v-zhizn.html" TargetMode="External"/><Relationship Id="rId120" Type="http://schemas.openxmlformats.org/officeDocument/2006/relationships/hyperlink" Target="https://vk.com/club181006482?w=wall-181006482_775;http://glazrayon.ru/poseleniya/mo_kachkashurskoe/index.php?PAGEN_1=3&amp;clear_cache=Y&amp;logout_butt=%D0%92%D1%8B%D0%B9%D1%82%D0%B8" TargetMode="External"/><Relationship Id="rId358" Type="http://schemas.openxmlformats.org/officeDocument/2006/relationships/hyperlink" Target="https://admhmansy.ru/rule/glava_adm/activities/activities.php?ELEMENT_ID=140188" TargetMode="External"/><Relationship Id="rId162" Type="http://schemas.openxmlformats.org/officeDocument/2006/relationships/hyperlink" Target="http://fin-or.ru/ckfinder/userfiles/files/&#1055;&#1086;&#1089;&#1090;&#1072;&#1085;&#1086;&#1074;&#1085;&#1077;&#1085;&#1080;&#1077;%201270&#1087;.pdf" TargetMode="External"/><Relationship Id="rId218" Type="http://schemas.openxmlformats.org/officeDocument/2006/relationships/hyperlink" Target="https://ilesh.bashkortostan.ru/documents/active/226380/" TargetMode="External"/><Relationship Id="rId425" Type="http://schemas.openxmlformats.org/officeDocument/2006/relationships/hyperlink" Target="http://admkonda.ru/konkursnyy-otbor-po-proektu-narodnyy-byudzhet-2020.html" TargetMode="External"/><Relationship Id="rId467" Type="http://schemas.openxmlformats.org/officeDocument/2006/relationships/drawing" Target="../drawings/drawing2.xml"/><Relationship Id="rId271" Type="http://schemas.openxmlformats.org/officeDocument/2006/relationships/hyperlink" Target="http://www.stemasskoe.ru/load/normativno_pravovye_akty/utverzhdennye/postanovlenie_administracii_mo_stemasskoe_selskoe_poselenie_ot_01_11_2018_45/37-1-0-170" TargetMode="External"/><Relationship Id="rId24" Type="http://schemas.openxmlformats.org/officeDocument/2006/relationships/hyperlink" Target="http://muravlenko.yanao.ru/ekonomika-i-zhkh/municipalnye-finansy/bjudzhetnaya-iniciativa-grazhdan/" TargetMode="External"/><Relationship Id="rId66" Type="http://schemas.openxmlformats.org/officeDocument/2006/relationships/hyperlink" Target="http://www.adminbelka.ru/byudzhetnaya-iniciativa-grazhdan.html" TargetMode="External"/><Relationship Id="rId131" Type="http://schemas.openxmlformats.org/officeDocument/2006/relationships/hyperlink" Target="https://www.finuprgaj.ru/&#1086;&#1090;&#1082;&#1088;&#1099;&#1090;&#1099;&#1081;-&#1073;&#1102;&#1076;&#1078;&#1077;&#1090;/&#1085;&#1072;&#1088;&#1086;&#1076;&#1085;&#1099;&#1081;-&#1073;&#1102;&#1076;&#1078;&#1077;&#1090;-2/&#1072;&#1085;&#1082;&#1077;&#1090;&#1072;-&#1090;&#1077;&#1089;&#1090;" TargetMode="External"/><Relationship Id="rId327" Type="http://schemas.openxmlformats.org/officeDocument/2006/relationships/hyperlink" Target="http://www.admbel.ru/local-control/administration/finans/part/" TargetMode="External"/><Relationship Id="rId369" Type="http://schemas.openxmlformats.org/officeDocument/2006/relationships/hyperlink" Target="http://admpokachi.ru/upload/iblock/faf/%E2%84%96%20772%20%D0%BE%D1%82%2028.08.2019.docx" TargetMode="External"/><Relationship Id="rId173" Type="http://schemas.openxmlformats.org/officeDocument/2006/relationships/hyperlink" Target="http://www.statdata.ru/naselenie/gorod/kaliningrad" TargetMode="External"/><Relationship Id="rId229" Type="http://schemas.openxmlformats.org/officeDocument/2006/relationships/hyperlink" Target="https://www.mo-veshkaima.ru/view_news.php?id=21638" TargetMode="External"/><Relationship Id="rId380" Type="http://schemas.openxmlformats.org/officeDocument/2006/relationships/hyperlink" Target="http://www.admugansk.ru/category/1496?page=2" TargetMode="External"/><Relationship Id="rId436" Type="http://schemas.openxmlformats.org/officeDocument/2006/relationships/hyperlink" Target="http://www.admkonda.ru/narodnyy-byudzhet-2020-mejd.html" TargetMode="External"/><Relationship Id="rId240" Type="http://schemas.openxmlformats.org/officeDocument/2006/relationships/hyperlink" Target="https://uln.gks.ru/search?q=&#1095;&#1080;&#1089;&#1083;&#1077;&#1085;&#1085;&#1086;&#1089;&#1090;&#1100;+&#1042;&#1077;&#1096;&#1082;&#1072;&#1081;&#1084;&#1089;&#1082;&#1086;&#1075;&#1086;+&#1088;&#1072;&#1081;&#1086;&#1085;&#1072;" TargetMode="External"/><Relationship Id="rId35" Type="http://schemas.openxmlformats.org/officeDocument/2006/relationships/hyperlink" Target="http://nadymregion.ru/upload/&#1055;&#1086;&#1089;&#1090;&#1072;&#1085;&#1086;&#1074;&#1083;&#1077;&#1085;&#1080;&#1077;%2097.docx" TargetMode="External"/><Relationship Id="rId77" Type="http://schemas.openxmlformats.org/officeDocument/2006/relationships/hyperlink" Target="https://tasu.ru/ekonomika-i-finansy/initsiativnoe-byudzhetirovanie/," TargetMode="External"/><Relationship Id="rId100" Type="http://schemas.openxmlformats.org/officeDocument/2006/relationships/hyperlink" Target="https://rosstat.gov.ru/compendium/document/13282" TargetMode="External"/><Relationship Id="rId282" Type="http://schemas.openxmlformats.org/officeDocument/2006/relationships/hyperlink" Target="https://www.mo-veshkaima.ru/view_news.php?id=21638" TargetMode="External"/><Relationship Id="rId338" Type="http://schemas.openxmlformats.org/officeDocument/2006/relationships/hyperlink" Target="http://uray.ru/" TargetMode="External"/><Relationship Id="rId8" Type="http://schemas.openxmlformats.org/officeDocument/2006/relationships/hyperlink" Target="https://&#1078;&#1080;&#1074;&#1105;&#1084;&#1085;&#1072;&#1089;&#1077;&#1074;&#1077;&#1088;&#1077;.&#1088;&#1092;/votings/1297" TargetMode="External"/><Relationship Id="rId142" Type="http://schemas.openxmlformats.org/officeDocument/2006/relationships/hyperlink" Target="https://docs.google.com/forms/d/e/1FAIpQLSfyAHDkLXBtDdTZk1-JhqH54nQ68MznK3Ij-DEgWdlF1xGgUQ/viewanalytics" TargetMode="External"/><Relationship Id="rId184" Type="http://schemas.openxmlformats.org/officeDocument/2006/relationships/hyperlink" Target="http://budget.magnitogorsk.ru/Menu/Presentation/110?ItemId=110" TargetMode="External"/><Relationship Id="rId391" Type="http://schemas.openxmlformats.org/officeDocument/2006/relationships/hyperlink" Target="http://admpioner.ru/Katalog/Tvoya-initsiativa" TargetMode="External"/><Relationship Id="rId405" Type="http://schemas.openxmlformats.org/officeDocument/2006/relationships/hyperlink" Target="http://adm.samza.ru/initsiativnoe-byudzhetirovanie/" TargetMode="External"/><Relationship Id="rId447" Type="http://schemas.openxmlformats.org/officeDocument/2006/relationships/hyperlink" Target="http://admbelgor.ru/upload/iblock/b99/%D1%80%D0%B0%D1%81%D0%BF.%205-%D1%80%20%D0%BE%D1%82%2020.03.2019.doc" TargetMode="External"/><Relationship Id="rId251" Type="http://schemas.openxmlformats.org/officeDocument/2006/relationships/hyperlink" Target="https://uln.gks.ru/search?q=&#1095;&#1080;&#1089;&#1083;&#1077;&#1085;&#1085;&#1086;&#1089;&#1090;&#1100;+&#1085;&#1072;&#1089;&#1077;&#1083;&#1077;&#1085;&#1080;&#1103;" TargetMode="External"/><Relationship Id="rId46" Type="http://schemas.openxmlformats.org/officeDocument/2006/relationships/hyperlink" Target="https://vektor-tv.ru/upload/iblock/edf/edf43b0aa455055a1a5eb455ec3d1e53.png" TargetMode="External"/><Relationship Id="rId293" Type="http://schemas.openxmlformats.org/officeDocument/2006/relationships/hyperlink" Target="https://novgorodstat.gks.ru/storage/mediabank/%D0%9D%D0%B0%D1%81%D0%B5%D0%BB%D0%B5%D0%BD%D0%B8%D0%B5%202020.pdf" TargetMode="External"/><Relationship Id="rId307" Type="http://schemas.openxmlformats.org/officeDocument/2006/relationships/hyperlink" Target="http://www.zdsamara.ru/dlya-naseleniya/tvoy-konstruktor-dvora/" TargetMode="External"/><Relationship Id="rId349" Type="http://schemas.openxmlformats.org/officeDocument/2006/relationships/hyperlink" Target="https://www.admrad.ru/postanovlenie-administracii-goroda-raduzhnyjj-ot-27-10-2017-1583-otmenen/" TargetMode="External"/><Relationship Id="rId88" Type="http://schemas.openxmlformats.org/officeDocument/2006/relationships/hyperlink" Target="http://&#1089;&#1072;&#1084;&#1073;&#1091;&#1088;&#1075;.&#1088;&#1092;/tinybrowser/files/budget/2020/01/protokol_-1.pdf" TargetMode="External"/><Relationship Id="rId111" Type="http://schemas.openxmlformats.org/officeDocument/2006/relationships/hyperlink" Target="http://&#1079;&#1072;&#1074;&#1100;&#1103;&#1083;&#1086;&#1074;&#1089;&#1082;&#1080;&#1081;.&#1088;&#1092;/about/ekonomika/initsiativnoe-byudzhetirovanie/npa/&#1055;&#1086;&#1089;&#1090;&#1072;&#1085;&#1086;&#1074;&#1083;&#1077;&#1085;&#1080;&#1103;%20&#1040;&#1076;&#1084;&#1080;&#1085;&#1080;&#1089;&#1090;&#1088;&#1072;&#1094;&#1080;&#1080;%20&#1086;&#1090;%2026.03.2020%20&#8470;%20453%20&#1080;%20&#1086;&#1090;%2020.04.2020%20&#8470;%20559.pdf" TargetMode="External"/><Relationship Id="rId153" Type="http://schemas.openxmlformats.org/officeDocument/2006/relationships/hyperlink" Target="http://gks.ru/dbscripts/munst/munst53/DBInet.cgi" TargetMode="External"/><Relationship Id="rId195" Type="http://schemas.openxmlformats.org/officeDocument/2006/relationships/hyperlink" Target="https://dzhankoy.rk.gov.ru/uploads/txteditor/dzhankoy/attachments/d4/1d/8c/d98f00b204e9800998ecf8427e/php6WgYuY_1.pdf" TargetMode="External"/><Relationship Id="rId209" Type="http://schemas.openxmlformats.org/officeDocument/2006/relationships/hyperlink" Target="http://petrgosk.ru/obshchestvo/koordinatsionnye-i-soveshchatelnye-organy/konkursnaya-komissiya-po-provedeniyu-konkursnogo-otbora-proektov-po-remontu-ulichno-dorozhnoy-seti-o/index.php" TargetMode="External"/><Relationship Id="rId360" Type="http://schemas.openxmlformats.org/officeDocument/2006/relationships/hyperlink" Target="https://crowd.admhmansy.ru/" TargetMode="External"/><Relationship Id="rId416" Type="http://schemas.openxmlformats.org/officeDocument/2006/relationships/hyperlink" Target="http://admkonda.ru/narodnyy-byudzhet-0.html" TargetMode="External"/><Relationship Id="rId220" Type="http://schemas.openxmlformats.org/officeDocument/2006/relationships/hyperlink" Target="https://chekmagush.bashkortostan.ru/documents/active/278669/" TargetMode="External"/><Relationship Id="rId458" Type="http://schemas.openxmlformats.org/officeDocument/2006/relationships/hyperlink" Target="http://admsorum.ru/admininstration-actions/budget/proactive/" TargetMode="External"/><Relationship Id="rId15" Type="http://schemas.openxmlformats.org/officeDocument/2006/relationships/hyperlink" Target="http://www.newurengoy.ru/pages/narodnybudzet.html" TargetMode="External"/><Relationship Id="rId57" Type="http://schemas.openxmlformats.org/officeDocument/2006/relationships/hyperlink" Target="http://www.admin-moovg.ru/byudzhetnaya-iniciativa-grazhdan.html" TargetMode="External"/><Relationship Id="rId262" Type="http://schemas.openxmlformats.org/officeDocument/2006/relationships/hyperlink" Target="http://adm-melekess.ru/strukturnye-podrazdelenija/narodnyi-byudzhet.html" TargetMode="External"/><Relationship Id="rId318" Type="http://schemas.openxmlformats.org/officeDocument/2006/relationships/hyperlink" Target="https://sverdl.gks.ru/folder/34029" TargetMode="External"/><Relationship Id="rId99" Type="http://schemas.openxmlformats.org/officeDocument/2006/relationships/hyperlink" Target="https://vk.com/purovskoe?w=wall-171792864_1132%2Fall" TargetMode="External"/><Relationship Id="rId122" Type="http://schemas.openxmlformats.org/officeDocument/2006/relationships/hyperlink" Target="https://vavozh-raion.udmurt.ru/regulatory/post_rasp/?ELEMENT_ID=34765" TargetMode="External"/><Relationship Id="rId164" Type="http://schemas.openxmlformats.org/officeDocument/2006/relationships/hyperlink" Target="http://fin-or.ru/content/narodnyy-byudzhet" TargetMode="External"/><Relationship Id="rId371" Type="http://schemas.openxmlformats.org/officeDocument/2006/relationships/hyperlink" Target="http://www.admnyagan.ru/?page=inf_dlj_nas/info.php&amp;razd_id=30" TargetMode="External"/><Relationship Id="rId427" Type="http://schemas.openxmlformats.org/officeDocument/2006/relationships/hyperlink" Target="http://admkuma.ru/sobranie-initciativnykh-grupp-po-voprosu-uchastiya-v-proekte-narodnyy-byudzhet-v-2020-godu.html" TargetMode="External"/><Relationship Id="rId469" Type="http://schemas.openxmlformats.org/officeDocument/2006/relationships/comments" Target="../comments4.xml"/><Relationship Id="rId26" Type="http://schemas.openxmlformats.org/officeDocument/2006/relationships/hyperlink" Target="http://muravlenko.yanao.ru/ekonomika-i-zhkh/municipalnye-finansy/bjudzhetnaya-iniciativa-grazhdan/dokumenty-bjudzhetnaya-iniciativa-grazhdan/49980-postanovlenie-o-realizacii-proekta-byudzhetnaya-iniciativa-grazhdan-na-territorii-goroda-muravlenko.html" TargetMode="External"/><Relationship Id="rId231" Type="http://schemas.openxmlformats.org/officeDocument/2006/relationships/hyperlink" Target="http://www.b-nagatkinskoe.ru/" TargetMode="External"/><Relationship Id="rId273" Type="http://schemas.openxmlformats.org/officeDocument/2006/relationships/hyperlink" Target="https://www.gks.ru/scripts/db_inet2/passport/table.aspx?opt=736481002020" TargetMode="External"/><Relationship Id="rId329" Type="http://schemas.openxmlformats.org/officeDocument/2006/relationships/hyperlink" Target="http://www.admbel.ru/local-control/administration/finans/part/" TargetMode="External"/><Relationship Id="rId68" Type="http://schemas.openxmlformats.org/officeDocument/2006/relationships/hyperlink" Target="http://www.&#1078;&#1080;&#1074;&#1105;&#1084;&#1085;&#1072;&#1089;&#1077;&#1074;&#1077;&#1088;&#1077;.&#1088;&#1091;/" TargetMode="External"/><Relationship Id="rId133" Type="http://schemas.openxmlformats.org/officeDocument/2006/relationships/hyperlink" Target="http://www.gy.orb.ru/118?item=16425" TargetMode="External"/><Relationship Id="rId175" Type="http://schemas.openxmlformats.org/officeDocument/2006/relationships/hyperlink" Target="https://old.kaluga-gov.ru/?q=&#1080;&#1085;&#1080;&#1094;&#1080;&#1072;&#1090;&#1080;&#1074;&#1085;&#1086;&#1077;-&#1073;&#1102;&#1076;&#1078;&#1077;&#1090;&#1080;&#1088;&#1086;&#1074;&#1072;&#1085;&#1080;&#1077;_442365699" TargetMode="External"/><Relationship Id="rId340" Type="http://schemas.openxmlformats.org/officeDocument/2006/relationships/hyperlink" Target="http://uray.ru/blagoustrojstvo-v-prioritete-urajcev-priglashajut-prinjat-uchastie-v-akcii-100-predlozhenij-v-narodnyj-bjudzhet/" TargetMode="External"/><Relationship Id="rId200" Type="http://schemas.openxmlformats.org/officeDocument/2006/relationships/hyperlink" Target="https://www.gks.ru/scripts/db_inet2/passport/pass.aspx?base=munst71&amp;r=71705000" TargetMode="External"/><Relationship Id="rId382" Type="http://schemas.openxmlformats.org/officeDocument/2006/relationships/hyperlink" Target="http://www.admugansk.ru/category/1496" TargetMode="External"/><Relationship Id="rId438" Type="http://schemas.openxmlformats.org/officeDocument/2006/relationships/hyperlink" Target="http://www.admkonda.ru/rezul-taty-oprosov.html" TargetMode="External"/><Relationship Id="rId242" Type="http://schemas.openxmlformats.org/officeDocument/2006/relationships/hyperlink" Target="http://inza.ulregion.ru/organ_vlasti/107/8945" TargetMode="External"/><Relationship Id="rId284" Type="http://schemas.openxmlformats.org/officeDocument/2006/relationships/hyperlink" Target="http://www.chufarovogp.ru/load/postanovlenie_110_ot_16_08_2018g/1-1-0-1586" TargetMode="External"/><Relationship Id="rId37" Type="http://schemas.openxmlformats.org/officeDocument/2006/relationships/hyperlink" Target="https://tumstat.gks.ru/" TargetMode="External"/><Relationship Id="rId79" Type="http://schemas.openxmlformats.org/officeDocument/2006/relationships/hyperlink" Target="https://rosstat.gov.ru/compendium/document/13282" TargetMode="External"/><Relationship Id="rId102" Type="http://schemas.openxmlformats.org/officeDocument/2006/relationships/hyperlink" Target="http://purpe.info/component/jdownloads/summary/391-2020-god/18443-7-p-o-realizatsii-proekta-po-podderzhke-initsiativ-v-ramkakh-proekta-byudzhetnaya-initsiativa-grazhdan?Itemid=0" TargetMode="External"/><Relationship Id="rId144" Type="http://schemas.openxmlformats.org/officeDocument/2006/relationships/hyperlink" Target="https://disk.yandex.ru/d/crDxV6A63NnntJ" TargetMode="External"/><Relationship Id="rId90" Type="http://schemas.openxmlformats.org/officeDocument/2006/relationships/hyperlink" Target="http://hanimey.ru/documents/1455.html" TargetMode="External"/><Relationship Id="rId186" Type="http://schemas.openxmlformats.org/officeDocument/2006/relationships/hyperlink" Target="http://www.1maysk.ru/index.php?option=com_content&amp;view=article&amp;id=8621%3A2019---&amp;catid=266%3A8889&amp;Itemid=31" TargetMode="External"/><Relationship Id="rId351" Type="http://schemas.openxmlformats.org/officeDocument/2006/relationships/hyperlink" Target="https://www.admrad.ru/%d0%b8%d0%bd%d1%84%d0%be%d1%80%d0%bc%d0%b0%d1%86%d0%b8%d0%be%d0%bd%d0%bd%d0%be%d0%b5-%d1%81%d0%be%d0%be%d0%b1%d1%89%d0%b5%d0%bd%d0%b8%d0%b5-%d0%be-%d0%bf%d1%80%d0%be%d0%b2%d0%b5%d0%b4%d0%b5%d0%bd-6/" TargetMode="External"/><Relationship Id="rId393" Type="http://schemas.openxmlformats.org/officeDocument/2006/relationships/hyperlink" Target="http://admpioner.ru/Katalog/20201" TargetMode="External"/><Relationship Id="rId407" Type="http://schemas.openxmlformats.org/officeDocument/2006/relationships/hyperlink" Target="http://alabievo.ru/documents/search.html?srch_text=&amp;srch_number=105&amp;srch_dates=&amp;srch_category=1532" TargetMode="External"/><Relationship Id="rId449" Type="http://schemas.openxmlformats.org/officeDocument/2006/relationships/hyperlink" Target="https://www.gks.ru/scripts/db_inet2/passport/table.aspx?opt=718114062020" TargetMode="External"/><Relationship Id="rId211" Type="http://schemas.openxmlformats.org/officeDocument/2006/relationships/hyperlink" Target="https://rosstat.gov.ru/" TargetMode="External"/><Relationship Id="rId253" Type="http://schemas.openxmlformats.org/officeDocument/2006/relationships/hyperlink" Target="http://kuzovatovo.ulregion.ru/5906/5914/17247.html" TargetMode="External"/><Relationship Id="rId295" Type="http://schemas.openxmlformats.org/officeDocument/2006/relationships/hyperlink" Target="https://pestovo-obrazovanie.edusite.ru/mconstr.html?page=/p117aa1.html" TargetMode="External"/><Relationship Id="rId309" Type="http://schemas.openxmlformats.org/officeDocument/2006/relationships/hyperlink" Target="https://www.samadm.ru/docs/official-publication/24714/" TargetMode="External"/><Relationship Id="rId460" Type="http://schemas.openxmlformats.org/officeDocument/2006/relationships/hyperlink" Target="http://admsorum.ru/admininstration-actions/budget/proactive/?ELEMENT_ID=55867" TargetMode="External"/><Relationship Id="rId48" Type="http://schemas.openxmlformats.org/officeDocument/2006/relationships/hyperlink" Target="http://azov-adm.ru/byudzhetnaya-iniciativa-grazhdan.html" TargetMode="External"/><Relationship Id="rId113" Type="http://schemas.openxmlformats.org/officeDocument/2006/relationships/hyperlink" Target="http://&#1079;&#1072;&#1074;&#1100;&#1103;&#1083;&#1086;&#1074;&#1089;&#1082;&#1080;&#1081;.&#1088;&#1092;/about/ekonomika/initsiativnoe-byudzhetirovanie/index.php" TargetMode="External"/><Relationship Id="rId320" Type="http://schemas.openxmlformats.org/officeDocument/2006/relationships/hyperlink" Target="http://movp.ru/site/section?id=1279" TargetMode="External"/><Relationship Id="rId155" Type="http://schemas.openxmlformats.org/officeDocument/2006/relationships/hyperlink" Target="http://krasnogvardfo.ru/narodnyij-byudzhet" TargetMode="External"/><Relationship Id="rId197" Type="http://schemas.openxmlformats.org/officeDocument/2006/relationships/hyperlink" Target="https://www.gks.ru/scripts/db_inet2/passport/pass.aspx?base=munst71&amp;r=71701000" TargetMode="External"/><Relationship Id="rId362" Type="http://schemas.openxmlformats.org/officeDocument/2006/relationships/hyperlink" Target="http://hmrn.ru/gkh/zhile-i-gorodskaya-sreda/normativno-pravovye-akty/?clear_cache=Y" TargetMode="External"/><Relationship Id="rId418" Type="http://schemas.openxmlformats.org/officeDocument/2006/relationships/hyperlink" Target="http://lugovoikonda.ru/tinybrowser/files/2017/postanovleniya/post.-312-ot-19.12.17-konkursnyy-otbor-proektov-narodnyy-byudzhet.doc" TargetMode="External"/><Relationship Id="rId222" Type="http://schemas.openxmlformats.org/officeDocument/2006/relationships/hyperlink" Target="https://go-pevek.ru/&#1084;&#1077;&#1085;&#1102;/&#1085;&#1072;&#1088;&#1086;&#1076;&#1085;&#1099;&#1081;-&#1073;&#1102;&#1076;&#1078;&#1077;&#1090;/&#1085;&#1087;&#1072;-&#1082;-&#1087;&#1088;&#1086;&#1077;&#1082;&#1090;&#1091;-&#1085;&#1072;&#1088;&#1086;&#1076;&#1085;&#1099;&#1081;-&#1073;&#1102;&#1076;&#1078;&#1077;&#1090;" TargetMode="External"/><Relationship Id="rId264" Type="http://schemas.openxmlformats.org/officeDocument/2006/relationships/hyperlink" Target="http://www.radishevo.ulregion.ru/165/4218/15180/" TargetMode="External"/><Relationship Id="rId17" Type="http://schemas.openxmlformats.org/officeDocument/2006/relationships/hyperlink" Target="http://www.newurengoy.ru/" TargetMode="External"/><Relationship Id="rId59" Type="http://schemas.openxmlformats.org/officeDocument/2006/relationships/hyperlink" Target="http://&#1087;&#1080;&#1090;&#1083;&#1103;&#1088;.&#1088;&#1092;/dokumenty-1" TargetMode="External"/><Relationship Id="rId124" Type="http://schemas.openxmlformats.org/officeDocument/2006/relationships/hyperlink" Target="http://www.&#1073;&#1091;&#1079;&#1091;&#1083;&#1091;&#1082;.&#1088;&#1092;/content/2020-%D0%B3%D0%BE%D0%B4-22" TargetMode="External"/><Relationship Id="rId70" Type="http://schemas.openxmlformats.org/officeDocument/2006/relationships/hyperlink" Target="https://vk.com/yamaltv" TargetMode="External"/><Relationship Id="rId166" Type="http://schemas.openxmlformats.org/officeDocument/2006/relationships/hyperlink" Target="http://fintotsk.ru/file/download/224" TargetMode="External"/><Relationship Id="rId331" Type="http://schemas.openxmlformats.org/officeDocument/2006/relationships/hyperlink" Target="http://www.admbel.ru/local-control/administration/finans/part/" TargetMode="External"/><Relationship Id="rId373" Type="http://schemas.openxmlformats.org/officeDocument/2006/relationships/hyperlink" Target="http://www.statdata.ru/naselenie/naselenie-hmao" TargetMode="External"/><Relationship Id="rId429" Type="http://schemas.openxmlformats.org/officeDocument/2006/relationships/hyperlink" Target="http://www.admkonda.ru/documents/10031.html" TargetMode="External"/><Relationship Id="rId1" Type="http://schemas.openxmlformats.org/officeDocument/2006/relationships/hyperlink" Target="https://www.mozhga-rayon.ru/about/info/initsiativnoe-byudzhetirovanie-nashe-selo/" TargetMode="External"/><Relationship Id="rId233" Type="http://schemas.openxmlformats.org/officeDocument/2006/relationships/hyperlink" Target="https://www.mo-veshkaima.ru/view_news.php?id=21638" TargetMode="External"/><Relationship Id="rId440" Type="http://schemas.openxmlformats.org/officeDocument/2006/relationships/hyperlink" Target="http://pripolarny.ru/normativnye_pravovye_akty_4" TargetMode="External"/><Relationship Id="rId28" Type="http://schemas.openxmlformats.org/officeDocument/2006/relationships/hyperlink" Target="https://&#1078;&#1080;&#1074;&#1105;&#1084;&#1085;&#1072;&#1089;&#1077;&#1074;&#1077;&#1088;&#1077;.&#1088;&#1092;/" TargetMode="External"/><Relationship Id="rId275" Type="http://schemas.openxmlformats.org/officeDocument/2006/relationships/hyperlink" Target="http://ulraion.ru/news/7109" TargetMode="External"/><Relationship Id="rId300" Type="http://schemas.openxmlformats.org/officeDocument/2006/relationships/hyperlink" Target="https://vk.com/rescentrsyz" TargetMode="External"/><Relationship Id="rId81" Type="http://schemas.openxmlformats.org/officeDocument/2006/relationships/hyperlink" Target="http://www.mo-urengoy.ru/index.php?option=com_content&amp;view=article&amp;id=4363" TargetMode="External"/><Relationship Id="rId135" Type="http://schemas.openxmlformats.org/officeDocument/2006/relationships/hyperlink" Target="http://sorochinsk56.ru/index.php?id=1041" TargetMode="External"/><Relationship Id="rId177" Type="http://schemas.openxmlformats.org/officeDocument/2006/relationships/hyperlink" Target="https://www.gks.ru/scripts/db_inet2/passport/table.aspx?opt=29606105201920202021" TargetMode="External"/><Relationship Id="rId342" Type="http://schemas.openxmlformats.org/officeDocument/2006/relationships/hyperlink" Target="https://www.admsr.ru/region/population/" TargetMode="External"/><Relationship Id="rId384" Type="http://schemas.openxmlformats.org/officeDocument/2006/relationships/hyperlink" Target="http://www.statdata.ru/naselenie/naselenie-hmao" TargetMode="External"/><Relationship Id="rId202" Type="http://schemas.openxmlformats.org/officeDocument/2006/relationships/hyperlink" Target="https://pravo.amursk.ru/docs/2019/234_ot_03.06.2019.pdf" TargetMode="External"/><Relationship Id="rId244" Type="http://schemas.openxmlformats.org/officeDocument/2006/relationships/hyperlink" Target="https://www.mo-veshkaima.ru/view_news.php?id=21638" TargetMode="External"/><Relationship Id="rId39" Type="http://schemas.openxmlformats.org/officeDocument/2006/relationships/hyperlink" Target="https://zapolyarny-adm.yanao.ru/byudzhetnaya-iniciativa-grazhdan.html" TargetMode="External"/><Relationship Id="rId286" Type="http://schemas.openxmlformats.org/officeDocument/2006/relationships/hyperlink" Target="https://uln.gks.ru/storage/mediabank/HZTJFTC1/&#1055;&#1054;&#1050;&#1040;&#1047;&#1040;&#1058;&#1045;&#1051;&#1048;_2020.pdf" TargetMode="External"/><Relationship Id="rId451" Type="http://schemas.openxmlformats.org/officeDocument/2006/relationships/hyperlink" Target="http://vkazym.ru/admininstration-actions/budget/initiative_budgeting/" TargetMode="External"/><Relationship Id="rId50" Type="http://schemas.openxmlformats.org/officeDocument/2006/relationships/hyperlink" Target="http://adm-gorki.ru/2020-god.html" TargetMode="External"/><Relationship Id="rId104" Type="http://schemas.openxmlformats.org/officeDocument/2006/relationships/hyperlink" Target="http://&#1093;&#1072;&#1083;&#1103;&#1089;&#1072;&#1074;&#1101;&#1081;.&#1088;&#1092;/npa-byudzhetnaya-initciativa.html" TargetMode="External"/><Relationship Id="rId146" Type="http://schemas.openxmlformats.org/officeDocument/2006/relationships/hyperlink" Target="http://asfin56.ru/assets/files/documents/2021/1/postanovlenie.doc" TargetMode="External"/><Relationship Id="rId188" Type="http://schemas.openxmlformats.org/officeDocument/2006/relationships/hyperlink" Target="https://nizhstat.gks.ru/ofstatistics" TargetMode="External"/><Relationship Id="rId311" Type="http://schemas.openxmlformats.org/officeDocument/2006/relationships/hyperlink" Target="https://samadm.ru/authority/samarsky_district/your-designer-courtyard-s-r/" TargetMode="External"/><Relationship Id="rId353" Type="http://schemas.openxmlformats.org/officeDocument/2006/relationships/hyperlink" Target="http://oktregion.ru/ekonomika-i-finansy/byudzhet-dlya-grazhdan/initsiativnoe-byudzhetirovanie/konkursy-proektov-initsiativnogo-byudzhetirovaniya/konkurs-proektov-initsiativnogo-byudzhetirovaniya-2020-god-55/" TargetMode="External"/><Relationship Id="rId395" Type="http://schemas.openxmlformats.org/officeDocument/2006/relationships/hyperlink" Target="http://admpioner.ru/Katalog/20201" TargetMode="External"/><Relationship Id="rId409" Type="http://schemas.openxmlformats.org/officeDocument/2006/relationships/hyperlink" Target="http://www.statdata.ru/naselenie/naselenie-hmao" TargetMode="External"/><Relationship Id="rId92" Type="http://schemas.openxmlformats.org/officeDocument/2006/relationships/hyperlink" Target="http://hanimey.ru/tinybrowser/files/budgetnaya-iniciativa/2020/01/3_attach.pdf" TargetMode="External"/><Relationship Id="rId213"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420" Type="http://schemas.openxmlformats.org/officeDocument/2006/relationships/hyperlink" Target="http://lugovoikonda.ru/narodnyy-byudzhet.html" TargetMode="External"/><Relationship Id="rId255" Type="http://schemas.openxmlformats.org/officeDocument/2006/relationships/hyperlink" Target="mailto:kuz-fu@mail.ru." TargetMode="External"/><Relationship Id="rId297" Type="http://schemas.openxmlformats.org/officeDocument/2006/relationships/hyperlink" Target="mailto:ko5317@yandex.ru" TargetMode="External"/><Relationship Id="rId462" Type="http://schemas.openxmlformats.org/officeDocument/2006/relationships/hyperlink" Target="https://www.gks.ru/scripts/db_inet2/passport/table.aspx?opt=718114192020" TargetMode="External"/><Relationship Id="rId115" Type="http://schemas.openxmlformats.org/officeDocument/2006/relationships/hyperlink" Target="https://vk.com/zavyalovodistrict?w=wall-81315289_2980" TargetMode="External"/><Relationship Id="rId157" Type="http://schemas.openxmlformats.org/officeDocument/2006/relationships/hyperlink" Target="http://finotdnovoorsk.ru/postanovlenie-o-narodnom-byudzhete" TargetMode="External"/><Relationship Id="rId322" Type="http://schemas.openxmlformats.org/officeDocument/2006/relationships/hyperlink" Target="https://www.gks.ru/scripts/db_inet2/passport/munr.aspx?base=munst65" TargetMode="External"/><Relationship Id="rId364" Type="http://schemas.openxmlformats.org/officeDocument/2006/relationships/hyperlink" Target="https://www.n-vartovsk.ru/ibudget/" TargetMode="External"/><Relationship Id="rId61" Type="http://schemas.openxmlformats.org/officeDocument/2006/relationships/hyperlink" Target="http://&#1087;&#1088;&#1080;&#1091;&#1088;&#1072;&#1083;&#1100;&#1089;&#1082;&#1080;&#1081;&#1088;&#1072;&#1081;&#1086;&#1085;.&#1088;&#1092;/legal-acts/the-orders-of-administration/?year=2020" TargetMode="External"/><Relationship Id="rId199" Type="http://schemas.openxmlformats.org/officeDocument/2006/relationships/hyperlink" Target="http://ishimdoc.ru/dokumenty/post_adm/1818/?sphrase_id=3338"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tmsk.gks.ru/storage/mediabank/%D0%A7%D0%B8%D1%81%D0%BB%D0%B5%D0%BD%D0%BD%D0%BE%D1%81%D1%82%D1%8C%20%D0%BD%D0%B0%D1%81%D0%B5%D0%BB%D0%B5%D0%BD%D0%B8%D1%8F(12).pdf" TargetMode="External"/><Relationship Id="rId671" Type="http://schemas.openxmlformats.org/officeDocument/2006/relationships/hyperlink" Target="http://lugovoikonda.ru/narodnyy-byudzhet.html" TargetMode="External"/><Relationship Id="rId769" Type="http://schemas.openxmlformats.org/officeDocument/2006/relationships/hyperlink" Target="http://spmuzhi.ru/wp-content/uploads/2020/11/%E2%84%96477019_21_11_2020.pdf" TargetMode="External"/><Relationship Id="rId21" Type="http://schemas.openxmlformats.org/officeDocument/2006/relationships/hyperlink" Target="https://df.gov35.ru/dokumenty-strategicheskogo-planirovaniya/gosudarstvennaya-programma-departamenta-finansov/aktualnaya-versiya-gosudarstvennoy-programmy/" TargetMode="External"/><Relationship Id="rId324" Type="http://schemas.openxmlformats.org/officeDocument/2006/relationships/hyperlink" Target="https://rosstat.gov.ru/compendium/document/13282" TargetMode="External"/><Relationship Id="rId531" Type="http://schemas.openxmlformats.org/officeDocument/2006/relationships/hyperlink" Target="https://uln.gks.ru/folder/40275" TargetMode="External"/><Relationship Id="rId629" Type="http://schemas.openxmlformats.org/officeDocument/2006/relationships/hyperlink" Target="https://gp-izluchinsk.ru/obshchestvennoe-obsuzhdenie2/2430-1/" TargetMode="External"/><Relationship Id="rId170" Type="http://schemas.openxmlformats.org/officeDocument/2006/relationships/hyperlink" Target="http://docs.cntd.ru/document/553230534" TargetMode="External"/><Relationship Id="rId836" Type="http://schemas.openxmlformats.org/officeDocument/2006/relationships/hyperlink" Target="http://www.ppmi24.ru/" TargetMode="External"/><Relationship Id="rId268" Type="http://schemas.openxmlformats.org/officeDocument/2006/relationships/hyperlink" Target="https://www.instagram.com/p/CMeyYrdlM3r/?igshid=9vl5p4jskj3t" TargetMode="External"/><Relationship Id="rId475" Type="http://schemas.openxmlformats.org/officeDocument/2006/relationships/hyperlink" Target="http://ishimdoc.ru/dokumenty/post_adm/1818/?sphrase_id=3338" TargetMode="External"/><Relationship Id="rId682" Type="http://schemas.openxmlformats.org/officeDocument/2006/relationships/hyperlink" Target="http://www.admkonda.ru/narodnyy-byudzhet-gp-kondinskoe.html" TargetMode="External"/><Relationship Id="rId32" Type="http://schemas.openxmlformats.org/officeDocument/2006/relationships/hyperlink" Target="http://docs.cntd.ru/document/550244134" TargetMode="External"/><Relationship Id="rId128" Type="http://schemas.openxmlformats.org/officeDocument/2006/relationships/hyperlink" Target="https://www.facebook.com/groups/965650083551503/" TargetMode="External"/><Relationship Id="rId335" Type="http://schemas.openxmlformats.org/officeDocument/2006/relationships/hyperlink" Target="https://smi.adm-nao.ru/iniciativnoe-byudzhetirovanie/" TargetMode="External"/><Relationship Id="rId542" Type="http://schemas.openxmlformats.org/officeDocument/2006/relationships/hyperlink" Target="https://www.mo-veshkaima.ru/view_news.php?id=21638" TargetMode="External"/><Relationship Id="rId181" Type="http://schemas.openxmlformats.org/officeDocument/2006/relationships/hyperlink" Target="https://docs.cntd.ru/document/450360732" TargetMode="External"/><Relationship Id="rId402" Type="http://schemas.openxmlformats.org/officeDocument/2006/relationships/hyperlink" Target="http://www.gy.orb.ru/118?item=16425" TargetMode="External"/><Relationship Id="rId847" Type="http://schemas.openxmlformats.org/officeDocument/2006/relationships/hyperlink" Target="http://www.statdata.ru/naselenie/astrahanskoi-oblasti" TargetMode="External"/><Relationship Id="rId279" Type="http://schemas.openxmlformats.org/officeDocument/2006/relationships/hyperlink" Target="https://vk.com/official_ga" TargetMode="External"/><Relationship Id="rId486" Type="http://schemas.openxmlformats.org/officeDocument/2006/relationships/hyperlink" Target="http://&#1079;&#1072;&#1074;&#1100;&#1103;&#1083;&#1086;&#1074;&#1089;&#1082;&#1080;&#1081;.&#1088;&#1092;/about/ekonomika/initsiativnoe-byudzhetirovanie/rezultaty-konkursnykh-protsedur-po-podderzhke-proektov/index.php" TargetMode="External"/><Relationship Id="rId693" Type="http://schemas.openxmlformats.org/officeDocument/2006/relationships/hyperlink" Target="http://www.statdata.ru/naselenie/naselenie-hmao" TargetMode="External"/><Relationship Id="rId707" Type="http://schemas.openxmlformats.org/officeDocument/2006/relationships/hyperlink" Target="http://admlyhma.ru/admininstration-actions/budget/proactive/?attempt=1" TargetMode="External"/><Relationship Id="rId43" Type="http://schemas.openxmlformats.org/officeDocument/2006/relationships/hyperlink" Target="https://udmstat.gks.ru/folder/51924" TargetMode="External"/><Relationship Id="rId139" Type="http://schemas.openxmlformats.org/officeDocument/2006/relationships/hyperlink" Target="http://gorodsreda.ru/" TargetMode="External"/><Relationship Id="rId346" Type="http://schemas.openxmlformats.org/officeDocument/2006/relationships/hyperlink" Target="http://orel.old.gks.ru/wps/wcm/connect/rosstat_ts/orel/ru/statistics/population/" TargetMode="External"/><Relationship Id="rId553" Type="http://schemas.openxmlformats.org/officeDocument/2006/relationships/hyperlink" Target="https://cherdakli.com/?p=426" TargetMode="External"/><Relationship Id="rId760" Type="http://schemas.openxmlformats.org/officeDocument/2006/relationships/hyperlink" Target="https://www.admmuji.ru/file/g8uqdn5f6" TargetMode="External"/><Relationship Id="rId192" Type="http://schemas.openxmlformats.org/officeDocument/2006/relationships/hyperlink" Target="https://novgorodstat.gks.ru/storage/mediabank/%D0%9D%D0%B0%D1%81%D0%B5%D0%BB%D0%B5%D0%BD%D0%B8%D0%B5%202020.pdf" TargetMode="External"/><Relationship Id="rId206" Type="http://schemas.openxmlformats.org/officeDocument/2006/relationships/hyperlink" Target="https://sverdl.gks.ru/folder/29698" TargetMode="External"/><Relationship Id="rId413" Type="http://schemas.openxmlformats.org/officeDocument/2006/relationships/hyperlink" Target="https://disk.yandex.ru/d/crDxV6A63NnntJ" TargetMode="External"/><Relationship Id="rId497" Type="http://schemas.openxmlformats.org/officeDocument/2006/relationships/hyperlink" Target="https://www.gks.ru/scripts/db_inet2/passport/table.aspx?opt=736021512020" TargetMode="External"/><Relationship Id="rId620" Type="http://schemas.openxmlformats.org/officeDocument/2006/relationships/hyperlink" Target="http://admpokachi.ru/upload/iblock/faf/%E2%84%96%20772%20%D0%BE%D1%82%2028.08.2019.docx" TargetMode="External"/><Relationship Id="rId718" Type="http://schemas.openxmlformats.org/officeDocument/2006/relationships/hyperlink" Target="http://budget.magnitogorsk.ru/Menu/Presentation/110?ItemId=110" TargetMode="External"/><Relationship Id="rId357"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54" Type="http://schemas.openxmlformats.org/officeDocument/2006/relationships/hyperlink" Target="http://www.statdata.ru/naselenie/kostromskoi-oblasti" TargetMode="External"/><Relationship Id="rId217" Type="http://schemas.openxmlformats.org/officeDocument/2006/relationships/hyperlink" Target="https://pib.sakhminfin.ru/" TargetMode="External"/><Relationship Id="rId564" Type="http://schemas.openxmlformats.org/officeDocument/2006/relationships/hyperlink" Target="https://chelstat.gks.ru/population" TargetMode="External"/><Relationship Id="rId771" Type="http://schemas.openxmlformats.org/officeDocument/2006/relationships/hyperlink" Target="http://lopchari-adm.ru/byudzhetnye-iniciativy.html" TargetMode="External"/><Relationship Id="rId424" Type="http://schemas.openxmlformats.org/officeDocument/2006/relationships/hyperlink" Target="http://krasnogvardfo.ru/narodnyij-byudzhet" TargetMode="External"/><Relationship Id="rId631" Type="http://schemas.openxmlformats.org/officeDocument/2006/relationships/hyperlink" Target="http://www.admugansk.ru/category/1496?page=2" TargetMode="External"/><Relationship Id="rId729" Type="http://schemas.openxmlformats.org/officeDocument/2006/relationships/hyperlink" Target="https://df.salekhard.org/upload/medialibrary/db2/%D1%83%D1%8E%D1%82%D0%BD%D1%8B%D0%B9%20%D1%8F%D0%BC%D0%B0%D0%BB.png" TargetMode="External"/><Relationship Id="rId270" Type="http://schemas.openxmlformats.org/officeDocument/2006/relationships/hyperlink" Target="https://base.garant.ru/8154075/" TargetMode="External"/><Relationship Id="rId65" Type="http://schemas.openxmlformats.org/officeDocument/2006/relationships/hyperlink" Target="https://admoblkaluga.ru/sub/finan/inciativ.php" TargetMode="External"/><Relationship Id="rId130" Type="http://schemas.openxmlformats.org/officeDocument/2006/relationships/hyperlink" Target="https://agro.tmbreg.ru/assets/files/prv/01_2020/PAO-2019-1506.pdf" TargetMode="External"/><Relationship Id="rId368" Type="http://schemas.openxmlformats.org/officeDocument/2006/relationships/hyperlink" Target="https://www.gks.ru/scripts/db_inet2/passport/table.aspx?opt=29606101201920202021" TargetMode="External"/><Relationship Id="rId575" Type="http://schemas.openxmlformats.org/officeDocument/2006/relationships/hyperlink" Target="https://docs.cntd.ru/document/446168877" TargetMode="External"/><Relationship Id="rId782" Type="http://schemas.openxmlformats.org/officeDocument/2006/relationships/hyperlink" Target="http://www.adminbelka.ru/tinybrowser/files/bydjetnay_iniciativa_grajdan/2019/03/protokol.pdf" TargetMode="External"/><Relationship Id="rId228" Type="http://schemas.openxmlformats.org/officeDocument/2006/relationships/hyperlink" Target="https://minfin.saratov.gov.ru/images/article_images/20210201/20210201-informatsionnoe-soobshchenie-o-provedenii-konkursnogo-otbora-munitsipalnykh-obrazovanij-saratovskoj-oblasti.jpg" TargetMode="External"/><Relationship Id="rId435" Type="http://schemas.openxmlformats.org/officeDocument/2006/relationships/hyperlink" Target="http://fintotsk.ru/file/download/224" TargetMode="External"/><Relationship Id="rId642" Type="http://schemas.openxmlformats.org/officeDocument/2006/relationships/hyperlink" Target="http://admpioner.ru/Katalog/Tvoya-initsiativa" TargetMode="External"/><Relationship Id="rId281" Type="http://schemas.openxmlformats.org/officeDocument/2006/relationships/hyperlink" Target="https://minregion-ra.ru/wp-content/uploads/2017/05/217_2017.pdf" TargetMode="External"/><Relationship Id="rId502" Type="http://schemas.openxmlformats.org/officeDocument/2006/relationships/hyperlink" Target="https://www.mo-veshkaima.ru/view_news.php?id=21638" TargetMode="External"/><Relationship Id="rId76" Type="http://schemas.openxmlformats.org/officeDocument/2006/relationships/hyperlink" Target="https://jkx.avo.ru/formirovanie-komfortnoj-gorodskoj-sredy" TargetMode="External"/><Relationship Id="rId141" Type="http://schemas.openxmlformats.org/officeDocument/2006/relationships/hyperlink" Target="https://minstroy.49gov.ru/common/upload/25/editor/file/Gorsreda_brandbook_new.pdf" TargetMode="External"/><Relationship Id="rId379" Type="http://schemas.openxmlformats.org/officeDocument/2006/relationships/hyperlink" Target="http://www.1maysk.ru/index.php?option=com_content&amp;view=article&amp;id=9668:2019-05-17-11-17-37&amp;catid=256:2017-10-17-07-22-16&amp;Itemid=100087" TargetMode="External"/><Relationship Id="rId586" Type="http://schemas.openxmlformats.org/officeDocument/2006/relationships/hyperlink" Target="file:///\\var\folders\_b\content\act\35581dd1-0443-46c4-8a2c-722cb44c855c.doc" TargetMode="External"/><Relationship Id="rId793" Type="http://schemas.openxmlformats.org/officeDocument/2006/relationships/hyperlink" Target="https://tasu.ru/files/819.pdf" TargetMode="External"/><Relationship Id="rId807" Type="http://schemas.openxmlformats.org/officeDocument/2006/relationships/hyperlink" Target="http://&#1089;&#1072;&#1084;&#1073;&#1091;&#1088;&#1075;.&#1088;&#1092;/ispolnenie-proekta.html" TargetMode="External"/><Relationship Id="rId7" Type="http://schemas.openxmlformats.org/officeDocument/2006/relationships/hyperlink" Target="https://iro22.ru/index.php/2017-09-05-03-16-33/konkurs-shkolnykh-initsiativ-ya-schitayu/normativno-pravovye-dokumenty.html" TargetMode="External"/><Relationship Id="rId239" Type="http://schemas.openxmlformats.org/officeDocument/2006/relationships/hyperlink" Target="http://mari-el.gov.ru/mecon/Pages/competitions.aspx" TargetMode="External"/><Relationship Id="rId446" Type="http://schemas.openxmlformats.org/officeDocument/2006/relationships/hyperlink" Target="http://www.zdsamara.ru/regulatory/munitsipalnye-pravovye-akty/2525/" TargetMode="External"/><Relationship Id="rId653" Type="http://schemas.openxmlformats.org/officeDocument/2006/relationships/hyperlink" Target="https://www.instagram.com/p/CC-UhMSKXNk/?igshid=zj39erwa6gvm" TargetMode="External"/><Relationship Id="rId292" Type="http://schemas.openxmlformats.org/officeDocument/2006/relationships/hyperlink" Target="http://gsrb.ru/ru/nakazy-izbirateley/" TargetMode="External"/><Relationship Id="rId306" Type="http://schemas.openxmlformats.org/officeDocument/2006/relationships/hyperlink" Target="http://minfin.kirov.ru.opt-images.1c-bitrix-cdn.ru/upload/medialibrary/documents/2019_03/%D0%BD%D0%B1.png" TargetMode="External"/><Relationship Id="rId87" Type="http://schemas.openxmlformats.org/officeDocument/2006/relationships/hyperlink" Target="https://docs.cntd.ru/document/463710828" TargetMode="External"/><Relationship Id="rId513" Type="http://schemas.openxmlformats.org/officeDocument/2006/relationships/hyperlink" Target="https://uln.gks.ru/search?q=&#1095;&#1080;&#1089;&#1083;&#1077;&#1085;&#1085;&#1086;&#1089;&#1090;&#1100;+&#1042;&#1077;&#1096;&#1082;&#1072;&#1081;&#1084;&#1089;&#1082;&#1086;&#1075;&#1086;+&#1088;&#1072;&#1081;&#1086;&#1085;&#1072;" TargetMode="External"/><Relationship Id="rId597" Type="http://schemas.openxmlformats.org/officeDocument/2006/relationships/hyperlink" Target="https://www.gks.ru/scripts/db_inet2/passport/table.aspx?opt=718760002020" TargetMode="External"/><Relationship Id="rId720" Type="http://schemas.openxmlformats.org/officeDocument/2006/relationships/hyperlink" Target="http://gcheb.cap.ru/doc/laws/2018/02/09/postanovlenie201" TargetMode="External"/><Relationship Id="rId818" Type="http://schemas.openxmlformats.org/officeDocument/2006/relationships/hyperlink" Target="https://rosstat.gov.ru/compendium/document/13282" TargetMode="External"/><Relationship Id="rId152" Type="http://schemas.openxmlformats.org/officeDocument/2006/relationships/hyperlink" Target="https://ovmf2.consultant.ru/cgi/online.cgi?req=doc&amp;ts=1221384029048017265032415124&amp;cacheid=0B4A555950C6A7B3B7F5320E42485259&amp;mode=splus&amp;base=MOB&amp;n=326046&amp;rnd=766ED2922F66E41589131AB5C030BDB0" TargetMode="External"/><Relationship Id="rId457" Type="http://schemas.openxmlformats.org/officeDocument/2006/relationships/hyperlink" Target="http://alapaevskoe.ru/article/show/id/10121" TargetMode="External"/><Relationship Id="rId664" Type="http://schemas.openxmlformats.org/officeDocument/2006/relationships/hyperlink" Target="http://www.admkonda.ru/narodnyy-byudzhet-sp-leushi.html" TargetMode="External"/><Relationship Id="rId14" Type="http://schemas.openxmlformats.org/officeDocument/2006/relationships/hyperlink" Target="https://www.govvrn.ru/iniciativnoe-budzetirovanie" TargetMode="External"/><Relationship Id="rId317" Type="http://schemas.openxmlformats.org/officeDocument/2006/relationships/hyperlink" Target="https://pravo.donland.ru/doc/view/id/%D0%9F%D0%BE%D1%81%D1%82%D0%B0%D0%BD%D0%BE%D0%B2%D0%BB%D0%B5%D0%BD%D0%B8%D0%B5_280_07042021_26978/" TargetMode="External"/><Relationship Id="rId524" Type="http://schemas.openxmlformats.org/officeDocument/2006/relationships/hyperlink" Target="https://uln.gks.ru/search?q=&#1095;&#1080;&#1089;&#1083;&#1077;&#1085;&#1085;&#1086;&#1089;&#1090;&#1100;+&#1085;&#1072;&#1089;&#1077;&#1083;&#1077;&#1085;&#1080;&#1103;" TargetMode="External"/><Relationship Id="rId731" Type="http://schemas.openxmlformats.org/officeDocument/2006/relationships/hyperlink" Target="http://sh2.edushd.ru/partisipatornoe-byudzhetirovanie/index.php" TargetMode="External"/><Relationship Id="rId98" Type="http://schemas.openxmlformats.org/officeDocument/2006/relationships/hyperlink" Target="https://adm.rkursk.ru/index.php?id=10&amp;mat_id=89749&amp;query=%ED%E0%F0%EE%E4%ED%FB%E9+%E1%FE%E4%E6%E5%F2+%E8%E7%E2%E5%F9%E5%ED%E8%E5+2019" TargetMode="External"/><Relationship Id="rId163" Type="http://schemas.openxmlformats.org/officeDocument/2006/relationships/hyperlink" Target="https://docs.cntd.ru/document/570845985?marker" TargetMode="External"/><Relationship Id="rId370" Type="http://schemas.openxmlformats.org/officeDocument/2006/relationships/hyperlink" Target="https://rosstat.gov.ru/" TargetMode="External"/><Relationship Id="rId829" Type="http://schemas.openxmlformats.org/officeDocument/2006/relationships/hyperlink" Target="https://pravo.govvrn.ru/?q=node/4592" TargetMode="External"/><Relationship Id="rId230" Type="http://schemas.openxmlformats.org/officeDocument/2006/relationships/hyperlink" Target="http://publication.pravo.gov.ru/Document/View/6200201912230025" TargetMode="External"/><Relationship Id="rId468" Type="http://schemas.openxmlformats.org/officeDocument/2006/relationships/hyperlink" Target="http://www.georgievsk.ru/duma/reshen/469-24.doc" TargetMode="External"/><Relationship Id="rId675" Type="http://schemas.openxmlformats.org/officeDocument/2006/relationships/hyperlink" Target="http://admkonda.ru/tinybrowser/files/poseleniya2019/mortka/postrasp/mortka-post-2019-05-132.doc" TargetMode="External"/><Relationship Id="rId25" Type="http://schemas.openxmlformats.org/officeDocument/2006/relationships/hyperlink" Target="https://login.consultant.ru/link/?req=doc&amp;base=RLAW180&amp;n=219646&amp;dst=106824" TargetMode="External"/><Relationship Id="rId328" Type="http://schemas.openxmlformats.org/officeDocument/2006/relationships/hyperlink" Target="https://&#1094;&#1084;&#1087;&#1080;.&#1088;&#1092;/" TargetMode="External"/><Relationship Id="rId535" Type="http://schemas.openxmlformats.org/officeDocument/2006/relationships/hyperlink" Target="http://adm-melekess.ru/strukturnye-podrazdelenija/narodnyi-byudzhet.html" TargetMode="External"/><Relationship Id="rId742" Type="http://schemas.openxmlformats.org/officeDocument/2006/relationships/hyperlink" Target="http://muravlenko.yanao.ru/ekonomika-i-zhkh/municipalnye-finansy/bjudzhetnaya-iniciativa-grazhdan/" TargetMode="External"/><Relationship Id="rId174" Type="http://schemas.openxmlformats.org/officeDocument/2006/relationships/hyperlink" Target="https://&#1094;&#1084;&#1087;&#1080;.&#1088;&#1092;/proekty/" TargetMode="External"/><Relationship Id="rId381" Type="http://schemas.openxmlformats.org/officeDocument/2006/relationships/hyperlink" Target="https://novgorodstat.gks.ru/storage/mediabank/%D0%9D%D0%B0%D1%81%D0%B5%D0%BB%D0%B5%D0%BD%D0%B8%D0%B5%202020.pdf" TargetMode="External"/><Relationship Id="rId602" Type="http://schemas.openxmlformats.org/officeDocument/2006/relationships/hyperlink" Target="https://www.admrad.ru/%d0%b8%d0%bd%d1%84%d0%be%d1%80%d0%bc%d0%b0%d1%86%d0%b8%d0%be%d0%bd%d0%bd%d0%be%d0%b5-%d1%81%d0%be%d0%be%d0%b1%d1%89%d0%b5%d0%bd%d0%b8%d0%b5-%d0%be-%d0%bf%d1%80%d0%be%d0%b2%d0%b5%d0%b4%d0%b5%d0%bd-6/" TargetMode="External"/><Relationship Id="rId241" Type="http://schemas.openxmlformats.org/officeDocument/2006/relationships/hyperlink" Target="https://maristat.gks.ru/folder/27269" TargetMode="External"/><Relationship Id="rId479" Type="http://schemas.openxmlformats.org/officeDocument/2006/relationships/hyperlink" Target="http://www.mozhga-rayon.ru/about/info/initsiativnoe-byudzhetirovanie-nashe-selo/" TargetMode="External"/><Relationship Id="rId686" Type="http://schemas.openxmlformats.org/officeDocument/2006/relationships/hyperlink" Target="https://cloud.mail.ru/public/4UDj/29skSVipr" TargetMode="External"/><Relationship Id="rId36" Type="http://schemas.openxmlformats.org/officeDocument/2006/relationships/hyperlink" Target="https://www.youtube.com/watch?v=yStxxSP1eWg,https://www.youtube.com/watch?v=4iZ4CeBNjSQ," TargetMode="External"/><Relationship Id="rId339" Type="http://schemas.openxmlformats.org/officeDocument/2006/relationships/hyperlink" Target="https://invest-orel.ru/" TargetMode="External"/><Relationship Id="rId546" Type="http://schemas.openxmlformats.org/officeDocument/2006/relationships/hyperlink" Target="https://www.gks.ru/scripts/db_inet2/passport/table.aspx?opt=736481002020" TargetMode="External"/><Relationship Id="rId753" Type="http://schemas.openxmlformats.org/officeDocument/2006/relationships/hyperlink" Target="http://nadymregion.ru/upload/&#1055;&#1086;&#1089;&#1090;&#1072;&#1085;&#1086;&#1074;&#1083;&#1077;&#1085;&#1080;&#1077;%2097.docx" TargetMode="External"/><Relationship Id="rId101" Type="http://schemas.openxmlformats.org/officeDocument/2006/relationships/hyperlink" Target="https://petrostat.gks.ru/folder/29437" TargetMode="External"/><Relationship Id="rId185" Type="http://schemas.openxmlformats.org/officeDocument/2006/relationships/hyperlink" Target="http://docs.cntd.ru/document/553230534" TargetMode="External"/><Relationship Id="rId406" Type="http://schemas.openxmlformats.org/officeDocument/2006/relationships/hyperlink" Target="http://sorochinsk56.ru/index.php?id=2120" TargetMode="External"/><Relationship Id="rId392" Type="http://schemas.openxmlformats.org/officeDocument/2006/relationships/hyperlink" Target="http://poltav.poltav.omskportal.ru/omsu/poltav-3-52-248-1/poseleniya/poltavskoe-gorodskoe/programmy/Soc_ekonom" TargetMode="External"/><Relationship Id="rId613" Type="http://schemas.openxmlformats.org/officeDocument/2006/relationships/hyperlink" Target="http://hmrn.ru/gkh/zhile-i-gorodskaya-sreda/normativno-pravovye-akty/?clear_cache=Y" TargetMode="External"/><Relationship Id="rId697" Type="http://schemas.openxmlformats.org/officeDocument/2006/relationships/hyperlink" Target="https://www.gks.ru/scripts/db_inet2/passport/table.aspx?opt=718110002020" TargetMode="External"/><Relationship Id="rId820" Type="http://schemas.openxmlformats.org/officeDocument/2006/relationships/hyperlink" Target="http://purpe.info/component/jdownloads/summary/391-2020-god/18443-7-p-o-realizatsii-proekta-po-podderzhke-initsiativ-v-ramkakh-proekta-byudzhetnaya-initsiativa-grazhdan?Itemid=0" TargetMode="External"/><Relationship Id="rId252" Type="http://schemas.openxmlformats.org/officeDocument/2006/relationships/hyperlink" Target="https://youtu.be/MFAABUpO15k" TargetMode="External"/><Relationship Id="rId47" Type="http://schemas.openxmlformats.org/officeDocument/2006/relationships/hyperlink" Target="http://www.statdata.ru/naselenie/kostromskoi-oblasti" TargetMode="External"/><Relationship Id="rId112" Type="http://schemas.openxmlformats.org/officeDocument/2006/relationships/hyperlink" Target="http://publication.pravo.gov.ru/Document/View/6900201912310001" TargetMode="External"/><Relationship Id="rId557" Type="http://schemas.openxmlformats.org/officeDocument/2006/relationships/hyperlink" Target="http://www.chufarovogp.ru/load/postanovlenie_110_ot_16_08_2018g/1-1-0-1586" TargetMode="External"/><Relationship Id="rId764" Type="http://schemas.openxmlformats.org/officeDocument/2006/relationships/hyperlink" Target="https://vektor-tv.ru/upload/iblock/edf/edf43b0aa455055a1a5eb455ec3d1e53.png" TargetMode="External"/><Relationship Id="rId196" Type="http://schemas.openxmlformats.org/officeDocument/2006/relationships/hyperlink" Target="https://www.samregion.ru/open_government/institutions-gubernatorskij-proekt-sodejstvie/" TargetMode="External"/><Relationship Id="rId417" Type="http://schemas.openxmlformats.org/officeDocument/2006/relationships/hyperlink" Target="https://bz.orb.ru/files/documents/narod-budget-itogi.rar" TargetMode="External"/><Relationship Id="rId624" Type="http://schemas.openxmlformats.org/officeDocument/2006/relationships/hyperlink" Target="http://www.statdata.ru/naselenie/naselenie-hmao" TargetMode="External"/><Relationship Id="rId831" Type="http://schemas.openxmlformats.org/officeDocument/2006/relationships/hyperlink" Target="http://www.tosvrn.ru/files/docs/2021/polozhenie_o_konkurse_obwestvenno_poleznyh_proektov_tos_2021_1.docx" TargetMode="External"/><Relationship Id="rId263" Type="http://schemas.openxmlformats.org/officeDocument/2006/relationships/hyperlink" Target="https://vesti-kalmykia.ru/news/nachinaetsya-realizaciya-razvitiya-selskih-territorij;" TargetMode="External"/><Relationship Id="rId470" Type="http://schemas.openxmlformats.org/officeDocument/2006/relationships/hyperlink" Target="http://ipatovo.org/page.php?id=18658" TargetMode="External"/><Relationship Id="rId58" Type="http://schemas.openxmlformats.org/officeDocument/2006/relationships/hyperlink" Target="https://login.consultant.ru/link/?req=doc&amp;base=RLAW265&amp;n=104518&amp;dst=100006" TargetMode="External"/><Relationship Id="rId123" Type="http://schemas.openxmlformats.org/officeDocument/2006/relationships/hyperlink" Target="https://gkh.tmbreg.ru/form/Dostup_Sreda/Dostup_sreda_ogl.htm" TargetMode="External"/><Relationship Id="rId330" Type="http://schemas.openxmlformats.org/officeDocument/2006/relationships/hyperlink" Target="https://docs.cntd.ru/document/450360732" TargetMode="External"/><Relationship Id="rId568" Type="http://schemas.openxmlformats.org/officeDocument/2006/relationships/hyperlink" Target="http://www.agro.cap.ru/action/activity/iniciativnoe-byudzhetirovanie" TargetMode="External"/><Relationship Id="rId775" Type="http://schemas.openxmlformats.org/officeDocument/2006/relationships/hyperlink" Target="http://www.admin-moovg.ru/byudzhetnaya-iniciativa-grazhdan.html" TargetMode="External"/><Relationship Id="rId428" Type="http://schemas.openxmlformats.org/officeDocument/2006/relationships/hyperlink" Target="http://finotdnovoorsk.ru/kadrovoe-obespechenie" TargetMode="External"/><Relationship Id="rId635" Type="http://schemas.openxmlformats.org/officeDocument/2006/relationships/hyperlink" Target="http://www.statdata.ru/naselenie/naselenie-hmao" TargetMode="External"/><Relationship Id="rId842" Type="http://schemas.openxmlformats.org/officeDocument/2006/relationships/hyperlink" Target="https://krasstat.gks.ru/folder/32970" TargetMode="External"/><Relationship Id="rId274" Type="http://schemas.openxmlformats.org/officeDocument/2006/relationships/hyperlink" Target="https://minregion-ra.ru/wp-content/uploads/2018/03/%D0%9F%D0%BE%D1%81%D1%82%D0%B0%D0%BD%D0%BE%D0%B2%D0%BB%D0%B5%D0%BD%D0%B8%D0%B5-%E2%84%96-25-%D0%BE%D1%82-31.01.2018.pdf" TargetMode="External"/><Relationship Id="rId481" Type="http://schemas.openxmlformats.org/officeDocument/2006/relationships/hyperlink" Target="http://www.mozhga-rayon.ru/about/info/initsiativnoe-byudzhetirovanie-nashe-selo/" TargetMode="External"/><Relationship Id="rId702" Type="http://schemas.openxmlformats.org/officeDocument/2006/relationships/hyperlink" Target="http://vkazym.ru/admininstration-actions/budget/initiative_budgeting/" TargetMode="External"/><Relationship Id="rId69" Type="http://schemas.openxmlformats.org/officeDocument/2006/relationships/hyperlink" Target="https://kaliningrad.gks.ru/population" TargetMode="External"/><Relationship Id="rId134" Type="http://schemas.openxmlformats.org/officeDocument/2006/relationships/hyperlink" Target="http://publication.pravo.gov.ru/Document/View/7100202102010001" TargetMode="External"/><Relationship Id="rId579" Type="http://schemas.openxmlformats.org/officeDocument/2006/relationships/hyperlink" Target="https://www.gks.ru/scripts/db_inet2/passport/table.aspx?opt=718110002020" TargetMode="External"/><Relationship Id="rId786" Type="http://schemas.openxmlformats.org/officeDocument/2006/relationships/hyperlink" Target="http://www.&#1078;&#1080;&#1074;&#1105;&#1084;&#1085;&#1072;&#1089;&#1077;&#1074;&#1077;&#1088;&#1077;.&#1088;&#1091;/" TargetMode="External"/><Relationship Id="rId341" Type="http://schemas.openxmlformats.org/officeDocument/2006/relationships/hyperlink" Target="https://gorodsreda.ru/" TargetMode="External"/><Relationship Id="rId439" Type="http://schemas.openxmlformats.org/officeDocument/2006/relationships/hyperlink" Target="https://penza-gorod.ru/news/na_grantovuyu_podderzhku_initsiativ_zhiteley_v_2020_godu_napravleno_18_millionov_rubley/" TargetMode="External"/><Relationship Id="rId646" Type="http://schemas.openxmlformats.org/officeDocument/2006/relationships/hyperlink" Target="http://admpioner.ru/Katalog/20201" TargetMode="External"/><Relationship Id="rId201" Type="http://schemas.openxmlformats.org/officeDocument/2006/relationships/hyperlink" Target="https://tvoybudget.spb.ru/materials/material/80" TargetMode="External"/><Relationship Id="rId285" Type="http://schemas.openxmlformats.org/officeDocument/2006/relationships/hyperlink" Target="http://mcx-altai.ru/proekt-gosudarstvennoj-programmy-kompleksnogo-razvitiya-sela" TargetMode="External"/><Relationship Id="rId506" Type="http://schemas.openxmlformats.org/officeDocument/2006/relationships/hyperlink" Target="https://www.mo-veshkaima.ru/view_news.php?id=21638" TargetMode="External"/><Relationship Id="rId853" Type="http://schemas.openxmlformats.org/officeDocument/2006/relationships/hyperlink" Target="https://vk.com/club82210903" TargetMode="External"/><Relationship Id="rId492" Type="http://schemas.openxmlformats.org/officeDocument/2006/relationships/hyperlink" Target="https://vk.com/club181006482?w=wall-181006482_775;http://glazrayon.ru/poseleniya/mo_kachkashurskoe/index.php?PAGEN_1=3&amp;clear_cache=Y&amp;logout_butt=%D0%92%D1%8B%D0%B9%D1%82%D0%B8" TargetMode="External"/><Relationship Id="rId713" Type="http://schemas.openxmlformats.org/officeDocument/2006/relationships/hyperlink" Target="https://www.gks.ru/scripts/db_inet2/passport/table.aspx?opt=718114192020" TargetMode="External"/><Relationship Id="rId797" Type="http://schemas.openxmlformats.org/officeDocument/2006/relationships/hyperlink" Target="https://rosstat.gov.ru/compendium/document/13282" TargetMode="External"/><Relationship Id="rId145" Type="http://schemas.openxmlformats.org/officeDocument/2006/relationships/hyperlink" Target="https://habstat.gks.ru/" TargetMode="External"/><Relationship Id="rId352" Type="http://schemas.openxmlformats.org/officeDocument/2006/relationships/hyperlink" Target="https://blagoveshensk.bashkortostan.ru/documents/active/260746/" TargetMode="External"/><Relationship Id="rId212" Type="http://schemas.openxmlformats.org/officeDocument/2006/relationships/hyperlink" Target="https://veved.ru/perm/perm-news/152842-v-prikame-na-kraevoj-konkurs-postupilo-pochti-300-proektov-iniciativnogo-bjudzhetirovanija.html" TargetMode="External"/><Relationship Id="rId657" Type="http://schemas.openxmlformats.org/officeDocument/2006/relationships/hyperlink" Target="http://www.statdata.ru/naselenie/naselenie-hmao" TargetMode="External"/><Relationship Id="rId296" Type="http://schemas.openxmlformats.org/officeDocument/2006/relationships/hyperlink" Target="http://docs.cntd.ru/document/553216517" TargetMode="External"/><Relationship Id="rId517" Type="http://schemas.openxmlformats.org/officeDocument/2006/relationships/hyperlink" Target="https://www.mo-veshkaima.ru/view_news.php?id=21638" TargetMode="External"/><Relationship Id="rId724" Type="http://schemas.openxmlformats.org/officeDocument/2006/relationships/hyperlink" Target="https://docs.cntd.ru/document/561701850" TargetMode="External"/><Relationship Id="rId60" Type="http://schemas.openxmlformats.org/officeDocument/2006/relationships/hyperlink" Target="http://www.statdata.ru/naselenie/kostromskoi-oblasti" TargetMode="External"/><Relationship Id="rId156" Type="http://schemas.openxmlformats.org/officeDocument/2006/relationships/hyperlink" Target="http://mf.nnov.ru/files/budget/N_PA/Proekt/2019/Postanovlenie_616_ot_30.08.2019.zip" TargetMode="External"/><Relationship Id="rId363" Type="http://schemas.openxmlformats.org/officeDocument/2006/relationships/hyperlink" Target="https://old.kaluga-gov.ru/?q=&#1080;&#1085;&#1080;&#1094;&#1080;&#1072;&#1090;&#1080;&#1074;&#1085;&#1086;&#1077;-&#1073;&#1102;&#1076;&#1078;&#1077;&#1090;&#1080;&#1088;&#1086;&#1074;&#1072;&#1085;&#1080;&#1077;_442365699" TargetMode="External"/><Relationship Id="rId570" Type="http://schemas.openxmlformats.org/officeDocument/2006/relationships/hyperlink" Target="http://www.cap.ru/doc/laws/2018/07/02/decree_311127/" TargetMode="External"/><Relationship Id="rId223" Type="http://schemas.openxmlformats.org/officeDocument/2006/relationships/hyperlink" Target="https://www.youtube.com/watch?v=DNii10B8ujw" TargetMode="External"/><Relationship Id="rId430" Type="http://schemas.openxmlformats.org/officeDocument/2006/relationships/hyperlink" Target="http://finotdnovoorsk.ru/" TargetMode="External"/><Relationship Id="rId668" Type="http://schemas.openxmlformats.org/officeDocument/2006/relationships/hyperlink" Target="http://www.shugur.ru/documents/1396.html" TargetMode="External"/><Relationship Id="rId18" Type="http://schemas.openxmlformats.org/officeDocument/2006/relationships/hyperlink" Target="https://voronezhstat.gks.ru/" TargetMode="External"/><Relationship Id="rId528" Type="http://schemas.openxmlformats.org/officeDocument/2006/relationships/hyperlink" Target="mailto:kuz-fu@mail.ru." TargetMode="External"/><Relationship Id="rId735" Type="http://schemas.openxmlformats.org/officeDocument/2006/relationships/hyperlink" Target="http://www.newurengoy.ru/" TargetMode="External"/><Relationship Id="rId167" Type="http://schemas.openxmlformats.org/officeDocument/2006/relationships/hyperlink" Target="https://&#1094;&#1084;&#1087;&#1080;.&#1088;&#1092;/novosti/katalog-sbornik-proektov-realizovannykh-v-2020-godu/" TargetMode="External"/><Relationship Id="rId374" Type="http://schemas.openxmlformats.org/officeDocument/2006/relationships/hyperlink" Target="https://dzhankoy.rk.gov.ru/article/show/2019_12_03_16_22_vnimaniiu_zhitelei_goroda" TargetMode="External"/><Relationship Id="rId581" Type="http://schemas.openxmlformats.org/officeDocument/2006/relationships/hyperlink" Target="http://www.admbel.ru/local-control/administration/finans/part/" TargetMode="External"/><Relationship Id="rId71" Type="http://schemas.openxmlformats.org/officeDocument/2006/relationships/hyperlink" Target="https://stavstat.gks.ru/storage/mediabank/%D0%9E%D1%86%D0%B5%D0%BD%D0%BA%D0%B0%20%D1%87%D0%B8%D1%81%D0%BB%D0%B5%D0%BD%D0%BD%D0%BE%D1%81%D1%82%D0%B8%20%D0%BD%D0%B0%D1%81%D0%B5%D0%BB%D0%B5%D0%BD%D0%B8%D1%8F%20%D0%9A%D0%91%D0%A0%20%D0%BD%D0%B0%2001.01.2020%D0%B3.%20%D0%B8%20%D0%B2%20%D1%81%D1%80%D0%B5%D0%B4%D0%BD%D0%B5%D0%BC%20%D0%B7%D0%B0%202019%D0%B3..pdf" TargetMode="External"/><Relationship Id="rId234" Type="http://schemas.openxmlformats.org/officeDocument/2006/relationships/hyperlink" Target="https://ryazan.gks.ru/storage/mediabank/%D0%9E%D1%86%D0%B5%D0%BD%D0%BA%D0%B0%20%D1%87%D0%B8%D1%81%D0%BB%D0%B5%D0%BD%D0%BD%D0%BE%D1%81%D1%82%D0%B8%20%D0%BF%D0%BE%D1%81%D1%82%D0%BE%D1%8F%D0%BD%D0%BD%D0%BE%D0%B3%D0%BE%20%D0%BD%D0%B0%D1%81%D0%B5%D0%BB%D0%B5%D0%BD%D0%B8%D1%8F%20%D0%A0%D1%8F%D0%B7%D0%B0%D0%BD%D1%81%D0%BA%D0%BE%D0%B9%20%D0%BE%D0%B1%D0%BB%D0%B0%D1%81%D1%82%D0%B8%20%D0%BD%D0%B0%201%20%D1%8F%D0%BD%D0%B2%D0%B0%D1%80%D1%8F%202020%20%D0%B3%D0%BE%D0%B4%D0%B0.pdf" TargetMode="External"/><Relationship Id="rId679" Type="http://schemas.openxmlformats.org/officeDocument/2006/relationships/hyperlink" Target="http://admkuma.ru/narodnyy-byudzhet.html" TargetMode="External"/><Relationship Id="rId802" Type="http://schemas.openxmlformats.org/officeDocument/2006/relationships/hyperlink" Target="http://www.mo-urengoy.ru/index.php?option=com_content&amp;view=article&amp;id=4613" TargetMode="External"/><Relationship Id="rId2" Type="http://schemas.openxmlformats.org/officeDocument/2006/relationships/hyperlink" Target="https://docs.cntd.ru/document/444790925" TargetMode="External"/><Relationship Id="rId29" Type="http://schemas.openxmlformats.org/officeDocument/2006/relationships/hyperlink" Target="https://budget4me-34.ru/" TargetMode="External"/><Relationship Id="rId441" Type="http://schemas.openxmlformats.org/officeDocument/2006/relationships/hyperlink" Target="https://vk.com/rescentrsyz" TargetMode="External"/><Relationship Id="rId539" Type="http://schemas.openxmlformats.org/officeDocument/2006/relationships/hyperlink" Target="http://www.sengilej.ru/filemanager.aspx?folderid=433" TargetMode="External"/><Relationship Id="rId746" Type="http://schemas.openxmlformats.org/officeDocument/2006/relationships/hyperlink" Target="https://&#1078;&#1080;&#1074;&#1105;&#1084;&#1085;&#1072;&#1089;&#1077;&#1074;&#1077;&#1088;&#1077;.&#1088;&#1092;/" TargetMode="External"/><Relationship Id="rId178" Type="http://schemas.openxmlformats.org/officeDocument/2006/relationships/hyperlink" Target="https://&#1094;&#1084;&#1087;&#1080;.&#1088;&#1092;/novosti/katalog-sbornik-proektov-realizovannykh-v-2020-godu/" TargetMode="External"/><Relationship Id="rId301" Type="http://schemas.openxmlformats.org/officeDocument/2006/relationships/hyperlink" Target="http://www.minec-rd.ru/mestnye-initsiativy" TargetMode="External"/><Relationship Id="rId82" Type="http://schemas.openxmlformats.org/officeDocument/2006/relationships/hyperlink" Target="https://dtf.avo.ru/podderzka-iniciativ-naselenia" TargetMode="External"/><Relationship Id="rId385" Type="http://schemas.openxmlformats.org/officeDocument/2006/relationships/hyperlink" Target="https://5310skom.edusite.ru/DswMedia/prikaz28042020-84.pdf" TargetMode="External"/><Relationship Id="rId592" Type="http://schemas.openxmlformats.org/officeDocument/2006/relationships/hyperlink" Target="https://admsr.ru/budget/initsiativnoe-byudzhetirovanie/" TargetMode="External"/><Relationship Id="rId606" Type="http://schemas.openxmlformats.org/officeDocument/2006/relationships/hyperlink" Target="https://adm.gov86.org/399/416/2121/2124/_p2_aview_b1176" TargetMode="External"/><Relationship Id="rId813" Type="http://schemas.openxmlformats.org/officeDocument/2006/relationships/hyperlink" Target="https://trk-luch.ru/news/from-idea-to-implementation/?sphrase_id=66413" TargetMode="External"/><Relationship Id="rId245" Type="http://schemas.openxmlformats.org/officeDocument/2006/relationships/hyperlink" Target="https://ppmi.yakutia.click/Home" TargetMode="External"/><Relationship Id="rId452" Type="http://schemas.openxmlformats.org/officeDocument/2006/relationships/hyperlink" Target="https://samadm.ru/authority/samarsky_district/your-designer-courtyard-s-r/" TargetMode="External"/><Relationship Id="rId105" Type="http://schemas.openxmlformats.org/officeDocument/2006/relationships/hyperlink" Target="https://msu.lenobl.ru/ru/programmy-i-plany/iniciativnye-komissii-v-administrativnyh-centrah/2020-god/" TargetMode="External"/><Relationship Id="rId312" Type="http://schemas.openxmlformats.org/officeDocument/2006/relationships/hyperlink" Target="https://admkrai.krasnodar.ru/upload/iblock/7fb/7fbf0fe8cabed452fca8a88b2bf79a92.pdf" TargetMode="External"/><Relationship Id="rId757" Type="http://schemas.openxmlformats.org/officeDocument/2006/relationships/hyperlink" Target="https://zapolyarny-adm.yanao.ru/byudzhetnaya-iniciativa-grazhdan.html" TargetMode="External"/><Relationship Id="rId93" Type="http://schemas.openxmlformats.org/officeDocument/2006/relationships/hyperlink" Target="https://minstroyrf.gov.ru/upload/iblock/7b3/Gorsreda_brandbook_new.pdf" TargetMode="External"/><Relationship Id="rId189" Type="http://schemas.openxmlformats.org/officeDocument/2006/relationships/hyperlink" Target="https://ovmf2.consultant.ru/cgi/online.cgi?req=doc&amp;cacheid=D5B049842777A6A21BFAADF56F06EA5C&amp;SORTTYPE=0&amp;BASENODE=23700&amp;ts=45898649024806218800036728&amp;base=RLAW148&amp;n=165928&amp;rnd=0B2C7C8FF542C7F5FBABDE5D700E1C5E" TargetMode="External"/><Relationship Id="rId396" Type="http://schemas.openxmlformats.org/officeDocument/2006/relationships/hyperlink" Target="http://&#1073;&#1091;&#1079;&#1091;&#1083;&#1091;&#1082;.&#1088;&#1092;/content/%D0%BD%D0%B0%D1%80%D0%BE%D0%B4%D0%BD%D1%8B%D0%B9-%D0%B1%D1%8E%D0%B4%D0%B6%D0%B5%D1%82" TargetMode="External"/><Relationship Id="rId617" Type="http://schemas.openxmlformats.org/officeDocument/2006/relationships/hyperlink" Target="https://www.n-vartovsk.ru/ibudget/" TargetMode="External"/><Relationship Id="rId824" Type="http://schemas.openxmlformats.org/officeDocument/2006/relationships/hyperlink" Target="http://&#1093;&#1072;&#1083;&#1103;&#1089;&#1072;&#1074;&#1101;&#1081;.&#1088;&#1092;/" TargetMode="External"/><Relationship Id="rId256" Type="http://schemas.openxmlformats.org/officeDocument/2006/relationships/hyperlink" Target="https://krl.gks.ru/folder/31905" TargetMode="External"/><Relationship Id="rId463" Type="http://schemas.openxmlformats.org/officeDocument/2006/relationships/hyperlink" Target="https://www.gks.ru/scripts/db_inet2/passport/munr.aspx?base=munst65" TargetMode="External"/><Relationship Id="rId670" Type="http://schemas.openxmlformats.org/officeDocument/2006/relationships/hyperlink" Target="http://lugovoikonda.ru/narodnyy-byudzhet.html" TargetMode="External"/><Relationship Id="rId116" Type="http://schemas.openxmlformats.org/officeDocument/2006/relationships/hyperlink" Target="https://depfin.tomsk.gov.ru/uploads/ckfinder/285/userfiles/images/%D0%BA%D1%80%D1%83%D0%B3%D0%B8.jpg" TargetMode="External"/><Relationship Id="rId323" Type="http://schemas.openxmlformats.org/officeDocument/2006/relationships/hyperlink" Target="http://publication.pravo.gov.ru/Document/View/4800201904040004?index=0&amp;rangeSize=1" TargetMode="External"/><Relationship Id="rId530" Type="http://schemas.openxmlformats.org/officeDocument/2006/relationships/hyperlink" Target="http://kuzovatovo.ulregion.ru/5886/norma/6793/7975/" TargetMode="External"/><Relationship Id="rId768" Type="http://schemas.openxmlformats.org/officeDocument/2006/relationships/hyperlink" Target="http://adm-gorki.ru/2020-god.html" TargetMode="External"/><Relationship Id="rId20" Type="http://schemas.openxmlformats.org/officeDocument/2006/relationships/hyperlink" Target="https://df.gov35.ru/dokumenty-strategicheskogo-planirovaniya/gosudarstvennaya-programma-departamenta-finansov/aktualnaya-versiya-gosudarstvennoy-programmy/" TargetMode="External"/><Relationship Id="rId628" Type="http://schemas.openxmlformats.org/officeDocument/2006/relationships/hyperlink" Target="http://nvraion.ru/ekonomika-i-finansy/chislennost/" TargetMode="External"/><Relationship Id="rId835" Type="http://schemas.openxmlformats.org/officeDocument/2006/relationships/hyperlink" Target="https://pravo.govvrn.ru/?q=node/21716" TargetMode="External"/><Relationship Id="rId267" Type="http://schemas.openxmlformats.org/officeDocument/2006/relationships/hyperlink" Target="http://minfin.kalmregion.ru/deyatelnost/initsiativnoe-byudzhetirovanie/" TargetMode="External"/><Relationship Id="rId474" Type="http://schemas.openxmlformats.org/officeDocument/2006/relationships/hyperlink" Target="http://www.tyumen-city.ru/ekonomika/finansi/iniciativnoe-budjetirovanie/" TargetMode="External"/><Relationship Id="rId127" Type="http://schemas.openxmlformats.org/officeDocument/2006/relationships/hyperlink" Target="https://www.tambov.gov.ru/gmspk/urt.html" TargetMode="External"/><Relationship Id="rId681" Type="http://schemas.openxmlformats.org/officeDocument/2006/relationships/hyperlink" Target="https://www.gks.ru/scripts/db_inet2/passport/table.aspx?opt=718161512020" TargetMode="External"/><Relationship Id="rId779" Type="http://schemas.openxmlformats.org/officeDocument/2006/relationships/hyperlink" Target="http://&#1087;&#1088;&#1080;&#1091;&#1088;&#1072;&#1083;&#1100;&#1089;&#1082;&#1080;&#1081;&#1088;&#1072;&#1081;&#1086;&#1085;.&#1088;&#1092;/legal-acts/the-orders-of-administration/?year=2020" TargetMode="External"/><Relationship Id="rId31" Type="http://schemas.openxmlformats.org/officeDocument/2006/relationships/hyperlink" Target="http://publication.pravo.gov.ru/Document/View/4200201908130001" TargetMode="External"/><Relationship Id="rId334" Type="http://schemas.openxmlformats.org/officeDocument/2006/relationships/hyperlink" Target="https://arhangelskstat.gks.ru/population111" TargetMode="External"/><Relationship Id="rId541" Type="http://schemas.openxmlformats.org/officeDocument/2006/relationships/hyperlink" Target="https://stkulatka.ulregion.ru/mz/marat/1933.html" TargetMode="External"/><Relationship Id="rId639" Type="http://schemas.openxmlformats.org/officeDocument/2006/relationships/hyperlink" Target="http://admlangepas.ru/open-budget/proactive-budgeting/" TargetMode="External"/><Relationship Id="rId180" Type="http://schemas.openxmlformats.org/officeDocument/2006/relationships/hyperlink" Target="https://&#1094;&#1084;&#1087;&#1080;.&#1088;&#1092;/%20%20&#1058;&#1077;&#1088;&#1088;&#1080;&#1090;&#1086;&#1088;&#1080;&#1072;&#1083;&#1100;&#1085;&#1086;&#1077;%20&#1086;&#1073;&#1097;&#1077;&#1089;&#1090;&#1074;&#1077;&#1085;&#1085;&#1086;&#1077;%20&#1089;&#1072;&#1084;&#1086;&#1091;&#1087;&#1088;&#1072;&#1074;&#1083;&#1077;&#1085;&#1080;&#1077;%20(xn--h1ahj0a.xn--p1ai)" TargetMode="External"/><Relationship Id="rId278" Type="http://schemas.openxmlformats.org/officeDocument/2006/relationships/hyperlink" Target="https://minfin-altai.ru/documents/files/2019/03/1_Ukaz_51-u.docx" TargetMode="External"/><Relationship Id="rId401" Type="http://schemas.openxmlformats.org/officeDocument/2006/relationships/hyperlink" Target="https://www.finuprgaj.ru/&#1086;&#1090;&#1082;&#1088;&#1099;&#1090;&#1099;&#1081;-&#1073;&#1102;&#1076;&#1078;&#1077;&#1090;/&#1085;&#1072;&#1088;&#1086;&#1076;&#1085;&#1099;&#1081;-&#1073;&#1102;&#1076;&#1078;&#1077;&#1090;-2/&#1076;&#1086;&#1082;&#1091;&#1084;&#1077;&#1085;&#1090;&#1099;" TargetMode="External"/><Relationship Id="rId846" Type="http://schemas.openxmlformats.org/officeDocument/2006/relationships/hyperlink" Target="https://krasniyar.ru/upload/documents/20663/0095%20%D0%BE%D1%82%2014.02.2020%20%D0%9E%D0%B1%20%D1%83%D1%82%D0%B2%D0%B5%D1%80%D0%B6%D0%B4%D0%B5%D0%BD%D0%B8%D0%B8%20%D0%BF%D0%BE%D0%BB%D0%BE%D0%B6%D0%B5%D0%BD%D0%B8%D1%8F%20%D0%BE%D0%B1%20%D0%B5%D0%B6%D0%B5%D0%B3%D0%BE%D0%B4%D0%BD%D0%BE%D0%BC%20%D0%BA%D0%BE%D0%BD%D0%BA%D1%83%D1%80%D1%81%D0%B5%20%D0%BD%D0%B0%20%D0%BB%D1%83%D1%87%D1%88%D0%B8%D0%B9%20%D0%BF%D1%80%D0%BE%D0%B5%D0%BA%D1%82%20%D1%82%D0%B5%D1%80%D1%80%D0%B8%D1%82%D0%BE%D1%80%D0%B8%D0%B0%D0%BB%D1%8C%D0%BD%D0%BE....PDF" TargetMode="External"/><Relationship Id="rId485" Type="http://schemas.openxmlformats.org/officeDocument/2006/relationships/hyperlink" Target="http://&#1079;&#1072;&#1074;&#1100;&#1103;&#1083;&#1086;&#1074;&#1089;&#1082;&#1080;&#1081;.&#1088;&#1092;/about/ekonomika/initsiativnoe-byudzhetirovanie/index.php" TargetMode="External"/><Relationship Id="rId692" Type="http://schemas.openxmlformats.org/officeDocument/2006/relationships/hyperlink" Target="http://pripolarny.ru/konkurs_po_otboru_proektov_initsiativnogo_byudzhetirovaniya_v_selskom_poselenii_pripolyarnyy_2020_god" TargetMode="External"/><Relationship Id="rId706" Type="http://schemas.openxmlformats.org/officeDocument/2006/relationships/hyperlink" Target="https://www.gks.ru/scripts/db_inet2/passport/table.aspx?opt=718114122020" TargetMode="External"/><Relationship Id="rId42" Type="http://schemas.openxmlformats.org/officeDocument/2006/relationships/hyperlink" Target="https://udmstat.gks.ru/folder/51924" TargetMode="External"/><Relationship Id="rId138" Type="http://schemas.openxmlformats.org/officeDocument/2006/relationships/hyperlink" Target="https://gkh.admtyumen.ru/OIGV/gkh/actions/programs/program.htm?id=1138@egTargetGrant" TargetMode="External"/><Relationship Id="rId345" Type="http://schemas.openxmlformats.org/officeDocument/2006/relationships/hyperlink" Target="http://publication.pravo.gov.ru/Document/View/5700201710030002" TargetMode="External"/><Relationship Id="rId552" Type="http://schemas.openxmlformats.org/officeDocument/2006/relationships/hyperlink" Target="https://uln.gks.ru/folder/40275" TargetMode="External"/><Relationship Id="rId191" Type="http://schemas.openxmlformats.org/officeDocument/2006/relationships/hyperlink" Target="https://pskov.ru/vlast/ispolnitelnaya/administratsiya-oblasti/apparat/upravlenie-po-mestnomu-samoupr/territorialnoe-obshchestvennoe" TargetMode="External"/><Relationship Id="rId205" Type="http://schemas.openxmlformats.org/officeDocument/2006/relationships/hyperlink" Target="http://energy.midural.ru/napravleniya-deyatelnosti/formirovanie-komfortnoj-gorodskoj-sredy/" TargetMode="External"/><Relationship Id="rId412" Type="http://schemas.openxmlformats.org/officeDocument/2006/relationships/hyperlink" Target="http://finotdel-akbulak.ru/index.php?option=com_content&amp;view=article&amp;id=202&amp;Itemid=117" TargetMode="External"/><Relationship Id="rId289" Type="http://schemas.openxmlformats.org/officeDocument/2006/relationships/hyperlink" Target="https://vk.com/cigi_isi_rb?z=photo-135547201_456239017%2Falbum-135547201_0%2Frev" TargetMode="External"/><Relationship Id="rId496" Type="http://schemas.openxmlformats.org/officeDocument/2006/relationships/hyperlink" Target="https://bsizgan.ulregion.ru/npa/par-2017/6990.html" TargetMode="External"/><Relationship Id="rId717" Type="http://schemas.openxmlformats.org/officeDocument/2006/relationships/hyperlink" Target="https://www.magnitogorsk.ru/storage/app/uploads/public/5e3/2c2/3a5/5e32c23a5c522990153951.docx" TargetMode="External"/><Relationship Id="rId53" Type="http://schemas.openxmlformats.org/officeDocument/2006/relationships/hyperlink" Target="https://ipr.kostroma.gov.ru/realizatsiya-proektov-razvitiya-osnovannykh-na-obshchestvennykh-initsiativakh/konkursnyy-otbor.php" TargetMode="External"/><Relationship Id="rId149" Type="http://schemas.openxmlformats.org/officeDocument/2006/relationships/hyperlink" Target="https://minsh.khabkrai.ru/Gospodderzhka/Programmy-/Kraevye/Podprogramma-quot-Kompleksnoe-razvitie-selskih-territorij-quot-/Meropriyatiya-podprogrammy-quot-Kompleksnoe-razvitie-selskih-territorij-quot-/574" TargetMode="External"/><Relationship Id="rId356" Type="http://schemas.openxmlformats.org/officeDocument/2006/relationships/hyperlink" Target="https://ilesh.bashkortostan.ru/documents/active/226380/" TargetMode="External"/><Relationship Id="rId563" Type="http://schemas.openxmlformats.org/officeDocument/2006/relationships/hyperlink" Target="https://amursk.ru/index.php?option=com_content&amp;task=blogcategory&amp;id=214&amp;Itemid=361" TargetMode="External"/><Relationship Id="rId770" Type="http://schemas.openxmlformats.org/officeDocument/2006/relationships/hyperlink" Target="http://lopchari-adm.ru/documents/2851.html" TargetMode="External"/><Relationship Id="rId216" Type="http://schemas.openxmlformats.org/officeDocument/2006/relationships/hyperlink" Target="https://www.facebook.com/budget65/%20https:/%20%20%20%20%20%20%20%20%20%20%20%20%20%20%20%20%20%20%20%20%20%20%20%20%20%20%20%20%20%20%20%20%20%20%20%20%20%20%20%20%20%20%20%20%20%20%20%20%20%20%20%20/vk.com/budget65" TargetMode="External"/><Relationship Id="rId423" Type="http://schemas.openxmlformats.org/officeDocument/2006/relationships/hyperlink" Target="http://krasnogvardfo.ru/assets/files/113-npa.rar" TargetMode="External"/><Relationship Id="rId630" Type="http://schemas.openxmlformats.org/officeDocument/2006/relationships/hyperlink" Target="https://gp-izluchinsk.ru/obshchestvennoe-obsuzhdenie2/2430-1/" TargetMode="External"/><Relationship Id="rId728" Type="http://schemas.openxmlformats.org/officeDocument/2006/relationships/hyperlink" Target="https://df.salekhard.org/byudzhetnaya-initsiativa-grazhdan/" TargetMode="External"/><Relationship Id="rId64" Type="http://schemas.openxmlformats.org/officeDocument/2006/relationships/hyperlink" Target="http://dsh.kurganobl.ru/assets/files/Invest/PPKO_28122019_458.pdf" TargetMode="External"/><Relationship Id="rId367" Type="http://schemas.openxmlformats.org/officeDocument/2006/relationships/hyperlink" Target="https://borovsk.bezformata.com/listnews/initciativnoe-byudzhetirovanie-v-borovske/57626896/" TargetMode="External"/><Relationship Id="rId574" Type="http://schemas.openxmlformats.org/officeDocument/2006/relationships/hyperlink" Target="https://yar.gks.ru/storage/mediabank/yaroslavskaya_oblast_v_tsifrah_2020_god.pdf" TargetMode="External"/><Relationship Id="rId227" Type="http://schemas.openxmlformats.org/officeDocument/2006/relationships/hyperlink" Target="https://www.instagram.com/sarminfin/" TargetMode="External"/><Relationship Id="rId781" Type="http://schemas.openxmlformats.org/officeDocument/2006/relationships/hyperlink" Target="http://www.adminbelka.ru/documents/925.html" TargetMode="External"/><Relationship Id="rId434" Type="http://schemas.openxmlformats.org/officeDocument/2006/relationships/hyperlink" Target="http://fin-or.ru/ckfinder/userfiles/images/&#1085;&#1072;&#1088;&#1086;&#1076;&#1085;&#1099;&#1081;%20&#1073;&#1102;&#1076;&#1078;&#1077;&#1090;2.jpg" TargetMode="External"/><Relationship Id="rId641" Type="http://schemas.openxmlformats.org/officeDocument/2006/relationships/hyperlink" Target="http://www.admkogalym.ru/economics/budget/initsiativnoe-byudzhetirovanie/proekt-po-podderzhke-mestnykh-initsiativ-v-gorode-kogalyme/konkursnyy-otbor-proektov-initsiativ-grazhdan-po-voprosam-mestnogo-znacheniya-v-gorode-kogalyme/2020/index.php" TargetMode="External"/><Relationship Id="rId739" Type="http://schemas.openxmlformats.org/officeDocument/2006/relationships/hyperlink" Target="https://&#1078;&#1080;&#1074;&#1105;&#1084;&#1085;&#1072;&#1089;&#1077;&#1074;&#1077;&#1088;&#1077;.&#1088;&#1092;/" TargetMode="External"/><Relationship Id="rId280" Type="http://schemas.openxmlformats.org/officeDocument/2006/relationships/hyperlink" Target="http://gorodsreda.ru/" TargetMode="External"/><Relationship Id="rId501" Type="http://schemas.openxmlformats.org/officeDocument/2006/relationships/hyperlink" Target="http://barysh.org/city/finance/narodnyi_budget/" TargetMode="External"/><Relationship Id="rId75" Type="http://schemas.openxmlformats.org/officeDocument/2006/relationships/hyperlink" Target="https://www.instagram.com/vl.komfortnayasreda/" TargetMode="External"/><Relationship Id="rId140" Type="http://schemas.openxmlformats.org/officeDocument/2006/relationships/hyperlink" Target="https://vk.com/tmncomfort" TargetMode="External"/><Relationship Id="rId378" Type="http://schemas.openxmlformats.org/officeDocument/2006/relationships/hyperlink" Target="http://www.1maysk.ru/index.php?option=com_content&amp;view=article&amp;id=8621%3A2019---&amp;catid=266%3A8889&amp;Itemid=31" TargetMode="External"/><Relationship Id="rId585" Type="http://schemas.openxmlformats.org/officeDocument/2006/relationships/hyperlink" Target="http://www.statdata.ru/naselenie/naselenie-hmao" TargetMode="External"/><Relationship Id="rId792" Type="http://schemas.openxmlformats.org/officeDocument/2006/relationships/hyperlink" Target="https://vk.com/moi_yamalskiy_raion" TargetMode="External"/><Relationship Id="rId806" Type="http://schemas.openxmlformats.org/officeDocument/2006/relationships/hyperlink" Target="http://&#1089;&#1072;&#1084;&#1073;&#1091;&#1088;&#1075;.&#1088;&#1092;/tinybrowser/files/budget/2020/01/protokol_-1.pdf" TargetMode="External"/><Relationship Id="rId6" Type="http://schemas.openxmlformats.org/officeDocument/2006/relationships/hyperlink" Target="https://minfin.alregn.ru/bud/z2020/" TargetMode="External"/><Relationship Id="rId238" Type="http://schemas.openxmlformats.org/officeDocument/2006/relationships/hyperlink" Target="http://mari-el.gov.ru/minselhoz/Pages/normativ2016_5_2_rme.aspx" TargetMode="External"/><Relationship Id="rId445" Type="http://schemas.openxmlformats.org/officeDocument/2006/relationships/hyperlink" Target="http://www.zdsamara.ru/about/info/messages/1662/" TargetMode="External"/><Relationship Id="rId652" Type="http://schemas.openxmlformats.org/officeDocument/2006/relationships/hyperlink" Target="https://m.ok.ru/dk?st.cmd=userMediaStatusComments&amp;st.edit=off&amp;st.rpl=off&amp;st.topicId=152056277614066&amp;_prevCmd=userProfile&amp;tkn=8487&amp;_aid=photoLinkToTopicClick" TargetMode="External"/><Relationship Id="rId291" Type="http://schemas.openxmlformats.org/officeDocument/2006/relationships/hyperlink" Target="http://docs.cntd.ru/document/553216517" TargetMode="External"/><Relationship Id="rId305" Type="http://schemas.openxmlformats.org/officeDocument/2006/relationships/hyperlink" Target="http://www.kirovreg.ru/publ/AkOUP.nsf/de017b98ac867075c32571440061b25c/a477b32730cd333b43258256004958f1?OpenDocument" TargetMode="External"/><Relationship Id="rId512" Type="http://schemas.openxmlformats.org/officeDocument/2006/relationships/hyperlink" Target="https://www.mo-veshkaima.ru/view_news.php?id=21638" TargetMode="External"/><Relationship Id="rId86" Type="http://schemas.openxmlformats.org/officeDocument/2006/relationships/hyperlink" Target="https://law.ulgov.ru/doc/14746" TargetMode="External"/><Relationship Id="rId151" Type="http://schemas.openxmlformats.org/officeDocument/2006/relationships/hyperlink" Target="https://ovmf2.consultant.ru/cgi/online.cgi?rnd=66D8B55318E3190061A470AE6405CD26&amp;req=doc&amp;base=MOB&amp;n=307719&amp;dst=100011&amp;fld=134&amp;REFFIELD=134&amp;REFDST=1000000048&amp;REFDOC=331165&amp;REFBASE=MOB&amp;stat=refcode%3D19827%3Bdstident%3D100011%3Bindex%3D73" TargetMode="External"/><Relationship Id="rId389" Type="http://schemas.openxmlformats.org/officeDocument/2006/relationships/hyperlink" Target="https://novgorodstat.gks.ru/storage/mediabank/%D0%9D%D0%B0%D1%81%D0%B5%D0%BB%D0%B5%D0%BD%D0%B8%D0%B5%202020.pdf" TargetMode="External"/><Relationship Id="rId596" Type="http://schemas.openxmlformats.org/officeDocument/2006/relationships/hyperlink" Target="https://www.gks.ru/scripts/db_inet2/passport/table.aspx?opt=718760002020" TargetMode="External"/><Relationship Id="rId817" Type="http://schemas.openxmlformats.org/officeDocument/2006/relationships/hyperlink" Target="https://vk.com/purovskoe?w=wall-171792864_1132%2Fall" TargetMode="External"/><Relationship Id="rId249" Type="http://schemas.openxmlformats.org/officeDocument/2006/relationships/hyperlink" Target="http://ppmi.sakha.gov.ru/" TargetMode="External"/><Relationship Id="rId456" Type="http://schemas.openxmlformats.org/officeDocument/2006/relationships/hyperlink" Target="https://www.gks.ru/scripts/db_inet2/passport/table.aspx?opt=657710002020" TargetMode="External"/><Relationship Id="rId663" Type="http://schemas.openxmlformats.org/officeDocument/2006/relationships/hyperlink" Target="http://adm-polov.ru/npa-1.html" TargetMode="External"/><Relationship Id="rId13" Type="http://schemas.openxmlformats.org/officeDocument/2006/relationships/hyperlink" Target="http://aleksandrovskoe-pavlovskregion.ru/wp-content/uploads/2018/08/Rasporyazhenie-pravitelstva-Voronezhskoy-oblasti-ot-19.04.2017-----282-r---O-razvitii-initsiativnogo-byudzhetirovaniya-na-territorii-Voronezhskoy-oblasti--.doc" TargetMode="External"/><Relationship Id="rId109" Type="http://schemas.openxmlformats.org/officeDocument/2006/relationships/hyperlink" Target="https://ppmi.tverfin.ru/" TargetMode="External"/><Relationship Id="rId316" Type="http://schemas.openxmlformats.org/officeDocument/2006/relationships/hyperlink" Target="https://pravo.donland.ru/doc/view/id/%D0%9E%D0%B1%D0%BB%D0%B0%D1%81%D1%82%D0%BD%D0%BE%D0%B9+%D0%B7%D0%B0%D0%BA%D0%BE%D0%BD_178-%D0%97%D0%A1_01082019_12886/" TargetMode="External"/><Relationship Id="rId523" Type="http://schemas.openxmlformats.org/officeDocument/2006/relationships/hyperlink" Target="http://www.krasnorechenskoesp.ru/load/narodnyj_bjudzhet/32" TargetMode="External"/><Relationship Id="rId97" Type="http://schemas.openxmlformats.org/officeDocument/2006/relationships/hyperlink" Target="https://kurskstat.gks.ru/storage/mediabank/&#1063;&#1048;&#1057;&#1051;&#1045;&#1053;&#1053;&#1054;&#1057;&#1058;&#1068;%20&#1053;&#1040;&#1057;&#1045;&#1051;&#1045;&#1053;&#1048;&#1071;.pdf" TargetMode="External"/><Relationship Id="rId730" Type="http://schemas.openxmlformats.org/officeDocument/2006/relationships/hyperlink" Target="https://www.gks.ru/dbscripts/munst/munst71/DBInet.cgi" TargetMode="External"/><Relationship Id="rId828" Type="http://schemas.openxmlformats.org/officeDocument/2006/relationships/hyperlink" Target="http://harampur.ru/planirovanie-byudzheta.html" TargetMode="External"/><Relationship Id="rId162" Type="http://schemas.openxmlformats.org/officeDocument/2006/relationships/hyperlink" Target="https://mgu.novreg.ru/npa.html" TargetMode="External"/><Relationship Id="rId467" Type="http://schemas.openxmlformats.org/officeDocument/2006/relationships/hyperlink" Target="http://&#1080;&#1085;&#1080;&#1094;&#1080;&#1072;&#1090;&#1080;&#1074;&#1072;.&#1077;&#1082;&#1072;&#1090;&#1077;&#1088;&#1080;&#1085;&#1073;&#1091;&#1088;&#1075;.&#1088;&#1092;/" TargetMode="External"/><Relationship Id="rId674" Type="http://schemas.openxmlformats.org/officeDocument/2006/relationships/hyperlink" Target="https://ok.ru/group/60701864427563/topic/152963923680043" TargetMode="External"/><Relationship Id="rId24" Type="http://schemas.openxmlformats.org/officeDocument/2006/relationships/hyperlink" Target="https://vologda-oblast.ru/novosti/v_pravitelstve_oblasti_obyavili_o_starte_konkursnogo_otbora_proekta_narodnyy_byudzhet_na_2020_god_/" TargetMode="External"/><Relationship Id="rId327" Type="http://schemas.openxmlformats.org/officeDocument/2006/relationships/hyperlink" Target="https://&#1094;&#1084;&#1087;&#1080;.&#1088;&#1092;/novosti/" TargetMode="External"/><Relationship Id="rId534" Type="http://schemas.openxmlformats.org/officeDocument/2006/relationships/hyperlink" Target="https://www.gks.ru/scripts/db_inet2/passport/table.aspx?opt=736201512020" TargetMode="External"/><Relationship Id="rId741" Type="http://schemas.openxmlformats.org/officeDocument/2006/relationships/hyperlink" Target="http://budget.depfinnbr.ru/initsiativnoe-byudzhetirovanie/proekt-ritm" TargetMode="External"/><Relationship Id="rId839" Type="http://schemas.openxmlformats.org/officeDocument/2006/relationships/hyperlink" Target="https://drive.google.com/drive/folders/1br92umljQK8zz6VbQ0F7_ZPfWFIoDt6_?usp=sharing" TargetMode="External"/><Relationship Id="rId173" Type="http://schemas.openxmlformats.org/officeDocument/2006/relationships/hyperlink" Target="https://vk.com/narodbudget_no" TargetMode="External"/><Relationship Id="rId380" Type="http://schemas.openxmlformats.org/officeDocument/2006/relationships/hyperlink" Target="https://nizhstat.gks.ru/ofstatistics" TargetMode="External"/><Relationship Id="rId601" Type="http://schemas.openxmlformats.org/officeDocument/2006/relationships/hyperlink" Target="https://www.admrad.ru/%d0%b8%d1%82%d0%be%d0%b3%d0%b8-%d1%81%d0%be%d1%86%d0%b8%d0%b0%d0%bb%d1%8c%d0%bd%d0%be-%d1%8d%d0%ba%d0%be%d0%bd%d0%be%d0%bc%d0%b8%d1%87%d0%b5%d1%81%d0%ba%d0%be%d0%b3%d0%be-%d1%80%d0%b0%d0%b7%d0%b2-16/" TargetMode="External"/><Relationship Id="rId240" Type="http://schemas.openxmlformats.org/officeDocument/2006/relationships/hyperlink" Target="http://mari-el.gov.ru/mecon/Pages/competitions.aspx" TargetMode="External"/><Relationship Id="rId478" Type="http://schemas.openxmlformats.org/officeDocument/2006/relationships/hyperlink" Target="https://www.mozhga-rayon.ru/about/info/initsiativnoe-byudzhetirovanie-nashe-selo/" TargetMode="External"/><Relationship Id="rId685" Type="http://schemas.openxmlformats.org/officeDocument/2006/relationships/hyperlink" Target="https://www.gks.ru/scripts/db_inet2/passport/table.aspx?opt=718161602020" TargetMode="External"/><Relationship Id="rId850" Type="http://schemas.openxmlformats.org/officeDocument/2006/relationships/hyperlink" Target="https://minfin.tatarstan.ru/byudzhet-2020.htm?pub_id=2654386" TargetMode="External"/><Relationship Id="rId35" Type="http://schemas.openxmlformats.org/officeDocument/2006/relationships/hyperlink" Target="https://rosstat.gov.ru/storage/mediabank/&#1063;&#1080;&#1089;&#1083;&#1077;&#1085;&#1085;&#1086;&#1089;&#1090;&#1100;%20&#1087;&#1086;%20&#1052;&#1054;_Site.xlsx" TargetMode="External"/><Relationship Id="rId77" Type="http://schemas.openxmlformats.org/officeDocument/2006/relationships/hyperlink" Target="https://vladimirstat.gks.ru/demograf" TargetMode="External"/><Relationship Id="rId100" Type="http://schemas.openxmlformats.org/officeDocument/2006/relationships/hyperlink" Target="https://adm.rkursk.ru/index.php?id=109&amp;mat_id=60146&amp;page=30&amp;sort_field=103&amp;sort_order=0&amp;year=2016" TargetMode="External"/><Relationship Id="rId282" Type="http://schemas.openxmlformats.org/officeDocument/2006/relationships/hyperlink" Target="https://akstat.gks.ru/storage/mediabank/c9KP31L2/&#1054;&#1094;&#1077;&#1085;&#1082;&#1072;%20&#1095;&#1080;&#1089;&#1083;&#1077;&#1085;&#1085;&#1086;&#1089;&#1090;&#1080;%20&#1087;&#1086;&#1089;&#1090;&#1086;&#1103;&#1085;&#1085;&#1086;&#1075;&#1086;%20&#1085;&#1072;&#1089;&#1077;&#1083;&#1077;&#1085;&#1080;&#1103;%20&#1056;&#1077;&#1089;&#1087;&#1091;&#1073;&#1083;&#1080;&#1082;&#1080;%20&#1040;&#1083;&#1090;&#1072;&#1081;%20&#1085;&#1072;%201%20&#1103;&#1085;&#1074;&#1072;&#1088;&#1103;%202020%20&#1075;&#1086;&#1076;&#1072;.xlsx" TargetMode="External"/><Relationship Id="rId338" Type="http://schemas.openxmlformats.org/officeDocument/2006/relationships/hyperlink" Target="https://&#1095;&#1080;&#1089;&#1083;&#1077;&#1085;&#1085;&#1086;&#1089;&#1090;&#1100;-&#1085;&#1072;&#1089;&#1077;&#1083;&#1077;&#1085;&#1080;&#1103;.&#1088;&#1092;/&#1086;&#1088;&#1083;&#1086;&#1074;&#1089;&#1082;&#1072;&#1103;-&#1086;&#1073;&#1083;&#1072;&#1089;&#1090;&#1100;" TargetMode="External"/><Relationship Id="rId503" Type="http://schemas.openxmlformats.org/officeDocument/2006/relationships/hyperlink" Target="https://uln.gks.ru/search?q=&#1095;&#1080;&#1089;&#1083;&#1077;&#1085;&#1085;&#1086;&#1089;&#1090;&#1100;+&#1042;&#1077;&#1096;&#1082;&#1072;&#1081;&#1084;&#1089;&#1082;&#1086;&#1075;&#1086;+&#1088;&#1072;&#1081;&#1086;&#1085;&#1072;" TargetMode="External"/><Relationship Id="rId545" Type="http://schemas.openxmlformats.org/officeDocument/2006/relationships/hyperlink" Target="http://terenga.ru/node/10485" TargetMode="External"/><Relationship Id="rId587" Type="http://schemas.openxmlformats.org/officeDocument/2006/relationships/hyperlink" Target="http://budget.uray.ru/municipalnye-pravovye-akty/" TargetMode="External"/><Relationship Id="rId710" Type="http://schemas.openxmlformats.org/officeDocument/2006/relationships/hyperlink" Target="https://www.gks.ru/scripts/db_inet2/passport/table.aspx?opt=718114202020" TargetMode="External"/><Relationship Id="rId752" Type="http://schemas.openxmlformats.org/officeDocument/2006/relationships/hyperlink" Target="https://tumstat.gks.ru/" TargetMode="External"/><Relationship Id="rId808" Type="http://schemas.openxmlformats.org/officeDocument/2006/relationships/hyperlink" Target="http://hanimey.ru/documents/1455.html" TargetMode="External"/><Relationship Id="rId8" Type="http://schemas.openxmlformats.org/officeDocument/2006/relationships/hyperlink" Target="https://iro22.ru/index.php/2017-09-05-03-16-33/konkurs-shkolnykh-initsiativ-ya-schitayu/normativno-pravovye-dokumenty.html" TargetMode="External"/><Relationship Id="rId142" Type="http://schemas.openxmlformats.org/officeDocument/2006/relationships/hyperlink" Target="https://login.consultant.ru/link/?req=doc&amp;base=RLAW026&amp;n=153135&amp;dst=1000000005" TargetMode="External"/><Relationship Id="rId184" Type="http://schemas.openxmlformats.org/officeDocument/2006/relationships/hyperlink" Target="https://docs.cntd.ru/document/450333035" TargetMode="External"/><Relationship Id="rId391" Type="http://schemas.openxmlformats.org/officeDocument/2006/relationships/hyperlink" Target="https://novgorodstat.gks.ru/storage/mediabank/%D0%9D%D0%B0%D1%81%D0%B5%D0%BB%D0%B5%D0%BD%D0%B8%D0%B5%202020.pdf" TargetMode="External"/><Relationship Id="rId405" Type="http://schemas.openxmlformats.org/officeDocument/2006/relationships/hyperlink" Target="http://sorochinsk56.ru/index.php?id=2119" TargetMode="External"/><Relationship Id="rId447" Type="http://schemas.openxmlformats.org/officeDocument/2006/relationships/hyperlink" Target="http://www.zdsamara.ru/dlya-naseleniya/tvoy-konstruktor-dvora/" TargetMode="External"/><Relationship Id="rId612" Type="http://schemas.openxmlformats.org/officeDocument/2006/relationships/hyperlink" Target="https://vk.com/myvmestexm" TargetMode="External"/><Relationship Id="rId794" Type="http://schemas.openxmlformats.org/officeDocument/2006/relationships/hyperlink" Target="https://tasu.ru/ekonomika-i-finansy/initsiativnoe-byudzhetirovanie/," TargetMode="External"/><Relationship Id="rId251" Type="http://schemas.openxmlformats.org/officeDocument/2006/relationships/hyperlink" Target="http://ppmi.sakha.gov.ru/Home" TargetMode="External"/><Relationship Id="rId489" Type="http://schemas.openxmlformats.org/officeDocument/2006/relationships/hyperlink" Target="http://glazrayon.ru/city/fin/podderzhka/norm/" TargetMode="External"/><Relationship Id="rId654" Type="http://schemas.openxmlformats.org/officeDocument/2006/relationships/hyperlink" Target="https://vk.com/wall532804207_719" TargetMode="External"/><Relationship Id="rId696" Type="http://schemas.openxmlformats.org/officeDocument/2006/relationships/hyperlink" Target="https://www.instagram.com/p/CKEKwifoxVO/?igshid=1nn6480lx6gcb" TargetMode="External"/><Relationship Id="rId46" Type="http://schemas.openxmlformats.org/officeDocument/2006/relationships/hyperlink" Target="http://www.admoil.ru/finans/narodni-budget/logotip.rar" TargetMode="External"/><Relationship Id="rId293"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307" Type="http://schemas.openxmlformats.org/officeDocument/2006/relationships/hyperlink" Target="http://www.kirovreg.ru/publ/AkOUP.nsf/de017b98ac867075c32571440061b25c/c5cfc3177e78934f43257dcf00397b26?OpenDocument" TargetMode="External"/><Relationship Id="rId349" Type="http://schemas.openxmlformats.org/officeDocument/2006/relationships/hyperlink" Target="https://orel-region.ru/index.php?head=1&amp;unit=17469" TargetMode="External"/><Relationship Id="rId514" Type="http://schemas.openxmlformats.org/officeDocument/2006/relationships/hyperlink" Target="http://inza.ulregion.ru/organ_vlasti/107/8945.html" TargetMode="External"/><Relationship Id="rId556" Type="http://schemas.openxmlformats.org/officeDocument/2006/relationships/hyperlink" Target="https://uln.gks.ru/search?q=&#1095;&#1080;&#1089;&#1083;&#1077;&#1085;&#1085;&#1086;&#1089;&#1090;&#1100;+&#1042;&#1077;&#1096;&#1082;&#1072;&#1081;&#1084;&#1089;&#1082;&#1086;&#1075;&#1086;+&#1088;&#1072;&#1081;&#1086;&#1085;&#1072;" TargetMode="External"/><Relationship Id="rId721" Type="http://schemas.openxmlformats.org/officeDocument/2006/relationships/hyperlink" Target="http://gov.cap.ru/SiteMap.aspx?gov_id=916&amp;id=2735344&amp;title=Iniciativnoe_byudzhetirovanie_v_g._Cheboksari" TargetMode="External"/><Relationship Id="rId763" Type="http://schemas.openxmlformats.org/officeDocument/2006/relationships/hyperlink" Target="https://vk.com/public170438171" TargetMode="External"/><Relationship Id="rId88" Type="http://schemas.openxmlformats.org/officeDocument/2006/relationships/hyperlink" Target="http://ufo.ulntc.ru:8080/ppmi/npa" TargetMode="External"/><Relationship Id="rId111" Type="http://schemas.openxmlformats.org/officeDocument/2006/relationships/hyperlink" Target="https://www.tverfin.ru/" TargetMode="External"/><Relationship Id="rId153" Type="http://schemas.openxmlformats.org/officeDocument/2006/relationships/hyperlink" Target="http://publication.pravo.gov.ru/Document/View/5200201909030008" TargetMode="External"/><Relationship Id="rId195" Type="http://schemas.openxmlformats.org/officeDocument/2006/relationships/hyperlink" Target="https://disk.yandex.ru/d/JTOfHf4e8LhFCw?w=1" TargetMode="External"/><Relationship Id="rId209" Type="http://schemas.openxmlformats.org/officeDocument/2006/relationships/hyperlink" Target="http://minter.permkrai.ru/proekty-mestnykh-initsiativ/initsiativnoe-byudzhetirovanie/npa-ib/" TargetMode="External"/><Relationship Id="rId360" Type="http://schemas.openxmlformats.org/officeDocument/2006/relationships/hyperlink" Target="https://kaliningrad.gks.ru/statistical_news/document/81341" TargetMode="External"/><Relationship Id="rId416" Type="http://schemas.openxmlformats.org/officeDocument/2006/relationships/hyperlink" Target="https://rosstat.gov.ru/compendium/document/13282?print=1" TargetMode="External"/><Relationship Id="rId598" Type="http://schemas.openxmlformats.org/officeDocument/2006/relationships/hyperlink" Target="https://cloud.mail.ru/public/3Ypa/4uBRDJWX4/" TargetMode="External"/><Relationship Id="rId819" Type="http://schemas.openxmlformats.org/officeDocument/2006/relationships/hyperlink" Target="https://rosstat.gov.ru/compendium/document/13282" TargetMode="External"/><Relationship Id="rId220" Type="http://schemas.openxmlformats.org/officeDocument/2006/relationships/hyperlink" Target="https://pib.sakhminfin.ru/show/ppi" TargetMode="External"/><Relationship Id="rId458" Type="http://schemas.openxmlformats.org/officeDocument/2006/relationships/hyperlink" Target="http://alapaevskoe.ru/article/show/id/10121" TargetMode="External"/><Relationship Id="rId623" Type="http://schemas.openxmlformats.org/officeDocument/2006/relationships/hyperlink" Target="http://www.admnyagan.ru/img/bn/tvoivibor1.jpg" TargetMode="External"/><Relationship Id="rId665" Type="http://schemas.openxmlformats.org/officeDocument/2006/relationships/hyperlink" Target="http://admkonda.ru/narodnyy-byudzhet-0.html" TargetMode="External"/><Relationship Id="rId830" Type="http://schemas.openxmlformats.org/officeDocument/2006/relationships/hyperlink" Target="https://pravo.govvrn.ru/?q=node/4481" TargetMode="External"/><Relationship Id="rId15" Type="http://schemas.openxmlformats.org/officeDocument/2006/relationships/hyperlink" Target="https://facto.ru/longread-2020-01-30/selo-vrn.html" TargetMode="External"/><Relationship Id="rId57" Type="http://schemas.openxmlformats.org/officeDocument/2006/relationships/hyperlink" Target="https://login.consultant.ru/link/?req=doc&amp;base=RLAW265&amp;n=102109&amp;dst=1000000003" TargetMode="External"/><Relationship Id="rId262" Type="http://schemas.openxmlformats.org/officeDocument/2006/relationships/hyperlink" Target="https://www.instagram.com/mshrk08/" TargetMode="External"/><Relationship Id="rId318" Type="http://schemas.openxmlformats.org/officeDocument/2006/relationships/hyperlink" Target="https://rostov.gks.ru/storage/mediabank/5YxrWvpV/%D0%A7%D0%B8%D1%81%D0%BB%D0%B5%D0%BD%D0%BD%D0%BE%D1%81%D1%82%D1%8C%20%D0%BD%D0%B0%D1%81%D0%B5%D0%BB%D0%B5%D0%BD%D0%B8%D1%8F.pdf" TargetMode="External"/><Relationship Id="rId525" Type="http://schemas.openxmlformats.org/officeDocument/2006/relationships/hyperlink" Target="http://kuzovatovo.ulregion.ru/5889/posel/10.html" TargetMode="External"/><Relationship Id="rId567" Type="http://schemas.openxmlformats.org/officeDocument/2006/relationships/hyperlink" Target="http://agro.cap.ru/action/activity/" TargetMode="External"/><Relationship Id="rId732" Type="http://schemas.openxmlformats.org/officeDocument/2006/relationships/hyperlink" Target="https://lbt.yanao.ru/activity/730/" TargetMode="External"/><Relationship Id="rId99" Type="http://schemas.openxmlformats.org/officeDocument/2006/relationships/hyperlink" Target="https://adm.rkursk.ru/index.php?id=693&amp;mat_id=111028&amp;page=3" TargetMode="External"/><Relationship Id="rId122" Type="http://schemas.openxmlformats.org/officeDocument/2006/relationships/hyperlink" Target="https://tmb.gks.ru/folder/33717" TargetMode="External"/><Relationship Id="rId164" Type="http://schemas.openxmlformats.org/officeDocument/2006/relationships/hyperlink" Target="https://&#1094;&#1084;&#1087;&#1080;.&#1088;&#1092;/proekty/doroga-k-domu/" TargetMode="External"/><Relationship Id="rId371" Type="http://schemas.openxmlformats.org/officeDocument/2006/relationships/hyperlink" Target="https://www.shadrinsk-city.ru/?p=59348" TargetMode="External"/><Relationship Id="rId774" Type="http://schemas.openxmlformats.org/officeDocument/2006/relationships/hyperlink" Target="http://www.admin-moovg.ru/documents/1255.html;" TargetMode="External"/><Relationship Id="rId427" Type="http://schemas.openxmlformats.org/officeDocument/2006/relationships/hyperlink" Target="http://finotdnovoorsk.ru/protokolyi-komissii" TargetMode="External"/><Relationship Id="rId469" Type="http://schemas.openxmlformats.org/officeDocument/2006/relationships/hyperlink" Target="https://stavstat.gks.ru/storage/mediabank/&#1063;&#1080;&#1089;&#1083;&#1077;&#1085;&#1085;&#1086;&#1089;&#1090;&#1100;%20&#1085;&#1072;&#1089;&#1077;&#1083;&#1077;&#1085;&#1080;&#1103;%20&#1085;&#1072;%2001.01.2020%20&#1075;.%20&#1080;%20&#1074;%20&#1089;&#1088;&#1077;&#1076;&#1085;&#1077;&#1084;%20&#1079;&#1072;%202019%20&#1075;&#1086;&#1076;(1).rar" TargetMode="External"/><Relationship Id="rId634" Type="http://schemas.openxmlformats.org/officeDocument/2006/relationships/hyperlink" Target="https://admmegion.ru/gov/laws/index.php?ELEMENT_ID=329183" TargetMode="External"/><Relationship Id="rId676" Type="http://schemas.openxmlformats.org/officeDocument/2006/relationships/hyperlink" Target="http://admkonda.ru/konkursnyy-otbor-po-proektu-narodnyy-byudzhet-2020.html" TargetMode="External"/><Relationship Id="rId841" Type="http://schemas.openxmlformats.org/officeDocument/2006/relationships/hyperlink" Target="http://zakon.krskstate.ru/0/doc/15433" TargetMode="External"/><Relationship Id="rId26" Type="http://schemas.openxmlformats.org/officeDocument/2006/relationships/hyperlink" Target="https://login.consultant.ru/link/?req=doc&amp;base=RLAW180&amp;n=201582&amp;dst=1000000006" TargetMode="External"/><Relationship Id="rId231" Type="http://schemas.openxmlformats.org/officeDocument/2006/relationships/hyperlink" Target="https://ipbd.ru/doc/6201201912250004/" TargetMode="External"/><Relationship Id="rId273" Type="http://schemas.openxmlformats.org/officeDocument/2006/relationships/hyperlink" Target="https://drive.google.com/drive/folders/1FI_RiMFtjXzlddlreYZVCLP93Hy4QW2j?usp=sharing" TargetMode="External"/><Relationship Id="rId329" Type="http://schemas.openxmlformats.org/officeDocument/2006/relationships/hyperlink" Target="http://docs.cntd.ru/document/553386375" TargetMode="External"/><Relationship Id="rId480" Type="http://schemas.openxmlformats.org/officeDocument/2006/relationships/hyperlink" Target="http://www.mozhga-rayon.ru/about/info/initsiativnoe-byudzhetirovanie-nashe-selo/" TargetMode="External"/><Relationship Id="rId536" Type="http://schemas.openxmlformats.org/officeDocument/2006/relationships/hyperlink" Target="https://uln.gks.ru/folder/40275" TargetMode="External"/><Relationship Id="rId701" Type="http://schemas.openxmlformats.org/officeDocument/2006/relationships/hyperlink" Target="http://vkazym.ru/admininstration-actions/budget/initiative_budgeting/?ELEMENT_ID=65155" TargetMode="External"/><Relationship Id="rId68" Type="http://schemas.openxmlformats.org/officeDocument/2006/relationships/hyperlink" Target="https://minstroy39.ru/upload/%D0%9F%D0%9F%D0%9A%D0%9E%20465%20%D0%BE%D1%82%2031%2008%202017%20%D0%B3%D0%BE%D1%81%20%D0%BF%D1%80%D0%BE%D0%B3%D1%80%D0%B0%D0%BC%D0%BC%D0%B0.pdf" TargetMode="External"/><Relationship Id="rId133" Type="http://schemas.openxmlformats.org/officeDocument/2006/relationships/hyperlink" Target="http://publication.pravo.gov.ru/Document/View/7100201509280006" TargetMode="External"/><Relationship Id="rId175" Type="http://schemas.openxmlformats.org/officeDocument/2006/relationships/hyperlink" Target="https://novgorodstat.gks.ru/storage/mediabank/%D0%9D%D0%B0%D1%81%D0%B5%D0%BB%D0%B5%D0%BD%D0%B8%D0%B5%202020.pdf" TargetMode="External"/><Relationship Id="rId340" Type="http://schemas.openxmlformats.org/officeDocument/2006/relationships/hyperlink" Target="https://orel-region.ru/%20%20%20%20%20%20%20%20%20%20%20%2057.gorodsreda.ru" TargetMode="External"/><Relationship Id="rId578" Type="http://schemas.openxmlformats.org/officeDocument/2006/relationships/hyperlink" Target="http://www.admbel.ru/local-control/administration/finans/part/" TargetMode="External"/><Relationship Id="rId743" Type="http://schemas.openxmlformats.org/officeDocument/2006/relationships/hyperlink" Target="http://www.muravlenko24.ru/" TargetMode="External"/><Relationship Id="rId785" Type="http://schemas.openxmlformats.org/officeDocument/2006/relationships/hyperlink" Target="http://www.adminbelka.ru/tinybrowser/files/dokumenty/postanovleniya/2019/22/protokol.pdf" TargetMode="External"/><Relationship Id="rId200" Type="http://schemas.openxmlformats.org/officeDocument/2006/relationships/hyperlink" Target="https://tvoybudget.spb.ru/press" TargetMode="External"/><Relationship Id="rId382" Type="http://schemas.openxmlformats.org/officeDocument/2006/relationships/hyperlink" Target="https://komobrlub.edusite.ru/p94aa1.html" TargetMode="External"/><Relationship Id="rId438" Type="http://schemas.openxmlformats.org/officeDocument/2006/relationships/hyperlink" Target="https://penza-gorod.ru/line_of_activity/public_self_government/konkurs-sotsialno-znachimykh-proektov-napravlennykh-na-razvitie-territorialnogo-obshchestvennogo-sam/2020-god/" TargetMode="External"/><Relationship Id="rId603" Type="http://schemas.openxmlformats.org/officeDocument/2006/relationships/hyperlink" Target="http://oktregion.ru/ekonomika-i-finansy/byudzhet-dlya-grazhdan/initsiativnoe-byudzhetirovanie/konkursy-proektov-initsiativnogo-byudzhetirovaniya/konkurs-proektov-initsiativnogo-byudzhetirovaniya-2020-god-55/" TargetMode="External"/><Relationship Id="rId645" Type="http://schemas.openxmlformats.org/officeDocument/2006/relationships/hyperlink" Target="http://admpioner.ru/Katalog/20201" TargetMode="External"/><Relationship Id="rId687" Type="http://schemas.openxmlformats.org/officeDocument/2006/relationships/hyperlink" Target="http://www.admkonda.ru/narodnyy-byudzhet-2020-mejd.html" TargetMode="External"/><Relationship Id="rId810" Type="http://schemas.openxmlformats.org/officeDocument/2006/relationships/hyperlink" Target="http://hanimey.ru/tinybrowser/files/budgetnaya-iniciativa/2020/01/3_attach.pdf" TargetMode="External"/><Relationship Id="rId852" Type="http://schemas.openxmlformats.org/officeDocument/2006/relationships/hyperlink" Target="http://portal.dvinaland.ru/docs/pub/a16eece709bc76b71bf44543d9de3cd7/613-37-oz.doc" TargetMode="External"/><Relationship Id="rId242" Type="http://schemas.openxmlformats.org/officeDocument/2006/relationships/hyperlink" Target="http://mari-el.gov.ru/mecon/Pages/competitions.aspx" TargetMode="External"/><Relationship Id="rId284" Type="http://schemas.openxmlformats.org/officeDocument/2006/relationships/hyperlink" Target="https://akstat.gks.ru/storage/mediabank/c9KP31L2/&#1054;&#1094;&#1077;&#1085;&#1082;&#1072;%20&#1095;&#1080;&#1089;&#1083;&#1077;&#1085;&#1085;&#1086;&#1089;&#1090;&#1080;%20&#1087;&#1086;&#1089;&#1090;&#1086;&#1103;&#1085;&#1085;&#1086;&#1075;&#1086;%20&#1085;&#1072;&#1089;&#1077;&#1083;&#1077;&#1085;&#1080;&#1103;%20&#1056;&#1077;&#1089;&#1087;&#1091;&#1073;&#1083;&#1080;&#1082;&#1080;%20&#1040;&#1083;&#1090;&#1072;&#1081;%20&#1085;&#1072;%201%20&#1103;&#1085;&#1074;&#1072;&#1088;&#1103;%202020%20&#1075;&#1086;&#1076;&#1072;.xlsx" TargetMode="External"/><Relationship Id="rId491" Type="http://schemas.openxmlformats.org/officeDocument/2006/relationships/hyperlink" Target="http://glazrayon.ru/city/fin/podderzhka/" TargetMode="External"/><Relationship Id="rId505" Type="http://schemas.openxmlformats.org/officeDocument/2006/relationships/hyperlink" Target="http://www.b-nagatkinskoe.ru/" TargetMode="External"/><Relationship Id="rId712" Type="http://schemas.openxmlformats.org/officeDocument/2006/relationships/hyperlink" Target="http://&#1072;&#1076;&#1084;&#1089;&#1086;&#1089;&#1085;&#1086;&#1074;&#1082;&#1072;.&#1088;&#1092;/local-control/administtion/budget/proactive/?ELEMENT_ID=49863" TargetMode="External"/><Relationship Id="rId37" Type="http://schemas.openxmlformats.org/officeDocument/2006/relationships/hyperlink" Target="http://budget.orb.ru/images/gritsenko/post.doc" TargetMode="External"/><Relationship Id="rId79" Type="http://schemas.openxmlformats.org/officeDocument/2006/relationships/hyperlink" Target="https://dsx.avo.ru/search?q=&#1087;&#1086;&#1089;&#1090;&#1072;&#1085;&#1086;&#1074;&#1083;&#1077;&#1085;&#1080;&#1077;+&#1086;&#1090;+20.12.2019+&#8470;904" TargetMode="External"/><Relationship Id="rId102" Type="http://schemas.openxmlformats.org/officeDocument/2006/relationships/hyperlink" Target="http://msu.lenobl.ru/news/mediaproekty/" TargetMode="External"/><Relationship Id="rId144" Type="http://schemas.openxmlformats.org/officeDocument/2006/relationships/hyperlink" Target="https://guvp.khabkrai.ru/Deyatelnost/TOS/Obschaya-informaciya-i-normativnye-pravovye-akty" TargetMode="External"/><Relationship Id="rId547" Type="http://schemas.openxmlformats.org/officeDocument/2006/relationships/hyperlink" Target="http://ulraion.ru/page/230" TargetMode="External"/><Relationship Id="rId589" Type="http://schemas.openxmlformats.org/officeDocument/2006/relationships/hyperlink" Target="http://uray.ru/" TargetMode="External"/><Relationship Id="rId754" Type="http://schemas.openxmlformats.org/officeDocument/2006/relationships/hyperlink" Target="http://nadymregion.ru/local-government/administration/byudzhetnaya-initsiativa-grazhdan.php" TargetMode="External"/><Relationship Id="rId796" Type="http://schemas.openxmlformats.org/officeDocument/2006/relationships/hyperlink" Target="https://www.puradm.ru/one-doc/8209" TargetMode="External"/><Relationship Id="rId90" Type="http://schemas.openxmlformats.org/officeDocument/2006/relationships/hyperlink" Target="https://law.ulgov.ru/doc/14744" TargetMode="External"/><Relationship Id="rId186" Type="http://schemas.openxmlformats.org/officeDocument/2006/relationships/hyperlink" Target="https://novgorodstat.gks.ru/storage/mediabank/%D0%9D%D0%B0%D1%81%D0%B5%D0%BB%D0%B5%D0%BD%D0%B8%D0%B5%202020.pdf" TargetMode="External"/><Relationship Id="rId351"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393" Type="http://schemas.openxmlformats.org/officeDocument/2006/relationships/hyperlink" Target="http://www.&#1073;&#1091;&#1079;&#1091;&#1083;&#1091;&#1082;.&#1088;&#1092;/content/2020-%D0%B3%D0%BE%D0%B4-22" TargetMode="External"/><Relationship Id="rId407" Type="http://schemas.openxmlformats.org/officeDocument/2006/relationships/hyperlink" Target="http://sorochinsk56.ru/index.php?id=1039" TargetMode="External"/><Relationship Id="rId449" Type="http://schemas.openxmlformats.org/officeDocument/2006/relationships/hyperlink" Target="http://www.zdsamara.ru/regulatory/munitsipalnye-pravovye-akty/2525/" TargetMode="External"/><Relationship Id="rId614" Type="http://schemas.openxmlformats.org/officeDocument/2006/relationships/hyperlink" Target="http://hmrn.ru/raion/ekonomika/ser/passport_socio_economic_situation/index.php" TargetMode="External"/><Relationship Id="rId656" Type="http://schemas.openxmlformats.org/officeDocument/2006/relationships/hyperlink" Target="http://adm.samza.ru/initsiativnoe-byudzhetirovanie/" TargetMode="External"/><Relationship Id="rId821" Type="http://schemas.openxmlformats.org/officeDocument/2006/relationships/hyperlink" Target="https://trk-luch.ru/news/idei-voploshchayutsya-zdes-i-seychas/?sphrase_id=66426" TargetMode="External"/><Relationship Id="rId211" Type="http://schemas.openxmlformats.org/officeDocument/2006/relationships/hyperlink" Target="http://minter.permkrai.ru/proekty-mestnykh-initsiativ/initsiativnoe-byudzhetirovanie/initsiativnoe-byudzhetirovanie/" TargetMode="External"/><Relationship Id="rId253" Type="http://schemas.openxmlformats.org/officeDocument/2006/relationships/hyperlink" Target="https://ppmi.yakutia.click/Home" TargetMode="External"/><Relationship Id="rId295" Type="http://schemas.openxmlformats.org/officeDocument/2006/relationships/hyperlink" Target="https://cloud.mail.ru/public/4d5m/2pz11yaGj" TargetMode="External"/><Relationship Id="rId309" Type="http://schemas.openxmlformats.org/officeDocument/2006/relationships/hyperlink" Target="http://socialkirov.ru/images/PPMIImages/&#1055;&#1055;&#1052;&#1048;_&#1083;&#1086;&#1075;&#1086;.png" TargetMode="External"/><Relationship Id="rId460" Type="http://schemas.openxmlformats.org/officeDocument/2006/relationships/hyperlink" Target="https://sverdl.gks.ru/storage/mediabank/&#1063;&#1080;&#1089;&#1083;.&#1052;&#1054;_2020.xls" TargetMode="External"/><Relationship Id="rId516" Type="http://schemas.openxmlformats.org/officeDocument/2006/relationships/hyperlink" Target="https://ok.ru/novostiinz/topic/152484000597493" TargetMode="External"/><Relationship Id="rId698" Type="http://schemas.openxmlformats.org/officeDocument/2006/relationships/hyperlink" Target="http://admbelgor.ru/upload/iblock/b99/%D1%80%D0%B0%D1%81%D0%BF.%205-%D1%80%20%D0%BE%D1%82%2020.03.2019.doc" TargetMode="External"/><Relationship Id="rId48" Type="http://schemas.openxmlformats.org/officeDocument/2006/relationships/hyperlink" Target="https://login.consultant.ru/link/?req=doc&amp;base=RLAW265&amp;n=104907&amp;dst=1000000002" TargetMode="External"/><Relationship Id="rId113" Type="http://schemas.openxmlformats.org/officeDocument/2006/relationships/hyperlink" Target="https://depfin.tomsk.gov.ru/uploads/ckfinder/285/userfiles/files/%D0%9F42%D0%B0.pdf" TargetMode="External"/><Relationship Id="rId320" Type="http://schemas.openxmlformats.org/officeDocument/2006/relationships/hyperlink" Target="https://www.donland.ru/activity/2623/" TargetMode="External"/><Relationship Id="rId558" Type="http://schemas.openxmlformats.org/officeDocument/2006/relationships/hyperlink" Target="http://&#1092;&#1080;&#1085;-73.&#1088;&#1092;/otkrytyj-byudzhet/2015-05-26-06-06-49/narodnyj-byudzhet-2017/otbor.html" TargetMode="External"/><Relationship Id="rId723" Type="http://schemas.openxmlformats.org/officeDocument/2006/relationships/hyperlink" Target="https://go-pevek.ru/&#1084;&#1077;&#1085;&#1102;/&#1085;&#1072;&#1088;&#1086;&#1076;&#1085;&#1099;&#1081;-&#1073;&#1102;&#1076;&#1078;&#1077;&#1090;/&#1085;&#1087;&#1072;-&#1082;-&#1087;&#1088;&#1086;&#1077;&#1082;&#1090;&#1091;-&#1085;&#1072;&#1088;&#1086;&#1076;&#1085;&#1099;&#1081;-&#1073;&#1102;&#1076;&#1078;&#1077;&#1090;" TargetMode="External"/><Relationship Id="rId765" Type="http://schemas.openxmlformats.org/officeDocument/2006/relationships/hyperlink" Target="http://azov-adm.ru/documents/2777.html" TargetMode="External"/><Relationship Id="rId155" Type="http://schemas.openxmlformats.org/officeDocument/2006/relationships/hyperlink" Target="https://disk.yandex.ru/d/2dnqKuGttaliDg" TargetMode="External"/><Relationship Id="rId197" Type="http://schemas.openxmlformats.org/officeDocument/2006/relationships/hyperlink" Target="https://twitter.com/SOdeistvie63" TargetMode="External"/><Relationship Id="rId362" Type="http://schemas.openxmlformats.org/officeDocument/2006/relationships/hyperlink" Target="https://old.kaluga-gov.ru/?q=&#1080;&#1085;&#1080;&#1094;&#1080;&#1072;&#1090;&#1080;&#1074;&#1085;&#1086;&#1077;-&#1073;&#1102;&#1076;&#1078;&#1077;&#1090;&#1080;&#1088;&#1086;&#1074;&#1072;&#1085;&#1080;&#1077;_442365699" TargetMode="External"/><Relationship Id="rId418" Type="http://schemas.openxmlformats.org/officeDocument/2006/relationships/hyperlink" Target="http://&#1075;&#1088;&#1072;&#1095;&#1077;&#1074;&#1089;&#1082;&#1080;&#1081;-&#1088;&#1072;&#1081;&#1086;&#1085;.&#1088;&#1092;/bitrix/redirect.php?event1=file&amp;event2=download&amp;event3=472%20&#1087;.doc&amp;goto=/upload/iblock/4d3/472%20&#1087;.doc" TargetMode="External"/><Relationship Id="rId625" Type="http://schemas.openxmlformats.org/officeDocument/2006/relationships/hyperlink" Target="https://www.gp-izluchinsk.ru/budjetgp/initsiativnoe-byudzhetirovanie/2020.php" TargetMode="External"/><Relationship Id="rId832" Type="http://schemas.openxmlformats.org/officeDocument/2006/relationships/hyperlink" Target="https://voronezhstat.gks.ru/storage/mediabank/Dq8NAWVY/&#1063;&#1080;&#1089;&#1083;&#1077;&#1085;&#1085;&#1086;&#1089;&#1090;&#1100;%20&#1085;&#1072;&#1089;&#1077;&#1083;&#1077;&#1085;&#1080;&#1103;%20&#1042;&#1086;&#1088;&#1086;&#1085;&#1077;&#1078;&#1089;&#1082;&#1086;&#1081;%20&#1086;&#1073;&#1083;&#1072;&#1089;&#1090;&#1080;%20&#1074;%20&#1088;&#1072;&#1079;&#1088;&#1077;&#1079;&#1077;%20&#1084;&#1091;&#1085;&#1080;&#1094;&#1080;&#1087;&#1072;&#1083;&#1100;&#1085;&#1099;&#1093;%20&#1086;&#1073;&#1088;&#1072;&#1079;&#1086;&#1074;&#1072;&#1085;&#1080;&#1081;%20&#1085;&#1072;%2001.01.2021&#1075;..pdf" TargetMode="External"/><Relationship Id="rId222" Type="http://schemas.openxmlformats.org/officeDocument/2006/relationships/hyperlink" Target="https://www.facebook.com/budget65/%20https:/%20%20%20%20%20%20%20%20%20%20%20%20%20%20%20%20%20%20%20%20%20%20%20%20%20%20%20%20%20%20%20%20%20%20%20%20%20%20%20%20%20%20%20%20%20%20%20%20%20%20%20%20/vk.com/budget65" TargetMode="External"/><Relationship Id="rId264" Type="http://schemas.openxmlformats.org/officeDocument/2006/relationships/hyperlink" Target="http://minfin.kalmregion.ru/deyatelnost/initsiativnoe-byudzhetirovanie/" TargetMode="External"/><Relationship Id="rId471" Type="http://schemas.openxmlformats.org/officeDocument/2006/relationships/hyperlink" Target="https://stavstat.gks.ru/contacts" TargetMode="External"/><Relationship Id="rId667" Type="http://schemas.openxmlformats.org/officeDocument/2006/relationships/hyperlink" Target="http://admkonda.ru/narodnyy-byudzhet-0.html" TargetMode="External"/><Relationship Id="rId17" Type="http://schemas.openxmlformats.org/officeDocument/2006/relationships/hyperlink" Target="https://pravo.govvrn.ru/?q=node/15372" TargetMode="External"/><Relationship Id="rId59" Type="http://schemas.openxmlformats.org/officeDocument/2006/relationships/hyperlink" Target="http://gkh.adm44.ru/sov_sreda/" TargetMode="External"/><Relationship Id="rId124" Type="http://schemas.openxmlformats.org/officeDocument/2006/relationships/hyperlink" Target="https://www.tambov.gov.ru/assets/files/urt/pao-864.pdf" TargetMode="External"/><Relationship Id="rId527" Type="http://schemas.openxmlformats.org/officeDocument/2006/relationships/hyperlink" Target="http://kuzovatovo.ulregion.ru/5906/5914/17247/17253.html" TargetMode="External"/><Relationship Id="rId569" Type="http://schemas.openxmlformats.org/officeDocument/2006/relationships/hyperlink" Target="https://chuvash.gks.ru/demog" TargetMode="External"/><Relationship Id="rId734" Type="http://schemas.openxmlformats.org/officeDocument/2006/relationships/hyperlink" Target="https://&#1078;&#1080;&#1074;&#1105;&#1084;&#1085;&#1072;&#1089;&#1077;&#1074;&#1077;&#1088;&#1077;.&#1088;&#1092;/" TargetMode="External"/><Relationship Id="rId776" Type="http://schemas.openxmlformats.org/officeDocument/2006/relationships/hyperlink" Target="http://&#1087;&#1080;&#1090;&#1083;&#1103;&#1088;.&#1088;&#1092;/byudzhetnaya-initsiativa-grazhdan" TargetMode="External"/><Relationship Id="rId70" Type="http://schemas.openxmlformats.org/officeDocument/2006/relationships/hyperlink" Target="https://krasnoznamensk.gov39.ru/formirovanie-komfortnoy-gorodskoy-sredy-na-2018-2022-gg.html," TargetMode="External"/><Relationship Id="rId166" Type="http://schemas.openxmlformats.org/officeDocument/2006/relationships/hyperlink" Target="https://vk.com/wall-160413159?day=30102020&amp;offset=140&amp;q=%D0%B4%D0%BE%D1%80%D0%BE%D0%B3%D0%B0%20%D0%BA%20%D0%B4%D0%BE%D0%BC%D1%83&amp;w=wall-176520705_156/" TargetMode="External"/><Relationship Id="rId331" Type="http://schemas.openxmlformats.org/officeDocument/2006/relationships/hyperlink" Target="http://docs.cntd.ru/document/553230534" TargetMode="External"/><Relationship Id="rId373" Type="http://schemas.openxmlformats.org/officeDocument/2006/relationships/hyperlink" Target="https://crimea.gks.ru/folder/27537" TargetMode="External"/><Relationship Id="rId429" Type="http://schemas.openxmlformats.org/officeDocument/2006/relationships/hyperlink" Target="https://ok.ru/group/55033267880141" TargetMode="External"/><Relationship Id="rId580" Type="http://schemas.openxmlformats.org/officeDocument/2006/relationships/hyperlink" Target="http://www.admbel.ru/local-control/administration/finans/part/" TargetMode="External"/><Relationship Id="rId636" Type="http://schemas.openxmlformats.org/officeDocument/2006/relationships/hyperlink" Target="https://depfin.admmegion.ru/initiative_budget/" TargetMode="External"/><Relationship Id="rId801" Type="http://schemas.openxmlformats.org/officeDocument/2006/relationships/hyperlink" Target="https://trk-luch.ru/news/the-urengoy-budget-for-next-year-amounted-to-almost-half-a-billion-rubles/" TargetMode="External"/><Relationship Id="rId1" Type="http://schemas.openxmlformats.org/officeDocument/2006/relationships/hyperlink" Target="https://minfin.alregn.ru/bud/z2020/" TargetMode="External"/><Relationship Id="rId233" Type="http://schemas.openxmlformats.org/officeDocument/2006/relationships/hyperlink" Target="https://minter.ryazangov.ru/activities/direction/podderzhka-mestnykh-initsiativ/" TargetMode="External"/><Relationship Id="rId440" Type="http://schemas.openxmlformats.org/officeDocument/2006/relationships/hyperlink" Target="http://adm.syzran.ru/index.php?id=43&amp;tx_documents_fe%5Bdocument%5D=3086&amp;tx_documents_fe%5Baction%5D=show&amp;tx_documents_fe%5Bcontroller%5D=Document&amp;cHash=c5bb408fc2dbc6c4c21bc396e7836212" TargetMode="External"/><Relationship Id="rId678" Type="http://schemas.openxmlformats.org/officeDocument/2006/relationships/hyperlink" Target="http://admkuma.ru/sobranie-initciativnykh-grupp-po-voprosu-uchastiya-v-proekte-narodnyy-byudzhet-v-2020-godu.html" TargetMode="External"/><Relationship Id="rId843" Type="http://schemas.openxmlformats.org/officeDocument/2006/relationships/hyperlink" Target="http://zakon.krskstate.ru/0/doc/34007" TargetMode="External"/><Relationship Id="rId28" Type="http://schemas.openxmlformats.org/officeDocument/2006/relationships/hyperlink" Target="http://www.volgograd.ru/" TargetMode="External"/><Relationship Id="rId275" Type="http://schemas.openxmlformats.org/officeDocument/2006/relationships/hyperlink" Target="https://akstat.gks.ru/storage/mediabank/c9KP31L2/&#1054;&#1094;&#1077;&#1085;&#1082;&#1072;%20&#1095;&#1080;&#1089;&#1083;&#1077;&#1085;&#1085;&#1086;&#1089;&#1090;&#1080;%20&#1087;&#1086;&#1089;&#1090;&#1086;&#1103;&#1085;&#1085;&#1086;&#1075;&#1086;%20&#1085;&#1072;&#1089;&#1077;&#1083;&#1077;&#1085;&#1080;&#1103;%20&#1056;&#1077;&#1089;&#1087;&#1091;&#1073;&#1083;&#1080;&#1082;&#1080;%20&#1040;&#1083;&#1090;&#1072;&#1081;%20&#1085;&#1072;%201%20&#1103;&#1085;&#1074;&#1072;&#1088;&#1103;%202020%20&#1075;&#1086;&#1076;&#1072;.xlsx" TargetMode="External"/><Relationship Id="rId300" Type="http://schemas.openxmlformats.org/officeDocument/2006/relationships/hyperlink" Target="https://www.instagram.com/minec_rd05/" TargetMode="External"/><Relationship Id="rId482" Type="http://schemas.openxmlformats.org/officeDocument/2006/relationships/hyperlink" Target="https://vk.com/mozhraion" TargetMode="External"/><Relationship Id="rId538" Type="http://schemas.openxmlformats.org/officeDocument/2006/relationships/hyperlink" Target="http://www.radishevo.ulregion.ru/" TargetMode="External"/><Relationship Id="rId703" Type="http://schemas.openxmlformats.org/officeDocument/2006/relationships/hyperlink" Target="http://admkazym.ru/local-control/administtion/budget/proactive/" TargetMode="External"/><Relationship Id="rId745" Type="http://schemas.openxmlformats.org/officeDocument/2006/relationships/hyperlink" Target="https://tumstat.gks.ru/ofstat_ynao" TargetMode="External"/><Relationship Id="rId81" Type="http://schemas.openxmlformats.org/officeDocument/2006/relationships/hyperlink" Target="https://dtf.avo.ru/podderzka-iniciativ-naselenia" TargetMode="External"/><Relationship Id="rId135" Type="http://schemas.openxmlformats.org/officeDocument/2006/relationships/hyperlink" Target="https://my-files.su/5e671t" TargetMode="External"/><Relationship Id="rId177" Type="http://schemas.openxmlformats.org/officeDocument/2006/relationships/hyperlink" Target="http://docs.cntd.ru/document/553386375" TargetMode="External"/><Relationship Id="rId342" Type="http://schemas.openxmlformats.org/officeDocument/2006/relationships/hyperlink" Target="https://orel-region.ru/index.php?head=17&amp;part=19&amp;formName=docsearch&amp;doc_type=0&amp;doc_organ=0&amp;fwords=&amp;number=705&amp;date1f=20-12-2019&amp;date2f=%E4%E4-%EC%EC-%E3%E3%E3%E3&amp;date3f=%E4%E4-%EC%EC-%E3%E3%E3%E3&amp;x=29&amp;y=9" TargetMode="External"/><Relationship Id="rId384" Type="http://schemas.openxmlformats.org/officeDocument/2006/relationships/hyperlink" Target="https://5310skom.edusite.ru/DswMedia/prikazot05022020-32.pdf" TargetMode="External"/><Relationship Id="rId591" Type="http://schemas.openxmlformats.org/officeDocument/2006/relationships/hyperlink" Target="http://uray.ru/blagoustrojstvo-v-prioritete-urajcev-priglashajut-prinjat-uchastie-v-akcii-100-predlozhenij-v-narodnyj-bjudzhet/" TargetMode="External"/><Relationship Id="rId605" Type="http://schemas.openxmlformats.org/officeDocument/2006/relationships/hyperlink" Target="http://www.statdata.ru/naselenie/naselenie-hmao" TargetMode="External"/><Relationship Id="rId787" Type="http://schemas.openxmlformats.org/officeDocument/2006/relationships/hyperlink" Target="http://www.&#1078;&#1080;&#1074;&#1105;&#1084;&#1085;&#1072;&#1089;&#1077;&#1074;&#1077;&#1088;&#1077;.&#1088;&#1091;/" TargetMode="External"/><Relationship Id="rId812" Type="http://schemas.openxmlformats.org/officeDocument/2006/relationships/hyperlink" Target="http://hanimey.ru/" TargetMode="External"/><Relationship Id="rId202" Type="http://schemas.openxmlformats.org/officeDocument/2006/relationships/hyperlink" Target="https://drive.google.com/folderview?id=116IMcmgsc1FXUbepzOMNw7frRY3F8rt3" TargetMode="External"/><Relationship Id="rId244" Type="http://schemas.openxmlformats.org/officeDocument/2006/relationships/hyperlink" Target="https://ppmi.yakutia.click/Home" TargetMode="External"/><Relationship Id="rId647" Type="http://schemas.openxmlformats.org/officeDocument/2006/relationships/hyperlink" Target="https://taiga.admsov.com/action/in-bu.php" TargetMode="External"/><Relationship Id="rId689" Type="http://schemas.openxmlformats.org/officeDocument/2006/relationships/hyperlink" Target="http://www.admkonda.ru/rezul-taty-oprosov.html" TargetMode="External"/><Relationship Id="rId854" Type="http://schemas.openxmlformats.org/officeDocument/2006/relationships/vmlDrawing" Target="../drawings/vmlDrawing5.vml"/><Relationship Id="rId39" Type="http://schemas.openxmlformats.org/officeDocument/2006/relationships/hyperlink" Target="http://budget.orb.ru/new/init-budg" TargetMode="External"/><Relationship Id="rId286" Type="http://schemas.openxmlformats.org/officeDocument/2006/relationships/hyperlink" Target="http://docs.cntd.ru/document/553216517" TargetMode="External"/><Relationship Id="rId451" Type="http://schemas.openxmlformats.org/officeDocument/2006/relationships/hyperlink" Target="https://samarastat.gks.ru/population" TargetMode="External"/><Relationship Id="rId493" Type="http://schemas.openxmlformats.org/officeDocument/2006/relationships/hyperlink" Target="http://glazrayon.ru/city/fin/podderzhka/konkurs/" TargetMode="External"/><Relationship Id="rId507" Type="http://schemas.openxmlformats.org/officeDocument/2006/relationships/hyperlink" Target="https://mo-veshkaima.ru/view_news.php?id=14236" TargetMode="External"/><Relationship Id="rId549" Type="http://schemas.openxmlformats.org/officeDocument/2006/relationships/hyperlink" Target="https://cherdakli.com/?p=424;" TargetMode="External"/><Relationship Id="rId714" Type="http://schemas.openxmlformats.org/officeDocument/2006/relationships/hyperlink" Target="http://&#1072;&#1076;&#1084;&#1089;&#1086;&#1089;&#1085;&#1086;&#1074;&#1082;&#1072;.&#1088;&#1092;/local-control/administtion/budget/proactive/?ELEMENT_ID=50102" TargetMode="External"/><Relationship Id="rId756" Type="http://schemas.openxmlformats.org/officeDocument/2006/relationships/hyperlink" Target="https://tumstat.gks.ru/" TargetMode="External"/><Relationship Id="rId50" Type="http://schemas.openxmlformats.org/officeDocument/2006/relationships/hyperlink" Target="consultantplus://offline/ref=55AB044EF2AE989F64BAC01863E5C4A9ADFF11BADF275679A20855BC8E46D11C9C7059606921C791BA63221FB7AD46C4F510AAEFFC56605E2760CEN9c9M" TargetMode="External"/><Relationship Id="rId104" Type="http://schemas.openxmlformats.org/officeDocument/2006/relationships/hyperlink" Target="https://lenobl.ru/ru/dokumenty/opublikovanie-pravovyh-aktov/oficialno-opublikovanie-npa-s-10-iyunya-2013-goda/oficialnoe-opublikovanie-pravovyh-aktov-leningradskoj-oblasti-s-10-iyu/" TargetMode="External"/><Relationship Id="rId146" Type="http://schemas.openxmlformats.org/officeDocument/2006/relationships/hyperlink" Target="https://instagram.com/guvp_khabkrai," TargetMode="External"/><Relationship Id="rId188" Type="http://schemas.openxmlformats.org/officeDocument/2006/relationships/hyperlink" Target="https://ovmf2.consultant.ru/cgi/online.cgi?req=doc&amp;cacheid=603BA65AD6558414184CEEEA9DAA8A05&amp;SORTTYPE=0&amp;BASENODE=23700&amp;ts=133004834408205846370949368&amp;base=RLAW148&amp;n=164323&amp;rnd=78DB87F0E7078876E8DBB5D770C5B483" TargetMode="External"/><Relationship Id="rId311" Type="http://schemas.openxmlformats.org/officeDocument/2006/relationships/hyperlink" Target="https://www.gks.ru/folder/11110/document/13282" TargetMode="External"/><Relationship Id="rId353" Type="http://schemas.openxmlformats.org/officeDocument/2006/relationships/hyperlink" Target="https://blagoveshensk.bashkortostan.ru/presscenter/news/277712/" TargetMode="External"/><Relationship Id="rId395" Type="http://schemas.openxmlformats.org/officeDocument/2006/relationships/hyperlink" Target="http://&#1073;&#1091;&#1079;&#1091;&#1083;&#1091;&#1082;.&#1088;&#1092;/%D0%BE%D0%BF%D1%80%D0%BE%D1%81/%D0%BA%D0%B0%D0%BA-%D0%B2%D1%8B-%D1%81%D1%87%D0%B8%D1%82%D0%B0%D0%B5%D1%82%D0%B5-%D0%B2-%D0%BA%D0%B0%D0%BA%D0%BE%D0%BC-%D0%B8%D0%B7-%D0%BF%D0%B5%D1%80%D0%B5%D1%87%D0%B8%D1%81%D0%BB%D0%B5%D0%BD%25" TargetMode="External"/><Relationship Id="rId409" Type="http://schemas.openxmlformats.org/officeDocument/2006/relationships/hyperlink" Target="http://sorochinsk56.ru/assets/files/2020-Postanovlenia/soc_pasport.docx" TargetMode="External"/><Relationship Id="rId560" Type="http://schemas.openxmlformats.org/officeDocument/2006/relationships/hyperlink" Target="http://&#1092;&#1080;&#1085;-73.&#1088;&#1092;/otkrytyj-byudzhet/2015-05-26-06-06-49/narodnyj-byudzhet-2020-god.html" TargetMode="External"/><Relationship Id="rId798" Type="http://schemas.openxmlformats.org/officeDocument/2006/relationships/hyperlink" Target="http://dfik.ru/images/files/protokol_20052020.pdf" TargetMode="External"/><Relationship Id="rId92" Type="http://schemas.openxmlformats.org/officeDocument/2006/relationships/hyperlink" Target="https://ulgov.ru/news/regional/2020.12.04/58446/" TargetMode="External"/><Relationship Id="rId213" Type="http://schemas.openxmlformats.org/officeDocument/2006/relationships/hyperlink" Target="http://minter.permkrai.ru/proekty-mestnykh-initsiativ/initsiativnoe-byudzhetirovanie/npa-ib/" TargetMode="External"/><Relationship Id="rId420" Type="http://schemas.openxmlformats.org/officeDocument/2006/relationships/hyperlink" Target="http://&#1075;&#1088;&#1072;&#1095;&#1077;&#1074;&#1089;&#1082;&#1080;&#1081;-&#1088;&#1072;&#1081;&#1086;&#1085;.&#1088;&#1092;/about/byudzhet/initsiativnoe-byudzhetirovanie/initsiativnoe-byudzhetirovanie" TargetMode="External"/><Relationship Id="rId616" Type="http://schemas.openxmlformats.org/officeDocument/2006/relationships/hyperlink" Target="http://&#1075;&#1086;&#1088;&#1086;&#1076;&#1072;-&#1088;&#1086;&#1089;&#1089;&#1080;&#1103;.&#1088;&#1092;/sity_id.php?id=72" TargetMode="External"/><Relationship Id="rId658" Type="http://schemas.openxmlformats.org/officeDocument/2006/relationships/hyperlink" Target="http://alabievo.ru/documents/search.html?srch_text=&amp;srch_number=105&amp;srch_dates=&amp;srch_category=1532" TargetMode="External"/><Relationship Id="rId823" Type="http://schemas.openxmlformats.org/officeDocument/2006/relationships/hyperlink" Target="https://rosstat.gov.ru/compendium/document/13282" TargetMode="External"/><Relationship Id="rId255" Type="http://schemas.openxmlformats.org/officeDocument/2006/relationships/hyperlink" Target="http://old.gov.karelia.ru/Projects/Initiatives/" TargetMode="External"/><Relationship Id="rId297"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462" Type="http://schemas.openxmlformats.org/officeDocument/2006/relationships/hyperlink" Target="https://www.gks.ru/scripts/db_inet2/passport/munr.aspx?base=munst65" TargetMode="External"/><Relationship Id="rId518" Type="http://schemas.openxmlformats.org/officeDocument/2006/relationships/hyperlink" Target="https://uln.gks.ru/search?q=&#1095;&#1080;&#1089;&#1083;&#1077;&#1085;&#1085;&#1086;&#1089;&#1090;&#1100;+&#1042;&#1077;&#1096;&#1082;&#1072;&#1081;&#1084;&#1089;&#1082;&#1086;&#1075;&#1086;+&#1088;&#1072;&#1081;&#1086;&#1085;&#1072;" TargetMode="External"/><Relationship Id="rId725" Type="http://schemas.openxmlformats.org/officeDocument/2006/relationships/hyperlink" Target="https://df.salekhard.org/byudzhetnaya-initsiativa-grazhdan/2020/contest1.php" TargetMode="External"/><Relationship Id="rId115" Type="http://schemas.openxmlformats.org/officeDocument/2006/relationships/hyperlink" Target="http://vlfin.ru/nashi-stati/lichnye-finansy/zdes-moya-kopeechka-vot-nasha-skameechka-initsiativnoe-byudzhetirovanie-prineslo-oshchutimye-plody/?sphrase_id=7835;" TargetMode="External"/><Relationship Id="rId157" Type="http://schemas.openxmlformats.org/officeDocument/2006/relationships/hyperlink" Target="http://mf.nnov.ru/files/budget/N_PA/Proekt/2019/Postanovlenie_616_ot_30.08.2019.zip" TargetMode="External"/><Relationship Id="rId322" Type="http://schemas.openxmlformats.org/officeDocument/2006/relationships/hyperlink" Target="https://disk.yandex.ru/client/disk/&#1048;&#1041;_&#1092;&#1080;&#1088;&#1084;&#1077;&#1085;&#1085;&#1099;&#1081;%20&#1089;&#1090;&#1080;&#1083;&#1100;/&#1064;&#1040;&#1041;&#1051;&#1054;&#1053;&#1067;" TargetMode="External"/><Relationship Id="rId364" Type="http://schemas.openxmlformats.org/officeDocument/2006/relationships/hyperlink" Target="http://admbalabanovo.ru/economica/initsiativnye-proekty/dokumenty/arkhiv.php" TargetMode="External"/><Relationship Id="rId767" Type="http://schemas.openxmlformats.org/officeDocument/2006/relationships/hyperlink" Target="http://adm-gorki.ru/documents/224.html" TargetMode="External"/><Relationship Id="rId61"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199" Type="http://schemas.openxmlformats.org/officeDocument/2006/relationships/hyperlink" Target="http://gov.spb.ru/law?d&amp;nd=822403529&amp;nh=0" TargetMode="External"/><Relationship Id="rId571" Type="http://schemas.openxmlformats.org/officeDocument/2006/relationships/hyperlink" Target="http://www.cap.ru/doc/laws/2020/02/03/ruling-40" TargetMode="External"/><Relationship Id="rId627" Type="http://schemas.openxmlformats.org/officeDocument/2006/relationships/hyperlink" Target="http://nvraion.ru/ekonomika-i-finansy/initsiativnoe-byudzhetirovanie/" TargetMode="External"/><Relationship Id="rId669" Type="http://schemas.openxmlformats.org/officeDocument/2006/relationships/hyperlink" Target="http://lugovoikonda.ru/tinybrowser/files/2017/postanovleniya/post.-312-ot-19.12.17-konkursnyy-otbor-proektov-narodnyy-byudzhet.doc" TargetMode="External"/><Relationship Id="rId834" Type="http://schemas.openxmlformats.org/officeDocument/2006/relationships/hyperlink" Target="http://www.tosvrn.ru/" TargetMode="External"/><Relationship Id="rId19" Type="http://schemas.openxmlformats.org/officeDocument/2006/relationships/hyperlink" Target="http://publication.pravo.gov.ru/Document/View/3600201905300001?rangeSize=20" TargetMode="External"/><Relationship Id="rId224" Type="http://schemas.openxmlformats.org/officeDocument/2006/relationships/hyperlink" Target="https://minfin.saratov.gov.ru/index.php?option=com_acrfilestorage&amp;task=download&amp;on=2060" TargetMode="External"/><Relationship Id="rId266" Type="http://schemas.openxmlformats.org/officeDocument/2006/relationships/hyperlink" Target="http://minfin.kalmregion.ru/deyatelnost/initsiativnoe-byudzhetirovanie/" TargetMode="External"/><Relationship Id="rId431" Type="http://schemas.openxmlformats.org/officeDocument/2006/relationships/hyperlink" Target="http://fin-or.ru/ckfinder/userfiles/files/&#1055;&#1086;&#1089;&#1090;&#1072;&#1085;&#1086;&#1074;&#1085;&#1077;&#1085;&#1080;&#1077;%201270&#1087;.pdf" TargetMode="External"/><Relationship Id="rId473" Type="http://schemas.openxmlformats.org/officeDocument/2006/relationships/hyperlink" Target="https://www.gks.ru/scripts/db_inet2/passport/pass.aspx?base=munst71&amp;r=71701000" TargetMode="External"/><Relationship Id="rId529" Type="http://schemas.openxmlformats.org/officeDocument/2006/relationships/hyperlink" Target="mailto:kuz-fu@mail.ru." TargetMode="External"/><Relationship Id="rId680" Type="http://schemas.openxmlformats.org/officeDocument/2006/relationships/hyperlink" Target="http://www.admkonda.ru/documents/10031.html" TargetMode="External"/><Relationship Id="rId736" Type="http://schemas.openxmlformats.org/officeDocument/2006/relationships/hyperlink" Target="http://budget.depfinnbr.ru/initsiativnoe-byudzhetirovanie/proekt-ritm" TargetMode="External"/><Relationship Id="rId30" Type="http://schemas.openxmlformats.org/officeDocument/2006/relationships/hyperlink" Target="http://10.1.2.160:1000/Reports/Full.aspx?year=2020" TargetMode="External"/><Relationship Id="rId126" Type="http://schemas.openxmlformats.org/officeDocument/2006/relationships/hyperlink" Target="https://tmb.gks.ru/folder/33717" TargetMode="External"/><Relationship Id="rId168" Type="http://schemas.openxmlformats.org/officeDocument/2006/relationships/hyperlink" Target="https://novgorodstat.gks.ru/storage/mediabank/%D0%9D%D0%B0%D1%81%D0%B5%D0%BB%D0%B5%D0%BD%D0%B8%D0%B5%202020.pdf" TargetMode="External"/><Relationship Id="rId333" Type="http://schemas.openxmlformats.org/officeDocument/2006/relationships/hyperlink" Target="http://www.consultant.ru/" TargetMode="External"/><Relationship Id="rId540" Type="http://schemas.openxmlformats.org/officeDocument/2006/relationships/hyperlink" Target="http://sengilej.ru/filemanager.aspx?fileid=9621" TargetMode="External"/><Relationship Id="rId778" Type="http://schemas.openxmlformats.org/officeDocument/2006/relationships/hyperlink" Target="http://adminshur.ru/budjetnaya_iniciativa_grajdan_2019" TargetMode="External"/><Relationship Id="rId72" Type="http://schemas.openxmlformats.org/officeDocument/2006/relationships/hyperlink" Target="https://pravitelstvo.kbr.ru/documents/post/index.php?ELEMENT_ID=16584" TargetMode="External"/><Relationship Id="rId375" Type="http://schemas.openxmlformats.org/officeDocument/2006/relationships/hyperlink" Target="https://dzhankoy.rk.gov.ru/uploads/txteditor/dzhankoy/attachments/d4/1d/8c/d98f00b204e9800998ecf8427e/phpqeL7To_prot.pdf" TargetMode="External"/><Relationship Id="rId582" Type="http://schemas.openxmlformats.org/officeDocument/2006/relationships/hyperlink" Target="http://www.admbel.ru/local-control/administration/finans/part/" TargetMode="External"/><Relationship Id="rId638" Type="http://schemas.openxmlformats.org/officeDocument/2006/relationships/hyperlink" Target="http://admlangepas.ru/open-budget/proactive-budgeting/attention-the-competition/itogi-realizatsii-initsiativnykh-proektov-v-2020-godu/" TargetMode="External"/><Relationship Id="rId803" Type="http://schemas.openxmlformats.org/officeDocument/2006/relationships/hyperlink" Target="http://&#1089;&#1072;&#1084;&#1073;&#1091;&#1088;&#1075;.&#1088;&#1092;/documents/914.html" TargetMode="External"/><Relationship Id="rId845" Type="http://schemas.openxmlformats.org/officeDocument/2006/relationships/hyperlink" Target="http://&#1075;&#1086;&#1088;&#1086;&#1076;&#1072;-&#1088;&#1086;&#1089;&#1089;&#1080;&#1103;.&#1088;&#1092;/sity_id.php?id=14" TargetMode="External"/><Relationship Id="rId3" Type="http://schemas.openxmlformats.org/officeDocument/2006/relationships/hyperlink" Target="https://iro22.ru/index.php/2017-09-05-03-16-33/konkurs-shkolnykh-initsiativ-ya-schitayu.html" TargetMode="External"/><Relationship Id="rId235" Type="http://schemas.openxmlformats.org/officeDocument/2006/relationships/hyperlink" Target="https://disk.yandex.ru/d/xvUosd2ke_3_rQ" TargetMode="External"/><Relationship Id="rId277" Type="http://schemas.openxmlformats.org/officeDocument/2006/relationships/hyperlink" Target="https://minfin-altai.ru/deyatelnost/proactive-budgeting/" TargetMode="External"/><Relationship Id="rId400" Type="http://schemas.openxmlformats.org/officeDocument/2006/relationships/hyperlink" Target="https://www.finuprgaj.ru/&#1086;&#1090;&#1082;&#1088;&#1099;&#1090;&#1099;&#1081;-&#1073;&#1102;&#1076;&#1078;&#1077;&#1090;/&#1085;&#1072;&#1088;&#1086;&#1076;&#1085;&#1099;&#1081;-&#1073;&#1102;&#1076;&#1078;&#1077;&#1090;-2/&#1072;&#1085;&#1082;&#1077;&#1090;&#1072;-&#1090;&#1077;&#1089;&#1090;" TargetMode="External"/><Relationship Id="rId442" Type="http://schemas.openxmlformats.org/officeDocument/2006/relationships/hyperlink" Target="https://yadi.sk/i/S3VNNsdL57pYeg" TargetMode="External"/><Relationship Id="rId484" Type="http://schemas.openxmlformats.org/officeDocument/2006/relationships/hyperlink" Target="http://&#1079;&#1072;&#1074;&#1100;&#1103;&#1083;&#1086;&#1074;&#1089;&#1082;&#1080;&#1081;.&#1088;&#1092;/about/news/news/za-preobrazhenie/" TargetMode="External"/><Relationship Id="rId705" Type="http://schemas.openxmlformats.org/officeDocument/2006/relationships/hyperlink" Target="http://admlyhma.ru/admininstration-actions/budget/proactive/" TargetMode="External"/><Relationship Id="rId137" Type="http://schemas.openxmlformats.org/officeDocument/2006/relationships/hyperlink" Target="https://admtyumen.ru/ogv_ru/finance/programs/program.htm?id=1190@egTargetGrant" TargetMode="External"/><Relationship Id="rId302" Type="http://schemas.openxmlformats.org/officeDocument/2006/relationships/hyperlink" Target="https://doc.kirovreg.ru/upload/sed/2020/03/6/0.94541000%201583452785/325-%D0%97%D0%9E%20%D0%BE%D1%82%2019.12.2019.pdf" TargetMode="External"/><Relationship Id="rId344" Type="http://schemas.openxmlformats.org/officeDocument/2006/relationships/hyperlink" Target="http://publication.pravo.gov.ru/Document/View/5700201912040001" TargetMode="External"/><Relationship Id="rId691" Type="http://schemas.openxmlformats.org/officeDocument/2006/relationships/hyperlink" Target="http://pripolarny.ru/normativnye_pravovye_akty_4" TargetMode="External"/><Relationship Id="rId747" Type="http://schemas.openxmlformats.org/officeDocument/2006/relationships/hyperlink" Target="https://&#1078;&#1080;&#1074;&#1105;&#1084;&#1085;&#1072;&#1089;&#1077;&#1074;&#1077;&#1088;&#1077;.&#1088;&#1092;/homely/" TargetMode="External"/><Relationship Id="rId789" Type="http://schemas.openxmlformats.org/officeDocument/2006/relationships/hyperlink" Target="https://vk.com/molsovetyamal" TargetMode="External"/><Relationship Id="rId41" Type="http://schemas.openxmlformats.org/officeDocument/2006/relationships/hyperlink" Target="http://www.udmurt.ru/regulatory/index.php?typeid=31183294&amp;regnum=196&amp;sdate=21.05.2019&amp;edate=&amp;sdatepub=&amp;edatepub=&amp;q=&amp;doccnt=" TargetMode="External"/><Relationship Id="rId83" Type="http://schemas.openxmlformats.org/officeDocument/2006/relationships/hyperlink" Target="http://dvp.ivanovoobl.ru/?type=news&amp;id=44014" TargetMode="External"/><Relationship Id="rId179" Type="http://schemas.openxmlformats.org/officeDocument/2006/relationships/hyperlink" Target="https://&#1094;&#1084;&#1087;&#1080;.&#1088;&#1092;/proekty/tos/" TargetMode="External"/><Relationship Id="rId386" Type="http://schemas.openxmlformats.org/officeDocument/2006/relationships/hyperlink" Target="https://novgorodstat.gks.ru/storage/mediabank/%D0%9D%D0%B0%D1%81%D0%B5%D0%BB%D0%B5%D0%BD%D0%B8%D0%B5%202020.pdf" TargetMode="External"/><Relationship Id="rId551" Type="http://schemas.openxmlformats.org/officeDocument/2006/relationships/hyperlink" Target="https://cherdakli.com/" TargetMode="External"/><Relationship Id="rId593" Type="http://schemas.openxmlformats.org/officeDocument/2006/relationships/hyperlink" Target="https://www.admsr.ru/region/population/" TargetMode="External"/><Relationship Id="rId607" Type="http://schemas.openxmlformats.org/officeDocument/2006/relationships/hyperlink" Target="https://adm.gov86.org/news/346/_aview_b8276" TargetMode="External"/><Relationship Id="rId649" Type="http://schemas.openxmlformats.org/officeDocument/2006/relationships/hyperlink" Target="https://ok.ru/profile/575729663887/statuses/152420595066255" TargetMode="External"/><Relationship Id="rId814" Type="http://schemas.openxmlformats.org/officeDocument/2006/relationships/hyperlink" Target="http://www.purovskoe.ru/byudzhetnye-iniciativy.html" TargetMode="External"/><Relationship Id="rId190" Type="http://schemas.openxmlformats.org/officeDocument/2006/relationships/hyperlink" Target="https://pskovstat.gks.ru/storage/mediabank/nas200325_1.htm" TargetMode="External"/><Relationship Id="rId204" Type="http://schemas.openxmlformats.org/officeDocument/2006/relationships/hyperlink" Target="http://energy.midural.ru/gosudarstvennaya-programma/" TargetMode="External"/><Relationship Id="rId246" Type="http://schemas.openxmlformats.org/officeDocument/2006/relationships/hyperlink" Target="https://ppmi.yakutia.click/Home" TargetMode="External"/><Relationship Id="rId288" Type="http://schemas.openxmlformats.org/officeDocument/2006/relationships/hyperlink" Target="https://vk.com/cigi_isi_rb" TargetMode="External"/><Relationship Id="rId411" Type="http://schemas.openxmlformats.org/officeDocument/2006/relationships/hyperlink" Target="https://docs.google.com/forms/d/e/1FAIpQLSfyAHDkLXBtDdTZk1-JhqH54nQ68MznK3Ij-DEgWdlF1xGgUQ/viewanalytics" TargetMode="External"/><Relationship Id="rId453" Type="http://schemas.openxmlformats.org/officeDocument/2006/relationships/hyperlink" Target="https://twitter.com/AdmSamRna/status/1372144550836379663" TargetMode="External"/><Relationship Id="rId509" Type="http://schemas.openxmlformats.org/officeDocument/2006/relationships/hyperlink" Target="https://www.mo-veshkaima.ru/view_news.php?id=21638" TargetMode="External"/><Relationship Id="rId660" Type="http://schemas.openxmlformats.org/officeDocument/2006/relationships/hyperlink" Target="http://www.statdata.ru/naselenie/naselenie-hmao" TargetMode="External"/><Relationship Id="rId106" Type="http://schemas.openxmlformats.org/officeDocument/2006/relationships/hyperlink" Target="https://petrostat.gks.ru/folder/29437" TargetMode="External"/><Relationship Id="rId313" Type="http://schemas.openxmlformats.org/officeDocument/2006/relationships/hyperlink" Target="https://admkrai.krasnodar.ru/upload/iblock/7fb/7fbf0fe8cabed452fca8a88b2bf79a92.pdf" TargetMode="External"/><Relationship Id="rId495" Type="http://schemas.openxmlformats.org/officeDocument/2006/relationships/hyperlink" Target="https://www.gks.ru/scripts/db_inet2/passport/table.aspx?opt=946060002020" TargetMode="External"/><Relationship Id="rId716" Type="http://schemas.openxmlformats.org/officeDocument/2006/relationships/hyperlink" Target="https://polnovat.ru/2018/02/8151/" TargetMode="External"/><Relationship Id="rId758" Type="http://schemas.openxmlformats.org/officeDocument/2006/relationships/hyperlink" Target="https://www.admmuji.ru/file/94m3w3cxe" TargetMode="External"/><Relationship Id="rId10" Type="http://schemas.openxmlformats.org/officeDocument/2006/relationships/hyperlink" Target="https://amurstat.gks.ru/storage/mediabank/8B7LZIh7/07_1_4.htm" TargetMode="External"/><Relationship Id="rId52" Type="http://schemas.openxmlformats.org/officeDocument/2006/relationships/hyperlink" Target="http://www.statdata.ru/naselenie/kostromskoi-oblasti" TargetMode="External"/><Relationship Id="rId94" Type="http://schemas.openxmlformats.org/officeDocument/2006/relationships/hyperlink" Target="https://docs.cntd.ru/document/463732391" TargetMode="External"/><Relationship Id="rId148" Type="http://schemas.openxmlformats.org/officeDocument/2006/relationships/hyperlink" Target="https://laws.khv.gov.ru/" TargetMode="External"/><Relationship Id="rId355" Type="http://schemas.openxmlformats.org/officeDocument/2006/relationships/hyperlink" Target="https://blagoveshensk.bashkortostan.ru/presscenter/news/277712/" TargetMode="External"/><Relationship Id="rId397" Type="http://schemas.openxmlformats.org/officeDocument/2006/relationships/hyperlink" Target="http://&#1073;&#1091;&#1079;&#1091;&#1083;&#1091;&#1082;.&#1088;&#1092;/content/%D0%BD%D0%B0%D1%80%D0%BE%D0%B4%D0%BD%D1%8B%D0%B9-%D0%B1%D1%8E%D0%B4%D0%B6%D0%B5%D1%82" TargetMode="External"/><Relationship Id="rId520" Type="http://schemas.openxmlformats.org/officeDocument/2006/relationships/hyperlink" Target="https://uln.gks.ru/storage/mediabank/&#1063;&#1080;&#1089;&#1083;&#1077;&#1085;&#1085;&#1086;&#1089;&#1090;&#1100;%20&#1085;&#1072;&#1089;&#1077;&#1083;&#1077;&#1085;&#1080;&#1103;%20&#1084;&#1091;&#1085;&#1080;&#1094;&#1080;&#1087;&#1072;&#1083;&#1100;&#1085;&#1099;&#1093;%20&#1086;&#1073;&#1088;&#1072;&#1079;&#1086;&#1074;&#1072;&#1085;&#1080;&#1081;%20&#1059;&#1083;&#1100;&#1103;&#1085;&#1086;&#1074;&#1089;&#1082;&#1086;&#1081;%20&#1086;&#1073;&#1083;.xlsx" TargetMode="External"/><Relationship Id="rId562" Type="http://schemas.openxmlformats.org/officeDocument/2006/relationships/hyperlink" Target="https://amursk.ru/index.php?option=com_content&amp;task=view&amp;id=11714&amp;Itemid=361" TargetMode="External"/><Relationship Id="rId618" Type="http://schemas.openxmlformats.org/officeDocument/2006/relationships/hyperlink" Target="http://budjet-dlya-grajdan.admpokachi.ru/initsiativnoe-byudzhetirovanie/golosovanie/" TargetMode="External"/><Relationship Id="rId825" Type="http://schemas.openxmlformats.org/officeDocument/2006/relationships/hyperlink" Target="http://&#1093;&#1072;&#1083;&#1103;&#1089;&#1072;&#1074;&#1101;&#1081;.&#1088;&#1092;/ob-yavleniya.html" TargetMode="External"/><Relationship Id="rId215" Type="http://schemas.openxmlformats.org/officeDocument/2006/relationships/hyperlink" Target="http://sakhminfin.ru/index.php/news/3293-o-rezultatakh-konkursnogo-otbora-na-predostavlenie-v-2020-godu-byudzhetam-munitsipalnykh-obrazovanij-sakhalinskoj-oblasti-subsidii-iz-oblastnogo-byudzheta-na-realizatsiyu-v-sakhalinskoj-oblasti-obshchestvenno-znachimykh-proektov-osnovannykh-na-mestnykh-in" TargetMode="External"/><Relationship Id="rId257" Type="http://schemas.openxmlformats.org/officeDocument/2006/relationships/hyperlink" Target="https://nac.gov.karelia.ru/about/3833/" TargetMode="External"/><Relationship Id="rId422" Type="http://schemas.openxmlformats.org/officeDocument/2006/relationships/hyperlink" Target="http://gks.ru/dbscripts/munst/munst53/DBInet.cgi" TargetMode="External"/><Relationship Id="rId464" Type="http://schemas.openxmlformats.org/officeDocument/2006/relationships/hyperlink" Target="http://movp.ru/site/section?id=1279" TargetMode="External"/><Relationship Id="rId299" Type="http://schemas.openxmlformats.org/officeDocument/2006/relationships/hyperlink" Target="https://house.bashkortostan.ru/activity/14535/" TargetMode="External"/><Relationship Id="rId727" Type="http://schemas.openxmlformats.org/officeDocument/2006/relationships/hyperlink" Target="https://www.salekhard.org/about/info/news/16393/" TargetMode="External"/><Relationship Id="rId63"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159" Type="http://schemas.openxmlformats.org/officeDocument/2006/relationships/hyperlink" Target="http://publication.pravo.gov.ru/Document/View/5200202011300004" TargetMode="External"/><Relationship Id="rId366" Type="http://schemas.openxmlformats.org/officeDocument/2006/relationships/hyperlink" Target="https://ok.ru/video/3616412864839" TargetMode="External"/><Relationship Id="rId573" Type="http://schemas.openxmlformats.org/officeDocument/2006/relationships/hyperlink" Target="https://docs.cntd.ru/document/446168877" TargetMode="External"/><Relationship Id="rId780" Type="http://schemas.openxmlformats.org/officeDocument/2006/relationships/hyperlink" Target="http://&#1087;&#1088;&#1080;&#1091;&#1088;&#1072;&#1083;&#1100;&#1089;&#1082;&#1080;&#1081;&#1088;&#1072;&#1081;&#1086;&#1085;.&#1088;&#1092;/economy/initsiativnoe-byudzhetirovanie/" TargetMode="External"/><Relationship Id="rId226" Type="http://schemas.openxmlformats.org/officeDocument/2006/relationships/hyperlink" Target="https://minfin.saratov.gov.ru/budget/proekty/proekt-po-podderzhke-mestnykh-initsiativ-v-saratovskoj-oblasti/o-proekte" TargetMode="External"/><Relationship Id="rId433" Type="http://schemas.openxmlformats.org/officeDocument/2006/relationships/hyperlink" Target="http://fin-or.ru/content/narodnyy-byudzhet" TargetMode="External"/><Relationship Id="rId640" Type="http://schemas.openxmlformats.org/officeDocument/2006/relationships/hyperlink" Target="http://www.statdata.ru/naselenie/naselenie-hmao" TargetMode="External"/><Relationship Id="rId738" Type="http://schemas.openxmlformats.org/officeDocument/2006/relationships/hyperlink" Target="https://vk.com/public183473795?z=photo-183473795_457239168%2Fwall-183473795_102" TargetMode="External"/><Relationship Id="rId74" Type="http://schemas.openxmlformats.org/officeDocument/2006/relationships/hyperlink" Target="https://clck.ru/Ueacz" TargetMode="External"/><Relationship Id="rId377" Type="http://schemas.openxmlformats.org/officeDocument/2006/relationships/hyperlink" Target="https://dzhankoy.rk.gov.ru/uploads/txteditor/dzhankoy/attachments/d4/1d/8c/d98f00b204e9800998ecf8427e/phpkuqS1f_1.pdf" TargetMode="External"/><Relationship Id="rId500" Type="http://schemas.openxmlformats.org/officeDocument/2006/relationships/hyperlink" Target="https://uln.gks.ru/folder/40275" TargetMode="External"/><Relationship Id="rId584" Type="http://schemas.openxmlformats.org/officeDocument/2006/relationships/hyperlink" Target="https://berezovo.ru/activity/finance/initsiativnoe-byudzhetirovanie/" TargetMode="External"/><Relationship Id="rId805" Type="http://schemas.openxmlformats.org/officeDocument/2006/relationships/hyperlink" Target="http://&#1089;&#1072;&#1084;&#1073;&#1091;&#1088;&#1075;.&#1088;&#1092;/informaciya-o-proekte.html" TargetMode="External"/><Relationship Id="rId5" Type="http://schemas.openxmlformats.org/officeDocument/2006/relationships/hyperlink" Target="https://cloud.mail.ru/public/43VB/q6RjRJqxP" TargetMode="External"/><Relationship Id="rId237" Type="http://schemas.openxmlformats.org/officeDocument/2006/relationships/hyperlink" Target="http://publication.pravo.gov.ru/Document/View/6200201702270003" TargetMode="External"/><Relationship Id="rId791" Type="http://schemas.openxmlformats.org/officeDocument/2006/relationships/hyperlink" Target="https://vk.com/moi_yamalskiy_raion" TargetMode="External"/><Relationship Id="rId444" Type="http://schemas.openxmlformats.org/officeDocument/2006/relationships/hyperlink" Target="http://zdsamara.ru/regulatory/munitsipalnye-pravovye-akty/2430/" TargetMode="External"/><Relationship Id="rId651" Type="http://schemas.openxmlformats.org/officeDocument/2006/relationships/hyperlink" Target="https://malinovskiy.admsov.com/action/in-bu.php" TargetMode="External"/><Relationship Id="rId749" Type="http://schemas.openxmlformats.org/officeDocument/2006/relationships/hyperlink" Target="http://nadymregion.ru/upload/&#1055;&#1086;&#1089;&#1090;&#1072;&#1085;&#1086;&#1074;&#1083;&#1077;&#1085;&#1080;&#1077;%2097.docx" TargetMode="External"/><Relationship Id="rId290"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304" Type="http://schemas.openxmlformats.org/officeDocument/2006/relationships/hyperlink" Target="https://kirovreg.ru/publ/AkOUP.nsf/de017b98ac867075c32571440061b25c/c5cfc3177e78934f43257dcf00397b26?OpenDocument" TargetMode="External"/><Relationship Id="rId388" Type="http://schemas.openxmlformats.org/officeDocument/2006/relationships/hyperlink" Target="https://pestovo-obrazovanie.edusite.ru/mconstr.html?page=/p117aa1.html" TargetMode="External"/><Relationship Id="rId511" Type="http://schemas.openxmlformats.org/officeDocument/2006/relationships/hyperlink" Target="https://www.mo-veshkaima.ru/view_news.php?id=21927" TargetMode="External"/><Relationship Id="rId609" Type="http://schemas.openxmlformats.org/officeDocument/2006/relationships/hyperlink" Target="https://admhmansy.ru/rule/glava_adm/activities/activities.php?ELEMENT_ID=140188" TargetMode="External"/><Relationship Id="rId85" Type="http://schemas.openxmlformats.org/officeDocument/2006/relationships/hyperlink" Target="http://dvp.ivanovoobl.ru/?type=news&amp;id=44014" TargetMode="External"/><Relationship Id="rId150" Type="http://schemas.openxmlformats.org/officeDocument/2006/relationships/hyperlink" Target="https://ovmf2.consultant.ru/cgi/online.cgi?req=doc&amp;ts=155202624105309729631190472&amp;cacheid=BE3771CA87324EE9826D00E861E8CF15&amp;mode=splus&amp;base=MOB&amp;n=309201&amp;rnd=66D8B55318E3190061A470AE6405CD26" TargetMode="External"/><Relationship Id="rId595" Type="http://schemas.openxmlformats.org/officeDocument/2006/relationships/hyperlink" Target="https://instagram.com/budget_news_admsr?igshid=1lzenc868lcxw" TargetMode="External"/><Relationship Id="rId816" Type="http://schemas.openxmlformats.org/officeDocument/2006/relationships/hyperlink" Target="http://www.purovskoe.ru/" TargetMode="External"/><Relationship Id="rId248" Type="http://schemas.openxmlformats.org/officeDocument/2006/relationships/hyperlink" Target="https://sakha.gks.ru/folder/32348" TargetMode="External"/><Relationship Id="rId455" Type="http://schemas.openxmlformats.org/officeDocument/2006/relationships/hyperlink" Target="http://alapaevskoe.ru/article/show/id/10222" TargetMode="External"/><Relationship Id="rId662" Type="http://schemas.openxmlformats.org/officeDocument/2006/relationships/hyperlink" Target="http://www.statdata.ru/naselenie/naselenie-hmao" TargetMode="External"/><Relationship Id="rId12" Type="http://schemas.openxmlformats.org/officeDocument/2006/relationships/hyperlink" Target="http://publication.pravo.gov.ru/Document/View/3600201905300001?rangeSize=20" TargetMode="External"/><Relationship Id="rId108" Type="http://schemas.openxmlformats.org/officeDocument/2006/relationships/hyperlink" Target="https://msu.lenobl.ru/ru/programmy-i-plany/iniciativnye-komissii-v-administrativnyh-centrah/" TargetMode="External"/><Relationship Id="rId315" Type="http://schemas.openxmlformats.org/officeDocument/2006/relationships/hyperlink" Target="https://pravo.donland.ru/doc/view/id/%D0%9E%D0%B1%D0%BB%D0%B0%D1%81%D1%82%D0%BD%D0%BE%D0%B9+%D0%B7%D0%B0%D0%BA%D0%BE%D0%BD_70-%D0%97%D0%A1_25122018_11295/" TargetMode="External"/><Relationship Id="rId522" Type="http://schemas.openxmlformats.org/officeDocument/2006/relationships/hyperlink" Target="http://www.krasnorechenskoesp.ru/load/narodnyj_bjudzhet/32" TargetMode="External"/><Relationship Id="rId96" Type="http://schemas.openxmlformats.org/officeDocument/2006/relationships/hyperlink" Target="http://energy.ulregion.ru/" TargetMode="External"/><Relationship Id="rId161" Type="http://schemas.openxmlformats.org/officeDocument/2006/relationships/hyperlink" Target="https://nizhstat.gks.ru/" TargetMode="External"/><Relationship Id="rId399" Type="http://schemas.openxmlformats.org/officeDocument/2006/relationships/hyperlink" Target="http://www.finuprgaj.ru/&#1085;&#1072;&#1088;&#1086;&#1076;&#1085;&#1099;&#1081;-&#1073;&#1102;&#1076;&#1078;&#1077;&#1090;/&#1076;&#1086;&#1082;&#1091;&#1084;&#1077;&#1085;&#1090;&#1099;/attachment/&#1087;&#1086;&#1089;&#1090;&#1072;&#1085;&#1086;&#1074;&#1083;&#1077;&#1085;&#1080;&#1077;-2" TargetMode="External"/><Relationship Id="rId827" Type="http://schemas.openxmlformats.org/officeDocument/2006/relationships/hyperlink" Target="http://harampur.ru/documents/891.html" TargetMode="External"/><Relationship Id="rId259" Type="http://schemas.openxmlformats.org/officeDocument/2006/relationships/hyperlink" Target="https://m.vk.com/album-169034427_0?rev=1&amp;from=profile&amp;z=photo-169034427_457239153%2Falbum-169034427_0%2Frev" TargetMode="External"/><Relationship Id="rId466" Type="http://schemas.openxmlformats.org/officeDocument/2006/relationships/hyperlink" Target="https://sverdl.gks.ru/" TargetMode="External"/><Relationship Id="rId673" Type="http://schemas.openxmlformats.org/officeDocument/2006/relationships/hyperlink" Target="https://ok.ru/group/60701864427563/topic/152131261537067" TargetMode="External"/><Relationship Id="rId23" Type="http://schemas.openxmlformats.org/officeDocument/2006/relationships/hyperlink" Target="http://programs.vologda-oblast.ru/prog/programma_gubernatora_narodnyj_byudzhet/" TargetMode="External"/><Relationship Id="rId119" Type="http://schemas.openxmlformats.org/officeDocument/2006/relationships/hyperlink" Target="https://agro.tmbreg.ru/inv.html" TargetMode="External"/><Relationship Id="rId326" Type="http://schemas.openxmlformats.org/officeDocument/2006/relationships/hyperlink" Target="https://novgorodstat.gks.ru/storage/mediabank/%D0%9D%D0%B0%D1%81%D0%B5%D0%BB%D0%B5%D0%BD%D0%B8%D0%B5%202020.pdf" TargetMode="External"/><Relationship Id="rId533" Type="http://schemas.openxmlformats.org/officeDocument/2006/relationships/hyperlink" Target="http://www.maina-admin.ru/about/statistics/butget/narodniy%20budget.php" TargetMode="External"/><Relationship Id="rId740" Type="http://schemas.openxmlformats.org/officeDocument/2006/relationships/hyperlink" Target="http://budget.depfinnbr.ru/initsiativnoe-byudzhetirovanie/proekt-ritm" TargetMode="External"/><Relationship Id="rId838" Type="http://schemas.openxmlformats.org/officeDocument/2006/relationships/hyperlink" Target="https://drive.google.com/drive/folders/1DE9chLlpWEIxXzAEP29bRuiaM75OjS7X?usp=sharing" TargetMode="External"/><Relationship Id="rId172" Type="http://schemas.openxmlformats.org/officeDocument/2006/relationships/hyperlink" Target="https://vk.com/wall-172227097_282" TargetMode="External"/><Relationship Id="rId477" Type="http://schemas.openxmlformats.org/officeDocument/2006/relationships/hyperlink" Target="https://ishim.admtyumen.ru/mo/Ishim/economics/more.htm?id=11872606@cmsArticle" TargetMode="External"/><Relationship Id="rId600" Type="http://schemas.openxmlformats.org/officeDocument/2006/relationships/hyperlink" Target="https://www.admrad.ru/postanovlenie-administracii-goroda-raduzhnyjj-ot-27-10-2017-1583-otmenen/" TargetMode="External"/><Relationship Id="rId684" Type="http://schemas.openxmlformats.org/officeDocument/2006/relationships/hyperlink" Target="http://admkonda.ru/normativno-pravovye-akty-nb-mejd.html" TargetMode="External"/><Relationship Id="rId337" Type="http://schemas.openxmlformats.org/officeDocument/2006/relationships/hyperlink" Target="http://orel-region.ru/index.php?head=17&amp;part=19&amp;docid=10476" TargetMode="External"/><Relationship Id="rId34" Type="http://schemas.openxmlformats.org/officeDocument/2006/relationships/hyperlink" Target="http://docs.cntd.ru/document/550244134" TargetMode="External"/><Relationship Id="rId544" Type="http://schemas.openxmlformats.org/officeDocument/2006/relationships/hyperlink" Target="http://www.stemasskoe.ru/load/normativno_pravovye_akty/utverzhdennye/postanovlenie_administracii_mo_stemasskoe_selskoe_poselenie_ot_01_11_2018_45/37-1-0-170" TargetMode="External"/><Relationship Id="rId751" Type="http://schemas.openxmlformats.org/officeDocument/2006/relationships/hyperlink" Target="https://tumstat.gks.ru/" TargetMode="External"/><Relationship Id="rId849" Type="http://schemas.openxmlformats.org/officeDocument/2006/relationships/hyperlink" Target="http://pravo.tatarstan.ru/rus/npa_kabmin/post?npa_id=283319" TargetMode="External"/><Relationship Id="rId183" Type="http://schemas.openxmlformats.org/officeDocument/2006/relationships/hyperlink" Target="https://novgorodstat.gks.ru/storage/mediabank/%D0%9D%D0%B0%D1%81%D0%B5%D0%BB%D0%B5%D0%BD%D0%B8%D0%B5%202020.pdf" TargetMode="External"/><Relationship Id="rId390" Type="http://schemas.openxmlformats.org/officeDocument/2006/relationships/hyperlink" Target="mailto:ko5317@yandex.ru" TargetMode="External"/><Relationship Id="rId404" Type="http://schemas.openxmlformats.org/officeDocument/2006/relationships/hyperlink" Target="http://sorochinsk56.ru/index.php?id=1041" TargetMode="External"/><Relationship Id="rId611" Type="http://schemas.openxmlformats.org/officeDocument/2006/relationships/hyperlink" Target="https://crowd.admhmansy.ru/" TargetMode="External"/><Relationship Id="rId250" Type="http://schemas.openxmlformats.org/officeDocument/2006/relationships/hyperlink" Target="https://minfin.sakha.gov.ru/initsiativnoe-bjudzhetirovanie" TargetMode="External"/><Relationship Id="rId488" Type="http://schemas.openxmlformats.org/officeDocument/2006/relationships/hyperlink" Target="https://udmstat.gks.ru/folder/51924" TargetMode="External"/><Relationship Id="rId695" Type="http://schemas.openxmlformats.org/officeDocument/2006/relationships/hyperlink" Target="http://&#1089;&#1072;&#1088;&#1072;&#1085;&#1087;&#1072;&#1091;&#1083;&#1100;-&#1072;&#1076;&#1084;.&#1088;&#1092;/initciativnoe-byudzhetirovanie.html" TargetMode="External"/><Relationship Id="rId709" Type="http://schemas.openxmlformats.org/officeDocument/2006/relationships/hyperlink" Target="http://admsorum.ru/admininstration-actions/budget/proactive/" TargetMode="External"/><Relationship Id="rId45" Type="http://schemas.openxmlformats.org/officeDocument/2006/relationships/hyperlink" Target="http://ur.atmosphere.team/" TargetMode="External"/><Relationship Id="rId110" Type="http://schemas.openxmlformats.org/officeDocument/2006/relationships/hyperlink" Target="https://vk.com/public188542037" TargetMode="External"/><Relationship Id="rId348" Type="http://schemas.openxmlformats.org/officeDocument/2006/relationships/hyperlink" Target="http://&#1086;&#1088;&#1105;&#1083;.&#1088;&#1092;/&#1085;&#1072;&#1088;&#1086;&#1076;&#1085;&#1099;&#1081;-&#1073;&#1102;&#1076;&#1078;&#1077;&#1090;" TargetMode="External"/><Relationship Id="rId555" Type="http://schemas.openxmlformats.org/officeDocument/2006/relationships/hyperlink" Target="https://www.mo-veshkaima.ru/view_news.php?id=21638" TargetMode="External"/><Relationship Id="rId762" Type="http://schemas.openxmlformats.org/officeDocument/2006/relationships/hyperlink" Target="https://&#1078;&#1080;&#1074;&#1105;&#1084;&#1085;&#1072;&#1089;&#1077;&#1074;&#1077;&#1088;&#1077;.&#1088;&#1092;/results" TargetMode="External"/><Relationship Id="rId194" Type="http://schemas.openxmlformats.org/officeDocument/2006/relationships/hyperlink" Target="https://novgorodstat.gks.ru/storage/mediabank/%D0%9D%D0%B0%D1%81%D0%B5%D0%BB%D0%B5%D0%BD%D0%B8%D0%B5%202020.pdf" TargetMode="External"/><Relationship Id="rId208" Type="http://schemas.openxmlformats.org/officeDocument/2006/relationships/hyperlink" Target="https://sverdl.gks.ru/folder/29698" TargetMode="External"/><Relationship Id="rId415" Type="http://schemas.openxmlformats.org/officeDocument/2006/relationships/hyperlink" Target="http://asfin56.ru/assets/files/documents/2021/1/postanovlenie.doc" TargetMode="External"/><Relationship Id="rId622" Type="http://schemas.openxmlformats.org/officeDocument/2006/relationships/hyperlink" Target="http://www.admnyagan.ru/?page=inf_dlj_nas/info.php&amp;razd_id=30" TargetMode="External"/><Relationship Id="rId261" Type="http://schemas.openxmlformats.org/officeDocument/2006/relationships/hyperlink" Target="https://astrastat.gks.ru/folder/35673" TargetMode="External"/><Relationship Id="rId499" Type="http://schemas.openxmlformats.org/officeDocument/2006/relationships/hyperlink" Target="http://barysh.org/regulatory/Post2015/490.pdf" TargetMode="External"/><Relationship Id="rId56" Type="http://schemas.openxmlformats.org/officeDocument/2006/relationships/hyperlink" Target="http://trans.adm44.ru/sfera/deytelnost/obshinic/" TargetMode="External"/><Relationship Id="rId359"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566" Type="http://schemas.openxmlformats.org/officeDocument/2006/relationships/hyperlink" Target="http://publication.pravo.gov.ru/Document/View/7400202012230002" TargetMode="External"/><Relationship Id="rId773" Type="http://schemas.openxmlformats.org/officeDocument/2006/relationships/hyperlink" Target="http://adm-muji.ru/byudzhetnaya-initciativa-grazhdan.html" TargetMode="External"/><Relationship Id="rId121" Type="http://schemas.openxmlformats.org/officeDocument/2006/relationships/hyperlink" Target="https://www.tambov.gov.ru/assets/files/urt/pao-864.pdf" TargetMode="External"/><Relationship Id="rId219" Type="http://schemas.openxmlformats.org/officeDocument/2006/relationships/hyperlink" Target="https://www.facebook.com/budget65/%20https:/%20%20%20%20%20%20%20%20%20%20%20%20%20%20%20%20%20%20%20%20%20%20%20%20%20%20%20%20%20%20%20%20%20%20%20%20%20%20%20%20%20%20%20%20%20%20%20%20%20%20%20%20/vk.com/budget65" TargetMode="External"/><Relationship Id="rId426" Type="http://schemas.openxmlformats.org/officeDocument/2006/relationships/hyperlink" Target="http://finotdnovoorsk.ru/postanovlenie-o-narodnom-byudzhete" TargetMode="External"/><Relationship Id="rId633" Type="http://schemas.openxmlformats.org/officeDocument/2006/relationships/hyperlink" Target="http://www.admugansk.ru/category/1496" TargetMode="External"/><Relationship Id="rId840" Type="http://schemas.openxmlformats.org/officeDocument/2006/relationships/hyperlink" Target="https://drive.google.com/file/d/1xY6AfDlDaFBcq6uw10L6DbF8YgAVK1-P/view?usp=sharing" TargetMode="External"/><Relationship Id="rId67" Type="http://schemas.openxmlformats.org/officeDocument/2006/relationships/hyperlink" Target="https://kaliningrad.gks.ru/population" TargetMode="External"/><Relationship Id="rId272" Type="http://schemas.openxmlformats.org/officeDocument/2006/relationships/hyperlink" Target="https://signal.rkomi.ru/budzhet/razrabotan-logotip-proekta-narodnyy-byudzhet" TargetMode="External"/><Relationship Id="rId577" Type="http://schemas.openxmlformats.org/officeDocument/2006/relationships/hyperlink" Target="http://reshaem.vmeste76.ru/" TargetMode="External"/><Relationship Id="rId700" Type="http://schemas.openxmlformats.org/officeDocument/2006/relationships/hyperlink" Target="https://www.gks.ru/scripts/db_inet2/passport/table.aspx?opt=718114062020" TargetMode="External"/><Relationship Id="rId132" Type="http://schemas.openxmlformats.org/officeDocument/2006/relationships/hyperlink" Target="https://tmb.gks.ru/folder/33717" TargetMode="External"/><Relationship Id="rId784" Type="http://schemas.openxmlformats.org/officeDocument/2006/relationships/hyperlink" Target="http://www.adminbelka.ru/byudzhetnaya-iniciativa-grazhdan.html" TargetMode="External"/><Relationship Id="rId437" Type="http://schemas.openxmlformats.org/officeDocument/2006/relationships/hyperlink" Target="https://vk.com/fintotsk?w=poll-163040897_365024420" TargetMode="External"/><Relationship Id="rId644" Type="http://schemas.openxmlformats.org/officeDocument/2006/relationships/hyperlink" Target="http://admpioner.ru/Katalog/20201" TargetMode="External"/><Relationship Id="rId851" Type="http://schemas.openxmlformats.org/officeDocument/2006/relationships/hyperlink" Target="http://publication.pravo.gov.ru/Document/View/2900201910180011" TargetMode="External"/><Relationship Id="rId283" Type="http://schemas.openxmlformats.org/officeDocument/2006/relationships/hyperlink" Target="http://mcx-altai.ru/attachments/article/1946/1_20210311-postanovlenie-pravitelstva-respubliki-altaj-ot-26-dekabrja-2019-g.-&#8470;-379.docx" TargetMode="External"/><Relationship Id="rId490" Type="http://schemas.openxmlformats.org/officeDocument/2006/relationships/hyperlink" Target="http://glazrayon.ru/city/economica/statistika/naselenie/" TargetMode="External"/><Relationship Id="rId504" Type="http://schemas.openxmlformats.org/officeDocument/2006/relationships/hyperlink" Target="http://www.b-nagatkinskoe.ru/" TargetMode="External"/><Relationship Id="rId711" Type="http://schemas.openxmlformats.org/officeDocument/2006/relationships/hyperlink" Target="http://admsorum.ru/admininstration-actions/budget/proactive/?ELEMENT_ID=55867" TargetMode="External"/><Relationship Id="rId78" Type="http://schemas.openxmlformats.org/officeDocument/2006/relationships/hyperlink" Target="https://dsx.avo.ru/search?q=&#1087;&#1086;&#1089;&#1090;&#1072;&#1085;&#1086;&#1074;&#1083;&#1077;&#1085;&#1080;&#1077;+&#1086;&#1090;+20.12.2019+&#8470;904" TargetMode="External"/><Relationship Id="rId143" Type="http://schemas.openxmlformats.org/officeDocument/2006/relationships/hyperlink" Target="https://showdata.gks.ru/report/278928/?filter_1_0=2015-01-01+00%3A00%3A00%7C-56%2C2016-01-01+00%3A00%3A00%7C-56%2C2017-01-01+00%3A00%3A00%7C-56%2C2018-01-01+00%3A00%3A00%7C-56%2C2019-01-01+00%3A00%3A00%7C-56%2C2020-01-01+00%3A00%3A00%7C-56%2C2021-01-01+00" TargetMode="External"/><Relationship Id="rId350" Type="http://schemas.openxmlformats.org/officeDocument/2006/relationships/hyperlink" Target="https://askino.bashkortostan.ru/projects/506/" TargetMode="External"/><Relationship Id="rId588" Type="http://schemas.openxmlformats.org/officeDocument/2006/relationships/hyperlink" Target="http://budget.uray.ru/iniciativnoe-bjudzhetirovanie-v-rf/" TargetMode="External"/><Relationship Id="rId795" Type="http://schemas.openxmlformats.org/officeDocument/2006/relationships/hyperlink" Target="https://tasu.ru/ekonomika-i-finansy/initsiativnoe-byudzhetirovanie/," TargetMode="External"/><Relationship Id="rId809" Type="http://schemas.openxmlformats.org/officeDocument/2006/relationships/hyperlink" Target="https://rosstat.gov.ru/compendium/document/13282" TargetMode="External"/><Relationship Id="rId9" Type="http://schemas.openxmlformats.org/officeDocument/2006/relationships/hyperlink" Target="https://akstat.gks.ru/folder/33247" TargetMode="External"/><Relationship Id="rId210" Type="http://schemas.openxmlformats.org/officeDocument/2006/relationships/hyperlink" Target="https://vmeste.permkrai.ru/program/category/6/" TargetMode="External"/><Relationship Id="rId448" Type="http://schemas.openxmlformats.org/officeDocument/2006/relationships/hyperlink" Target="http://www.zdsamara.ru/dlya-naseleniya/tvoy-konstruktor-dvora/" TargetMode="External"/><Relationship Id="rId655" Type="http://schemas.openxmlformats.org/officeDocument/2006/relationships/hyperlink" Target="http://www.statdata.ru/naselenie/naselenie-hmao" TargetMode="External"/><Relationship Id="rId294" Type="http://schemas.openxmlformats.org/officeDocument/2006/relationships/hyperlink" Target="http://&#1088;&#1077;&#1072;&#1083;&#1100;&#1085;&#1099;&#1077;-&#1076;&#1077;&#1083;&#1072;.&#1088;&#1092;/" TargetMode="External"/><Relationship Id="rId308" Type="http://schemas.openxmlformats.org/officeDocument/2006/relationships/hyperlink" Target="http://www.socialkirov.ru/social/root/ppmi/Info.htm" TargetMode="External"/><Relationship Id="rId515" Type="http://schemas.openxmlformats.org/officeDocument/2006/relationships/hyperlink" Target="http://inza.ulregion.ru/organ_vlasti/107/8945" TargetMode="External"/><Relationship Id="rId722" Type="http://schemas.openxmlformats.org/officeDocument/2006/relationships/hyperlink" Target="https://chuvash.gks.ru/demog" TargetMode="External"/><Relationship Id="rId89" Type="http://schemas.openxmlformats.org/officeDocument/2006/relationships/hyperlink" Target="https://uln.gks.ru/" TargetMode="External"/><Relationship Id="rId154" Type="http://schemas.openxmlformats.org/officeDocument/2006/relationships/hyperlink" Target="https://disk.yandex.ru/d/2dnqKuGttaliDg" TargetMode="External"/><Relationship Id="rId361" Type="http://schemas.openxmlformats.org/officeDocument/2006/relationships/hyperlink" Target="http://www.statdata.ru/naselenie/gorod/kaliningrad" TargetMode="External"/><Relationship Id="rId599" Type="http://schemas.openxmlformats.org/officeDocument/2006/relationships/hyperlink" Target="http://budget.admsurgut.ru/budget/330738467" TargetMode="External"/><Relationship Id="rId459" Type="http://schemas.openxmlformats.org/officeDocument/2006/relationships/hyperlink" Target="https://sverdl.gks.ru/folder/34029" TargetMode="External"/><Relationship Id="rId666" Type="http://schemas.openxmlformats.org/officeDocument/2006/relationships/hyperlink" Target="http://admkonda.ru/narodnyy-byudzhet-0.html" TargetMode="External"/><Relationship Id="rId16" Type="http://schemas.openxmlformats.org/officeDocument/2006/relationships/hyperlink" Target="https://pravo.govvrn.ru/?q=node/16285" TargetMode="External"/><Relationship Id="rId221" Type="http://schemas.openxmlformats.org/officeDocument/2006/relationships/hyperlink" Target="https://pib.sakhminfin.ru/" TargetMode="External"/><Relationship Id="rId319" Type="http://schemas.openxmlformats.org/officeDocument/2006/relationships/hyperlink" Target="http://vmeste161.ru/" TargetMode="External"/><Relationship Id="rId526" Type="http://schemas.openxmlformats.org/officeDocument/2006/relationships/hyperlink" Target="http://kuzovatovo.ulregion.ru/5906/5914/17247.html" TargetMode="External"/><Relationship Id="rId733" Type="http://schemas.openxmlformats.org/officeDocument/2006/relationships/hyperlink" Target="http://www.newurengoy.ru/pages/narodnybudzet.html" TargetMode="External"/><Relationship Id="rId165" Type="http://schemas.openxmlformats.org/officeDocument/2006/relationships/hyperlink" Target="https://&#1094;&#1084;&#1087;&#1080;.&#1088;&#1092;/" TargetMode="External"/><Relationship Id="rId372" Type="http://schemas.openxmlformats.org/officeDocument/2006/relationships/hyperlink" Target="https://sverdl.gks.ru/folder/25983" TargetMode="External"/><Relationship Id="rId677" Type="http://schemas.openxmlformats.org/officeDocument/2006/relationships/hyperlink" Target="http://admkuma.ru/polozhenie-o-provedenii-konkursnogo-otbora-proektov-narodnyy-byudzhet-v-gorodskom-poselenii-kuminskiy.html" TargetMode="External"/><Relationship Id="rId800" Type="http://schemas.openxmlformats.org/officeDocument/2006/relationships/hyperlink" Target="https://rosstat.gov.ru/compendium/document/13282" TargetMode="External"/><Relationship Id="rId232" Type="http://schemas.openxmlformats.org/officeDocument/2006/relationships/hyperlink" Target="https://minter.ryazangov.ru/activities/direction/podderzhka-mestnykh-initsiativ/" TargetMode="External"/><Relationship Id="rId27" Type="http://schemas.openxmlformats.org/officeDocument/2006/relationships/hyperlink" Target="https://budget4me-34.ru/" TargetMode="External"/><Relationship Id="rId537" Type="http://schemas.openxmlformats.org/officeDocument/2006/relationships/hyperlink" Target="http://www.radishevo.ulregion.ru/165/4218/15180/" TargetMode="External"/><Relationship Id="rId744" Type="http://schemas.openxmlformats.org/officeDocument/2006/relationships/hyperlink" Target="http://muravlenko.yanao.ru/ekonomika-i-zhkh/municipalnye-finansy/bjudzhetnaya-iniciativa-grazhdan/dokumenty-bjudzhetnaya-iniciativa-grazhdan/49980-postanovlenie-o-realizacii-proekta-byudzhetnaya-iniciativa-grazhdan-na-territorii-goroda-muravlenko.html" TargetMode="External"/><Relationship Id="rId80" Type="http://schemas.openxmlformats.org/officeDocument/2006/relationships/hyperlink" Target="https://dsx.avo.ru/ustojcivoe-razvitie-sel-skih-territorij?inheritRedirect=true" TargetMode="External"/><Relationship Id="rId176" Type="http://schemas.openxmlformats.org/officeDocument/2006/relationships/hyperlink" Target="https://mgu.novreg.ru/npa.html" TargetMode="External"/><Relationship Id="rId383" Type="http://schemas.openxmlformats.org/officeDocument/2006/relationships/hyperlink" Target="https://novgorodstat.gks.ru/storage/mediabank/%D0%9D%D0%B0%D1%81%D0%B5%D0%BB%D0%B5%D0%BD%D0%B8%D0%B5%202020.pdf" TargetMode="External"/><Relationship Id="rId590" Type="http://schemas.openxmlformats.org/officeDocument/2006/relationships/hyperlink" Target="http://uray.ru/v-urae-startovala-ezhegodnaja-akcija-100-predlozhenij-v-narodnyj-bjudzhet/" TargetMode="External"/><Relationship Id="rId604" Type="http://schemas.openxmlformats.org/officeDocument/2006/relationships/hyperlink" Target="http://oktregion.ru/ekonomika-i-finansy/byudzhet-dlya-grazhdan/initsiativnoe-byudzhetirovanie/konkursy-proektov-initsiativnogo-byudzhetirovaniya/konkurs-proektov-initsiativnogo-byudzhetirovaniya-2020-god-55/" TargetMode="External"/><Relationship Id="rId811" Type="http://schemas.openxmlformats.org/officeDocument/2006/relationships/hyperlink" Target="http://hanimey.ru/tinybrowser/files/budgetnaya-iniciativa/2020/01/2_attach.pdf" TargetMode="External"/><Relationship Id="rId243" Type="http://schemas.openxmlformats.org/officeDocument/2006/relationships/hyperlink" Target="http://mari-el.gov.ru/pravo/Pages/2014/gov_decrees_2014.aspx" TargetMode="External"/><Relationship Id="rId450" Type="http://schemas.openxmlformats.org/officeDocument/2006/relationships/hyperlink" Target="https://www.samadm.ru/docs/official-publication/24714/" TargetMode="External"/><Relationship Id="rId688" Type="http://schemas.openxmlformats.org/officeDocument/2006/relationships/hyperlink" Target="http://www.admkonda.ru/rezul-taty-oprosov.html" TargetMode="External"/><Relationship Id="rId38" Type="http://schemas.openxmlformats.org/officeDocument/2006/relationships/hyperlink" Target="http://budget.orb.ru/images/gritsenko/prikaz.doc" TargetMode="External"/><Relationship Id="rId103" Type="http://schemas.openxmlformats.org/officeDocument/2006/relationships/hyperlink" Target="https://msu.lenobl.ru/ru/programmy-i-plany/selskie-starosty/" TargetMode="External"/><Relationship Id="rId310" Type="http://schemas.openxmlformats.org/officeDocument/2006/relationships/hyperlink" Target="https://kirovstat.gks.ru/" TargetMode="External"/><Relationship Id="rId548" Type="http://schemas.openxmlformats.org/officeDocument/2006/relationships/hyperlink" Target="http://ulraion.ru/news/7109" TargetMode="External"/><Relationship Id="rId755" Type="http://schemas.openxmlformats.org/officeDocument/2006/relationships/hyperlink" Target="https://tumstat.gks.ru/" TargetMode="External"/><Relationship Id="rId91" Type="http://schemas.openxmlformats.org/officeDocument/2006/relationships/hyperlink" Target="https://law.ulgov.ru/doc/14744" TargetMode="External"/><Relationship Id="rId187" Type="http://schemas.openxmlformats.org/officeDocument/2006/relationships/hyperlink" Target="http://mfnso.nso.ru/page/2632" TargetMode="External"/><Relationship Id="rId394" Type="http://schemas.openxmlformats.org/officeDocument/2006/relationships/hyperlink" Target="https://www.gks.ru/scripts/db_inet2/passport/pass.aspx?base=munst53&amp;r=53712000" TargetMode="External"/><Relationship Id="rId408" Type="http://schemas.openxmlformats.org/officeDocument/2006/relationships/hyperlink" Target="http://sorochinsk56.ru/index.php?id=1041" TargetMode="External"/><Relationship Id="rId615" Type="http://schemas.openxmlformats.org/officeDocument/2006/relationships/hyperlink" Target="https://www.n-vartovsk.ru/ibudget/" TargetMode="External"/><Relationship Id="rId822" Type="http://schemas.openxmlformats.org/officeDocument/2006/relationships/hyperlink" Target="http://&#1093;&#1072;&#1083;&#1103;&#1089;&#1072;&#1074;&#1101;&#1081;.&#1088;&#1092;/npa-byudzhetnaya-initciativa.html" TargetMode="External"/><Relationship Id="rId254" Type="http://schemas.openxmlformats.org/officeDocument/2006/relationships/hyperlink" Target="https://krl.gks.ru/folder/31905" TargetMode="External"/><Relationship Id="rId699" Type="http://schemas.openxmlformats.org/officeDocument/2006/relationships/hyperlink" Target="http://vkazym.ru/admininstration-actions/budget/initiative_budgeting/?ELEMENT_ID=56917" TargetMode="External"/><Relationship Id="rId49" Type="http://schemas.openxmlformats.org/officeDocument/2006/relationships/hyperlink" Target="https://apkkostroma.ru/industry-info/krst/index.aspx" TargetMode="External"/><Relationship Id="rId114" Type="http://schemas.openxmlformats.org/officeDocument/2006/relationships/hyperlink" Target="https://depfin.tomsk.gov.ru/initsiativnoe-bjudzhetirovanie" TargetMode="External"/><Relationship Id="rId461" Type="http://schemas.openxmlformats.org/officeDocument/2006/relationships/hyperlink" Target="http://movp.ru/site/section?id=1279" TargetMode="External"/><Relationship Id="rId559" Type="http://schemas.openxmlformats.org/officeDocument/2006/relationships/hyperlink" Target="https://uln.gks.ru/storage/mediabank/HZTJFTC1/&#1055;&#1054;&#1050;&#1040;&#1047;&#1040;&#1058;&#1045;&#1051;&#1048;_2020.pdf" TargetMode="External"/><Relationship Id="rId766" Type="http://schemas.openxmlformats.org/officeDocument/2006/relationships/hyperlink" Target="http://azov-adm.ru/byudzhetnaya-iniciativa-grazhdan.html" TargetMode="External"/><Relationship Id="rId198" Type="http://schemas.openxmlformats.org/officeDocument/2006/relationships/hyperlink" Target="https://school.tvoybudget.spb.ru/" TargetMode="External"/><Relationship Id="rId321" Type="http://schemas.openxmlformats.org/officeDocument/2006/relationships/hyperlink" Target="https://disk.yandex.ru/client/disk/&#1048;&#1041;_&#1092;&#1080;&#1088;&#1084;&#1077;&#1085;&#1085;&#1099;&#1081;%20&#1089;&#1090;&#1080;&#1083;&#1100;/&#1051;&#1054;&#1043;&#1054;?idApp=client&amp;dialog=slider&amp;idDialog=%2Fdisk%2F&#1048;&#1041;_&#1092;&#1080;&#1088;&#1084;&#1077;&#1085;&#1085;&#1099;&#1081;%20&#1089;&#1090;&#1080;&#1083;&#1100;%2F&#1051;&#1054;&#1043;&#1054;%2F&#1083;&#1086;&#1075;&#1086;.jpg" TargetMode="External"/><Relationship Id="rId419" Type="http://schemas.openxmlformats.org/officeDocument/2006/relationships/hyperlink" Target="http://&#1075;&#1088;&#1072;&#1095;&#1077;&#1074;&#1089;&#1082;&#1080;&#1081;-&#1088;&#1072;&#1081;&#1086;&#1085;.&#1088;&#1092;/about/byudzhet/narodnyy-byudzhet1" TargetMode="External"/><Relationship Id="rId626" Type="http://schemas.openxmlformats.org/officeDocument/2006/relationships/hyperlink" Target="http://nvraion.ru/ekonomika-i-finansy/initsiativnoe-byudzhetirovanie/" TargetMode="External"/><Relationship Id="rId833" Type="http://schemas.openxmlformats.org/officeDocument/2006/relationships/hyperlink" Target="https://smovrn.ru/;" TargetMode="External"/><Relationship Id="rId265" Type="http://schemas.openxmlformats.org/officeDocument/2006/relationships/hyperlink" Target="http://minfin.kalmregion.ru/deyatelnost/initsiativnoe-byudzhetirovanie/" TargetMode="External"/><Relationship Id="rId472" Type="http://schemas.openxmlformats.org/officeDocument/2006/relationships/hyperlink" Target="http://petrgosk.ru/obshchestvo/koordinatsionnye-i-soveshchatelnye-organy/konkursnaya-komissiya-po-provedeniyu-konkursnogo-otbora-proektov-po-remontu-ulichno-dorozhnoy-seti-o/index.php" TargetMode="External"/><Relationship Id="rId125" Type="http://schemas.openxmlformats.org/officeDocument/2006/relationships/hyperlink" Target="https://www.tambov.gov.ru/assets/files/urt/pao-864.pdf" TargetMode="External"/><Relationship Id="rId332" Type="http://schemas.openxmlformats.org/officeDocument/2006/relationships/hyperlink" Target="https://docs.cntd.ru/document/553386375" TargetMode="External"/><Relationship Id="rId777" Type="http://schemas.openxmlformats.org/officeDocument/2006/relationships/hyperlink" Target="http://&#1087;&#1080;&#1090;&#1083;&#1103;&#1088;.&#1088;&#1092;/dokumenty-1" TargetMode="External"/><Relationship Id="rId637" Type="http://schemas.openxmlformats.org/officeDocument/2006/relationships/hyperlink" Target="http://admlangepas.ru/open-budget/proactive-budgeting/legal-regulation2870/municipal-legal-acts5266/" TargetMode="External"/><Relationship Id="rId844" Type="http://schemas.openxmlformats.org/officeDocument/2006/relationships/hyperlink" Target="http://budget.admkrsk.ru/budgeting/Pages/memo.aspx" TargetMode="External"/><Relationship Id="rId276" Type="http://schemas.openxmlformats.org/officeDocument/2006/relationships/hyperlink" Target="https://minregion-ra.ru/deyatelnost/realizatsiya-proekta-initsiativy-grazhdan.php" TargetMode="External"/><Relationship Id="rId483" Type="http://schemas.openxmlformats.org/officeDocument/2006/relationships/hyperlink" Target="http://&#1079;&#1072;&#1074;&#1100;&#1103;&#1083;&#1086;&#1074;&#1089;&#1082;&#1080;&#1081;.&#1088;&#1092;/about/ekonomika/initsiativnoe-byudzhetirovanie/npa/&#1055;&#1086;&#1089;&#1090;&#1072;&#1085;&#1086;&#1074;&#1083;&#1077;&#1085;&#1080;&#1103;%20&#1040;&#1076;&#1084;&#1080;&#1085;&#1080;&#1089;&#1090;&#1088;&#1072;&#1094;&#1080;&#1080;%20&#1086;&#1090;%2026.03.2020%20&#8470;%20453%20&#1080;%20&#1086;&#1090;%2020.04.2020%20&#8470;%20559.pdf" TargetMode="External"/><Relationship Id="rId690" Type="http://schemas.openxmlformats.org/officeDocument/2006/relationships/hyperlink" Target="http://www.admkonda.ru/nb-normativnye-dokumenty.html" TargetMode="External"/><Relationship Id="rId704" Type="http://schemas.openxmlformats.org/officeDocument/2006/relationships/hyperlink" Target="https://www.gks.ru/scripts/db_inet2/passport/table.aspx?opt=718114102020" TargetMode="External"/><Relationship Id="rId40" Type="http://schemas.openxmlformats.org/officeDocument/2006/relationships/hyperlink" Target="http://www.udmurt.ru/regulatory/index.php?typeid=31183294&amp;regnum=196&amp;sdate=21.05.2019&amp;edate=&amp;sdatepub=&amp;edatepub=&amp;q=&amp;doccnt=" TargetMode="External"/><Relationship Id="rId136" Type="http://schemas.openxmlformats.org/officeDocument/2006/relationships/hyperlink" Target="https://showdata.gks.ru/report/278928/?filter_1_0=2015-01-01+00%3A00%3A00%7C-56%2C2016-01-01+00%3A00%3A00%7C-56%2C2017-01-01+00%3A00%3A00%7C-56%2C2018-01-01+00%3A00%3A00%7C-56%2C2019-01-01+00%3A00%3A00%7C-56%2C2020-01-01+00%3A00%3A00%7C-56%2C2021-01-01+00" TargetMode="External"/><Relationship Id="rId343" Type="http://schemas.openxmlformats.org/officeDocument/2006/relationships/hyperlink" Target="https://ru.wikipedia.org/wiki/%D0%9D%D0%B0%D1%81%D0%B5%D0%BB%D0%B5%D0%BD%D0%B8%D0%B5_%D0%9E%D1%80%D0%BB%D0%BE%D0%B2%D1%81%D0%BA%D0%BE%D0%B9_%D0%BE%D0%B1%D0%BB%D0%B0%D1%81%D1%82%D0%B8" TargetMode="External"/><Relationship Id="rId550" Type="http://schemas.openxmlformats.org/officeDocument/2006/relationships/hyperlink" Target="https://ok.ru/profile/569954170553" TargetMode="External"/><Relationship Id="rId788" Type="http://schemas.openxmlformats.org/officeDocument/2006/relationships/hyperlink" Target="https://vk.com/yamaltv" TargetMode="External"/><Relationship Id="rId203" Type="http://schemas.openxmlformats.org/officeDocument/2006/relationships/hyperlink" Target="https://sverdl.gks.ru/folder/29698" TargetMode="External"/><Relationship Id="rId648" Type="http://schemas.openxmlformats.org/officeDocument/2006/relationships/hyperlink" Target="https://taiga.admsov.com/action/in-bu.php" TargetMode="External"/><Relationship Id="rId855" Type="http://schemas.openxmlformats.org/officeDocument/2006/relationships/comments" Target="../comments5.xml"/><Relationship Id="rId287" Type="http://schemas.openxmlformats.org/officeDocument/2006/relationships/hyperlink" Target="https://ppmi.bashkortostan.ru/" TargetMode="External"/><Relationship Id="rId410" Type="http://schemas.openxmlformats.org/officeDocument/2006/relationships/hyperlink" Target="http://sorochinsk56.ru/index.php?id=1039" TargetMode="External"/><Relationship Id="rId494" Type="http://schemas.openxmlformats.org/officeDocument/2006/relationships/hyperlink" Target="https://vavozh-raion.udmurt.ru/regulatory/post_rasp/?ELEMENT_ID=34765" TargetMode="External"/><Relationship Id="rId508" Type="http://schemas.openxmlformats.org/officeDocument/2006/relationships/hyperlink" Target="https://uln.gks.ru/search?q=&#1095;&#1080;&#1089;&#1083;&#1077;&#1085;&#1085;&#1086;&#1089;&#1090;&#1100;+&#1042;&#1077;&#1096;&#1082;&#1072;&#1081;&#1084;&#1089;&#1082;&#1086;&#1075;&#1086;+&#1088;&#1072;&#1081;&#1086;&#1085;&#1072;" TargetMode="External"/><Relationship Id="rId715" Type="http://schemas.openxmlformats.org/officeDocument/2006/relationships/hyperlink" Target="https://www.gks.ru/scripts/db_inet2/passport/table.aspx?opt=718114152020" TargetMode="External"/><Relationship Id="rId147" Type="http://schemas.openxmlformats.org/officeDocument/2006/relationships/hyperlink" Target="https://guvp.khabkrai.ru/Deyatelnost/TOS/Obschaya-informaciya-i-normativnye-pravovye-akty" TargetMode="External"/><Relationship Id="rId354" Type="http://schemas.openxmlformats.org/officeDocument/2006/relationships/hyperlink" Target="https://bashstat.gks.ru/storage/mediabank/&#1063;&#1080;&#1089;&#1083;&#1077;&#1085;&#1085;&#1086;&#1089;&#1090;&#1100;%20&#1085;&#1072;&#1089;&#1077;&#1083;&#1077;&#1085;&#1080;&#1103;%20&#1087;&#1086;%20&#1075;&#1086;&#1088;&#1086;&#1076;&#1089;&#1082;&#1080;&#1084;%20&#1086;&#1082;&#1088;&#1091;&#1075;&#1072;&#1084;%20&#1080;%20%20&#1084;&#1091;&#1085;&#1080;&#1094;&#1080;&#1087;&#1072;&#1083;&#1100;&#1085;&#1099;&#1084;%20&#1088;&#1072;&#1081;&#1086;&#1085;&#1072;&#1084;%20&#1056;&#1077;&#1089;&#1087;&#1091;&#1073;&#1083;&#1080;&#1082;&#1080;%20&#1041;&#1072;&#1096;&#1082;&#1086;&#1088;&#1090;&#1086;&#1089;&#1090;&#1072;&#1085;%20&#1085;&#1072;%201%20&#1103;&#1085;&#1074;&#1072;&#1088;&#1103;%202020%20&#1075;.pdf" TargetMode="External"/><Relationship Id="rId799" Type="http://schemas.openxmlformats.org/officeDocument/2006/relationships/hyperlink" Target="http://www.mo-urengoy.ru/index.php?option=com_content&amp;view=article&amp;id=4363" TargetMode="External"/><Relationship Id="rId51" Type="http://schemas.openxmlformats.org/officeDocument/2006/relationships/hyperlink" Target="https://login.consultant.ru/link/?req=doc&amp;base=RLAW265&amp;n=102109&amp;dst=100002" TargetMode="External"/><Relationship Id="rId561" Type="http://schemas.openxmlformats.org/officeDocument/2006/relationships/hyperlink" Target="https://pravo.amursk.ru/docs/2019/234_ot_03.06.2019.pdf" TargetMode="External"/><Relationship Id="rId659" Type="http://schemas.openxmlformats.org/officeDocument/2006/relationships/hyperlink" Target="https://vk.com/id84654767?w=wall84654767_1304" TargetMode="External"/><Relationship Id="rId214" Type="http://schemas.openxmlformats.org/officeDocument/2006/relationships/hyperlink" Target="https://www.instagram.com/p/CE_aHBjlyF3/?igshid=18xi5io272aei" TargetMode="External"/><Relationship Id="rId298" Type="http://schemas.openxmlformats.org/officeDocument/2006/relationships/hyperlink" Target="https://regionrb.info/" TargetMode="External"/><Relationship Id="rId421" Type="http://schemas.openxmlformats.org/officeDocument/2006/relationships/hyperlink" Target="http://&#1075;&#1088;&#1072;&#1095;&#1077;&#1074;&#1089;&#1082;&#1080;&#1081;-&#1088;&#1072;&#1081;&#1086;&#1085;.&#1088;&#1092;/about/operativnoe-preduprezhdenie-mchs/&#1055;&#1088;&#1077;&#1079;&#1077;&#1085;&#1090;&#1072;&#1094;&#1080;&#1103;%20&#1087;&#1088;&#1086;&#1077;&#1082;&#1090;&#1072;%20&#1053;&#1072;&#1088;&#1086;&#1076;&#1085;&#1099;&#1081;%20&#1073;&#1102;&#1076;&#1078;&#1077;&#1090;%20&#1089;%20&#1075;&#1088;&#1072;&#1095;&#1077;&#1084;.ppt" TargetMode="External"/><Relationship Id="rId519" Type="http://schemas.openxmlformats.org/officeDocument/2006/relationships/hyperlink" Target="http://www.kargino.ru/load/dokumenty_administracii/postanovlenija_2019_g/postanovlenie_69_ot_01_11_2019/49-1-0-552" TargetMode="External"/><Relationship Id="rId158" Type="http://schemas.openxmlformats.org/officeDocument/2006/relationships/hyperlink" Target="https://mvp.government-nnov.ru/?id=48287" TargetMode="External"/><Relationship Id="rId726" Type="http://schemas.openxmlformats.org/officeDocument/2006/relationships/hyperlink" Target="https://&#1078;&#1080;&#1074;&#1105;&#1084;&#1085;&#1072;&#1089;&#1077;&#1074;&#1077;&#1088;&#1077;.&#1088;&#1092;/votings/1297" TargetMode="External"/><Relationship Id="rId62" Type="http://schemas.openxmlformats.org/officeDocument/2006/relationships/hyperlink" Target="http://gkh.kurganobl.ru/wp-content/uploads/2017/09/&#1054;-&#1075;&#1086;&#1089;&#1091;&#1076;&#1072;&#1088;&#1089;&#1090;&#1074;&#1077;&#1085;&#1085;&#1086;&#1081;-&#1087;&#1088;&#1086;&#1075;&#1088;&#1072;&#1084;&#1084;&#1077;-&#1050;&#1091;&#1088;&#1075;&#1072;&#1085;&#1089;&#1082;&#1086;&#1081;-&#1086;&#1073;&#1083;&#1072;&#1089;&#1090;&#1080;-&#1060;&#1086;&#1088;&#1084;&#1080;&#1088;&#1086;&#1074;&#1072;&#1085;&#1080;&#1077;-&#1082;&#1086;&#1084;&#1092;&#1086;&#1088;&#1090;&#1085;&#1086;&#1081;-&#1075;&#1086;&#1088;-&#1089;&#1088;&#1077;&#1076;&#1099;-&#1085;&#1072;-2018-2022-&#1075;&#1086;&#1076;&#1099;-7.pdf" TargetMode="External"/><Relationship Id="rId365" Type="http://schemas.openxmlformats.org/officeDocument/2006/relationships/hyperlink" Target="https://www.gks.ru/scripts/db_inet2/passport/table.aspx?opt=29606105201920202021" TargetMode="External"/><Relationship Id="rId572" Type="http://schemas.openxmlformats.org/officeDocument/2006/relationships/hyperlink" Target="http://agro.cap.ru/action/activity/" TargetMode="External"/><Relationship Id="rId225" Type="http://schemas.openxmlformats.org/officeDocument/2006/relationships/hyperlink" Target="https://srtv.gks.ru/storage/mediabank/0Wz3614Q/%D0%9F%D1%80%D0%B5%D0%B4%D0%B2%D0%B0%D1%80%D0%B8%D1%82%D0%B5%D0%BB%D1%8C%D0%BD%D0%B0%D1%8F%20%D1%87%D0%B8%D1%81%D0%BB%D0%B5%D0%BD%D0%BD%D0%BE%D1%81%D1%82%D1%8C.pdf" TargetMode="External"/><Relationship Id="rId432" Type="http://schemas.openxmlformats.org/officeDocument/2006/relationships/hyperlink" Target="http://&#1087;&#1077;&#1088;&#1074;&#1086;&#1084;&#1072;&#1081;&#1089;&#1082;&#1080;&#1081;-&#1087;&#1086;&#1089;&#1089;&#1086;&#1074;&#1077;&#1090;.&#1088;&#1092;/?page_id=7713" TargetMode="External"/><Relationship Id="rId737" Type="http://schemas.openxmlformats.org/officeDocument/2006/relationships/hyperlink" Target="https://vk.com/public183473795?z=photo-126323035_457253760%2Fwall-183473795_24" TargetMode="External"/><Relationship Id="rId73" Type="http://schemas.openxmlformats.org/officeDocument/2006/relationships/hyperlink" Target="https://pravitelstvo.kbr.ru/documents/post/index.php?ELEMENT_ID=12897" TargetMode="External"/><Relationship Id="rId169" Type="http://schemas.openxmlformats.org/officeDocument/2006/relationships/hyperlink" Target="http://docs.cntd.ru/document/553364140" TargetMode="External"/><Relationship Id="rId376" Type="http://schemas.openxmlformats.org/officeDocument/2006/relationships/hyperlink" Target="https://dzhankoy.rk.gov.ru/uploads/txteditor/dzhankoy/attachments/d4/1d/8c/d98f00b204e9800998ecf8427e/php6WgYuY_1.pdf" TargetMode="External"/><Relationship Id="rId583" Type="http://schemas.openxmlformats.org/officeDocument/2006/relationships/hyperlink" Target="https://disk.yandex.ru/i/1fg3x-v0cUKr_A" TargetMode="External"/><Relationship Id="rId790" Type="http://schemas.openxmlformats.org/officeDocument/2006/relationships/hyperlink" Target="https://www.gks.ru/scripts/db_inet2/passport/table.aspx?opt=719284172020" TargetMode="External"/><Relationship Id="rId804" Type="http://schemas.openxmlformats.org/officeDocument/2006/relationships/hyperlink" Target="https://rosstat.gov.ru/compendium/document/13282" TargetMode="External"/><Relationship Id="rId4" Type="http://schemas.openxmlformats.org/officeDocument/2006/relationships/hyperlink" Target="https://cloud.mail.ru/public/D63z/oU71DQAJn" TargetMode="External"/><Relationship Id="rId236" Type="http://schemas.openxmlformats.org/officeDocument/2006/relationships/hyperlink" Target="https://disk.yandex.ru/d/_EuNEgVbO9nnuA?w=1" TargetMode="External"/><Relationship Id="rId443" Type="http://schemas.openxmlformats.org/officeDocument/2006/relationships/hyperlink" Target="https://rosstat.gov.ru/storage/mediabank/CcG8qBhP/mun_obr2020.rar" TargetMode="External"/><Relationship Id="rId650" Type="http://schemas.openxmlformats.org/officeDocument/2006/relationships/hyperlink" Target="https://malinovskiy.admsov.com/action/in-bu.php?PAGEN_1=2" TargetMode="External"/><Relationship Id="rId303" Type="http://schemas.openxmlformats.org/officeDocument/2006/relationships/hyperlink" Target="https://doc.kirovreg.ru/upload/sed/2021/01/29/0.49829100%201611925306/38-%D0%9F%20%D0%BE%D1%82%2028.01.2021.pdf" TargetMode="External"/><Relationship Id="rId748" Type="http://schemas.openxmlformats.org/officeDocument/2006/relationships/hyperlink" Target="https://&#1078;&#1080;&#1074;&#1105;&#1084;&#1085;&#1072;&#1089;&#1077;&#1074;&#1077;&#1088;&#1077;.&#1088;&#1092;/" TargetMode="External"/><Relationship Id="rId84" Type="http://schemas.openxmlformats.org/officeDocument/2006/relationships/hyperlink" Target="http://dvp.ivanovoobl.ru/search/?type=news&amp;id=/?type=news&amp;id=42185" TargetMode="External"/><Relationship Id="rId387" Type="http://schemas.openxmlformats.org/officeDocument/2006/relationships/hyperlink" Target="https://novgorodstat.gks.ru/storage/mediabank/%D0%9D%D0%B0%D1%81%D0%B5%D0%BB%D0%B5%D0%BD%D0%B8%D0%B5%202020.pdf" TargetMode="External"/><Relationship Id="rId510" Type="http://schemas.openxmlformats.org/officeDocument/2006/relationships/hyperlink" Target="https://uln.gks.ru/search?q=&#1095;&#1080;&#1089;&#1083;&#1077;&#1085;&#1085;&#1086;&#1089;&#1090;&#1100;+&#1042;&#1077;&#1096;&#1082;&#1072;&#1081;&#1084;&#1089;&#1082;&#1086;&#1075;&#1086;+&#1088;&#1072;&#1081;&#1086;&#1085;&#1072;" TargetMode="External"/><Relationship Id="rId594" Type="http://schemas.openxmlformats.org/officeDocument/2006/relationships/hyperlink" Target="https://www.admsr.ru/upload/iblock/65b/3257_npa.docx" TargetMode="External"/><Relationship Id="rId608" Type="http://schemas.openxmlformats.org/officeDocument/2006/relationships/hyperlink" Target="http://www.statdata.ru/naselenie/naselenie-hmao" TargetMode="External"/><Relationship Id="rId815" Type="http://schemas.openxmlformats.org/officeDocument/2006/relationships/hyperlink" Target="http://www.purovskoe.ru/idei-obshcestvennikov-p-purovsk-budut-voploshceny-v-zhizn.html" TargetMode="External"/><Relationship Id="rId247" Type="http://schemas.openxmlformats.org/officeDocument/2006/relationships/hyperlink" Target="https://ppmi.yakutia.click/Home" TargetMode="External"/><Relationship Id="rId107" Type="http://schemas.openxmlformats.org/officeDocument/2006/relationships/hyperlink" Target="http://msu.lenobl.ru/news/mediaproekty/" TargetMode="External"/><Relationship Id="rId454" Type="http://schemas.openxmlformats.org/officeDocument/2006/relationships/hyperlink" Target="https://samadm.ru/authority/samarsky_district/docs/list/" TargetMode="External"/><Relationship Id="rId661" Type="http://schemas.openxmlformats.org/officeDocument/2006/relationships/hyperlink" Target="https://vk.com/id84654767?w=wall84654767_1304" TargetMode="External"/><Relationship Id="rId759" Type="http://schemas.openxmlformats.org/officeDocument/2006/relationships/hyperlink" Target="https://rosstat.gov.ru/compendium/document/13282" TargetMode="External"/><Relationship Id="rId11" Type="http://schemas.openxmlformats.org/officeDocument/2006/relationships/hyperlink" Target="https://amurstat.gks.ru/storage/mediabank/8B7LZIh7/07_1_4.htm" TargetMode="External"/><Relationship Id="rId314" Type="http://schemas.openxmlformats.org/officeDocument/2006/relationships/hyperlink" Target="https://admkrai.krasnodar.ru/upload/iblock/929/929e735a1bd74bc746554e0956b85848.pdf" TargetMode="External"/><Relationship Id="rId398" Type="http://schemas.openxmlformats.org/officeDocument/2006/relationships/hyperlink" Target="http://&#1073;&#1091;&#1079;&#1091;&#1083;&#1091;&#1082;.&#1088;&#1092;/content/%D0%BD%D0%B0%D1%80%D0%BE%D0%B4%D0%BD%D1%8B%D0%B9-%D0%B1%D1%8E%D0%B4%D0%B6%D0%B5%D1%82" TargetMode="External"/><Relationship Id="rId521" Type="http://schemas.openxmlformats.org/officeDocument/2006/relationships/hyperlink" Target="http://karsunmo.ru/postanovleniya/" TargetMode="External"/><Relationship Id="rId619" Type="http://schemas.openxmlformats.org/officeDocument/2006/relationships/hyperlink" Target="http://budjet-dlya-grajdan.admpokachi.ru/initsiativnoe-byudzhetirovanie/" TargetMode="External"/><Relationship Id="rId95" Type="http://schemas.openxmlformats.org/officeDocument/2006/relationships/hyperlink" Target="https://minstroyrf.gov.ru/upload/iblock/7b3/Gorsreda_brandbook_new.pdf" TargetMode="External"/><Relationship Id="rId160" Type="http://schemas.openxmlformats.org/officeDocument/2006/relationships/hyperlink" Target="http://publication.pravo.gov.ru/Document/View/5200202012300004" TargetMode="External"/><Relationship Id="rId826" Type="http://schemas.openxmlformats.org/officeDocument/2006/relationships/hyperlink" Target="https://rosstat.gov.ru/compendium/document/13282" TargetMode="External"/><Relationship Id="rId258" Type="http://schemas.openxmlformats.org/officeDocument/2006/relationships/hyperlink" Target="http://old.gov.karelia.ru/Projects/Initiatives/" TargetMode="External"/><Relationship Id="rId465" Type="http://schemas.openxmlformats.org/officeDocument/2006/relationships/hyperlink" Target="https://&#1077;&#1082;&#1072;&#1090;&#1077;&#1088;&#1080;&#1085;&#1073;&#1091;&#1088;&#1075;.&#1088;&#1092;/&#1086;&#1092;&#1080;&#1094;&#1080;&#1072;&#1083;&#1100;&#1085;&#1086;/&#1076;&#1086;&#1082;&#1091;&#1084;&#1077;&#1085;&#1090;&#1099;/&#1087;&#1086;&#1089;&#1090;&#1072;&#1085;&#1086;&#1074;&#1083;&#1077;&#1085;&#1080;&#1103;/&#1087;_2018/23803" TargetMode="External"/><Relationship Id="rId672" Type="http://schemas.openxmlformats.org/officeDocument/2006/relationships/hyperlink" Target="https://ok.ru/group/60701864427563/topic/152131261537067" TargetMode="External"/><Relationship Id="rId22" Type="http://schemas.openxmlformats.org/officeDocument/2006/relationships/hyperlink" Target="https://vologdastat.gks.ru/storage/mediabank/%D0%A7%D0%B8%D1%81%D0%BB%D0%B5%D0%BD%D0%BD%D0%BE%D1%81%D1%82%D1%8C_20_341599.htm" TargetMode="External"/><Relationship Id="rId118" Type="http://schemas.openxmlformats.org/officeDocument/2006/relationships/hyperlink" Target="https://agro.tmbreg.ru/assets/files/prv/01_2020/PAO-2019-1506.pdf" TargetMode="External"/><Relationship Id="rId325" Type="http://schemas.openxmlformats.org/officeDocument/2006/relationships/hyperlink" Target="http://sovetskaya22.ru/news/news/Another-court-of-Lipetsk-has-prospered-in-the-framework-of-the-Proactive-budgeting/" TargetMode="External"/><Relationship Id="rId532" Type="http://schemas.openxmlformats.org/officeDocument/2006/relationships/hyperlink" Target="http://maina-admin.ru/about/statistics/butget" TargetMode="External"/><Relationship Id="rId171" Type="http://schemas.openxmlformats.org/officeDocument/2006/relationships/hyperlink" Target="http://docs.cntd.ru/document/553364140" TargetMode="External"/><Relationship Id="rId837" Type="http://schemas.openxmlformats.org/officeDocument/2006/relationships/hyperlink" Target="https://drive.google.com/drive/folders/1boy3Fv6JORmGQxQLSwv_VLKQ-LjOcM1M?usp=sharing" TargetMode="External"/><Relationship Id="rId269" Type="http://schemas.openxmlformats.org/officeDocument/2006/relationships/hyperlink" Target="https://astrastat.gks.ru/folder/35673" TargetMode="External"/><Relationship Id="rId476" Type="http://schemas.openxmlformats.org/officeDocument/2006/relationships/hyperlink" Target="https://www.gks.ru/scripts/db_inet2/passport/pass.aspx?base=munst71&amp;r=71705000" TargetMode="External"/><Relationship Id="rId683" Type="http://schemas.openxmlformats.org/officeDocument/2006/relationships/hyperlink" Target="http://www.admkonda.ru/narodnyy-byudzhet-gp-kondinskoe.html" TargetMode="External"/><Relationship Id="rId33" Type="http://schemas.openxmlformats.org/officeDocument/2006/relationships/hyperlink" Target="https://www.ofukem.ru/images/logo_iniciative_budg.png" TargetMode="External"/><Relationship Id="rId129" Type="http://schemas.openxmlformats.org/officeDocument/2006/relationships/hyperlink" Target="https://www.tambov.gov.ru/news/view/proekt-narodnaya-iniciativa-novye-usloviya-novye-idei.html" TargetMode="External"/><Relationship Id="rId336" Type="http://schemas.openxmlformats.org/officeDocument/2006/relationships/hyperlink" Target="https://smi.adm-nao.ru/iniciativnoe-byudzhetirovanie/informaciya-o-pobeditelyah-konkursov/" TargetMode="External"/><Relationship Id="rId543" Type="http://schemas.openxmlformats.org/officeDocument/2006/relationships/hyperlink" Target="https://uln.gks.ru/search?q=&#1095;&#1080;&#1089;&#1083;&#1077;&#1085;&#1085;&#1086;&#1089;&#1090;&#1100;+&#1042;&#1077;&#1096;&#1082;&#1072;&#1081;&#1084;&#1089;&#1082;&#1086;&#1075;&#1086;+&#1088;&#1072;&#1081;&#1086;&#1085;&#1072;" TargetMode="External"/><Relationship Id="rId182" Type="http://schemas.openxmlformats.org/officeDocument/2006/relationships/hyperlink" Target="http://docs.cntd.ru/document/553230534" TargetMode="External"/><Relationship Id="rId403" Type="http://schemas.openxmlformats.org/officeDocument/2006/relationships/hyperlink" Target="https://www.finuprgaj.ru/&#1086;&#1090;&#1082;&#1088;&#1099;&#1090;&#1099;&#1081;-&#1073;&#1102;&#1076;&#1078;&#1077;&#1090;/&#1085;&#1072;&#1088;&#1086;&#1076;&#1085;&#1099;&#1081;-&#1073;&#1102;&#1076;&#1078;&#1077;&#1090;-2/&#1076;&#1086;&#1082;&#1091;&#1084;&#1077;&#1085;&#1090;&#1099;" TargetMode="External"/><Relationship Id="rId750" Type="http://schemas.openxmlformats.org/officeDocument/2006/relationships/hyperlink" Target="http://nadymregion.ru/local-government/administration/byudzhetnaya-initsiativa-grazhdan.php" TargetMode="External"/><Relationship Id="rId848" Type="http://schemas.openxmlformats.org/officeDocument/2006/relationships/hyperlink" Target="https://harabaly.astrobl.ru/normativno-pravovoy-akt/postanovlenie-ot-12032020-no" TargetMode="External"/><Relationship Id="rId487" Type="http://schemas.openxmlformats.org/officeDocument/2006/relationships/hyperlink" Target="https://vk.com/zavyalovodistrict?w=wall-81315289_2980" TargetMode="External"/><Relationship Id="rId610" Type="http://schemas.openxmlformats.org/officeDocument/2006/relationships/hyperlink" Target="https://admhmansy.ru/rule/admhmansy/adm/department-of-finance-management/new-byudzhet/initsiativnoe-byudzhetirovanie/" TargetMode="External"/><Relationship Id="rId694" Type="http://schemas.openxmlformats.org/officeDocument/2006/relationships/hyperlink" Target="http://www.&#1089;&#1072;&#1088;&#1072;&#1085;&#1087;&#1072;&#1091;&#1083;&#1100;-&#1072;&#1076;&#1084;.&#1088;&#1092;/documents/706.html" TargetMode="External"/><Relationship Id="rId708" Type="http://schemas.openxmlformats.org/officeDocument/2006/relationships/hyperlink" Target="http://admlyhma.ru/admininstration-actions/budget/proactive/" TargetMode="External"/><Relationship Id="rId347" Type="http://schemas.openxmlformats.org/officeDocument/2006/relationships/hyperlink" Target="https://www.sites.google.com/site/ruregdatav1/naselenie/orlovskoi-oblasti" TargetMode="External"/><Relationship Id="rId44" Type="http://schemas.openxmlformats.org/officeDocument/2006/relationships/hyperlink" Target="https://vk.com/atmosfera_ur" TargetMode="External"/><Relationship Id="rId554" Type="http://schemas.openxmlformats.org/officeDocument/2006/relationships/hyperlink" Target="https://cherdakli.com/?p=426" TargetMode="External"/><Relationship Id="rId761" Type="http://schemas.openxmlformats.org/officeDocument/2006/relationships/hyperlink" Target="https://www.admmuji.ru/file/g8uqdn5f6" TargetMode="External"/><Relationship Id="rId193" Type="http://schemas.openxmlformats.org/officeDocument/2006/relationships/hyperlink" Target="https://apk.novreg.ru/o-planakh-realizatcii-meropriyatiy-gosprogrammy-kompleksnoe-razvitie-selskikh-territoriy-novgorodskoy-oblasti-do-2025-goda-v-2021-godu.html%20%20%20;" TargetMode="External"/><Relationship Id="rId207" Type="http://schemas.openxmlformats.org/officeDocument/2006/relationships/hyperlink" Target="http://www.pravo.gov66.ru/23905/" TargetMode="External"/><Relationship Id="rId414" Type="http://schemas.openxmlformats.org/officeDocument/2006/relationships/hyperlink" Target="https://www.sites.google.com/site/ruregdatav1/naselenie/orenburgskoj-oblasti" TargetMode="External"/><Relationship Id="rId498" Type="http://schemas.openxmlformats.org/officeDocument/2006/relationships/hyperlink" Target="http://bsizgan.ulregion.ru/econom/bjudzhet_rajona/narod-budzhet.html" TargetMode="External"/><Relationship Id="rId621" Type="http://schemas.openxmlformats.org/officeDocument/2006/relationships/hyperlink" Target="http://budjet-dlya-grajdan.admpokachi.ru/initsiativnoe-byudzhetirovanie/konkursy/rabota-komissii/" TargetMode="External"/><Relationship Id="rId260" Type="http://schemas.openxmlformats.org/officeDocument/2006/relationships/hyperlink" Target="http://mcx.rk08.ru/kompleksnoe-razvitie-selskikh-territoriy/" TargetMode="External"/><Relationship Id="rId719" Type="http://schemas.openxmlformats.org/officeDocument/2006/relationships/hyperlink" Target="http://budget.magnitogorsk.ru/Show/Category/2?ItemId=111" TargetMode="External"/><Relationship Id="rId55" Type="http://schemas.openxmlformats.org/officeDocument/2006/relationships/hyperlink" Target="https://login.consultant.ru/link/?req=doc&amp;base=RLAW265&amp;n=80122&amp;dst=100002" TargetMode="External"/><Relationship Id="rId120" Type="http://schemas.openxmlformats.org/officeDocument/2006/relationships/hyperlink" Target="https://tmb.gks.ru/folder/33717" TargetMode="External"/><Relationship Id="rId358" Type="http://schemas.openxmlformats.org/officeDocument/2006/relationships/hyperlink" Target="https://chekmagush.bashkortostan.ru/documents/active/278669/" TargetMode="External"/><Relationship Id="rId565" Type="http://schemas.openxmlformats.org/officeDocument/2006/relationships/hyperlink" Target="http://publication.pravo.gov.ru/Document/View/7400201902120003" TargetMode="External"/><Relationship Id="rId772" Type="http://schemas.openxmlformats.org/officeDocument/2006/relationships/hyperlink" Target="http://adm-muji.ru/dokumenty-0.html" TargetMode="External"/><Relationship Id="rId218" Type="http://schemas.openxmlformats.org/officeDocument/2006/relationships/hyperlink" Target="https://pib.sakhminfin.ru/vote" TargetMode="External"/><Relationship Id="rId425" Type="http://schemas.openxmlformats.org/officeDocument/2006/relationships/hyperlink" Target="http://finotdnovoorsk.ru/postanovlenie-o-narodnom-byudzhete" TargetMode="External"/><Relationship Id="rId632" Type="http://schemas.openxmlformats.org/officeDocument/2006/relationships/hyperlink" Target="http://www.statdata.ru/naselenie/naselenie-hmao" TargetMode="External"/><Relationship Id="rId271" Type="http://schemas.openxmlformats.org/officeDocument/2006/relationships/hyperlink" Target="https://tatstat.gks.ru/storage/mediabank/&#1052;&#1054;&#1095;&#1080;&#1089;&#1083;2020_308759_311478.pdf" TargetMode="External"/><Relationship Id="rId66" Type="http://schemas.openxmlformats.org/officeDocument/2006/relationships/hyperlink" Target="http://docs.cntd.ru/document/460267690" TargetMode="External"/><Relationship Id="rId131" Type="http://schemas.openxmlformats.org/officeDocument/2006/relationships/hyperlink" Target="https://agro.tmbreg.ru/inv.html" TargetMode="External"/><Relationship Id="rId369" Type="http://schemas.openxmlformats.org/officeDocument/2006/relationships/hyperlink" Target="https://admnvrsk.ru/dokumenty/dokumenty-administratsii/normativnye-pravovye-akty/postanovlenija/document-20190620114643-159789/?sphrase_id=10454" TargetMode="External"/><Relationship Id="rId576" Type="http://schemas.openxmlformats.org/officeDocument/2006/relationships/hyperlink" Target="https://wampi.ru/image/RvQUm1a" TargetMode="External"/><Relationship Id="rId783" Type="http://schemas.openxmlformats.org/officeDocument/2006/relationships/hyperlink" Target="http://www.adminbelka.ru/tinybrowser/files/bydjetnay_iniciativa_grajdan/2019/02/3_protokol_zasedaniya_konkursnoy_komissii_po_provedeniyu_konkursnogo_otbora_proektov_ot_18_06_2019.pdf" TargetMode="External"/><Relationship Id="rId229" Type="http://schemas.openxmlformats.org/officeDocument/2006/relationships/hyperlink" Target="https://minfin.saratov.gov.ru/index.php?option=com_acrfilestorage&amp;task=download&amp;on=2065" TargetMode="External"/><Relationship Id="rId436" Type="http://schemas.openxmlformats.org/officeDocument/2006/relationships/hyperlink" Target="http://fintotsk.ru/hearing/11" TargetMode="External"/><Relationship Id="rId643" Type="http://schemas.openxmlformats.org/officeDocument/2006/relationships/hyperlink" Target="http://admpioner.ru/Katalog/"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B29"/>
  <sheetViews>
    <sheetView tabSelected="1" zoomScale="70" zoomScaleNormal="70" workbookViewId="0">
      <selection activeCell="G3" sqref="G3"/>
    </sheetView>
  </sheetViews>
  <sheetFormatPr defaultColWidth="9.140625" defaultRowHeight="15.75" x14ac:dyDescent="0.25"/>
  <cols>
    <col min="1" max="1" width="34.42578125" style="453" customWidth="1"/>
    <col min="2" max="2" width="161.85546875" style="453" customWidth="1"/>
    <col min="3" max="16384" width="9.140625" style="452"/>
  </cols>
  <sheetData>
    <row r="1" spans="1:2" ht="18" customHeight="1" x14ac:dyDescent="0.25">
      <c r="A1" s="1475" t="s">
        <v>5568</v>
      </c>
      <c r="B1" s="1476"/>
    </row>
    <row r="2" spans="1:2" ht="48.75" customHeight="1" x14ac:dyDescent="0.25">
      <c r="A2" s="460" t="s">
        <v>5567</v>
      </c>
      <c r="B2" s="465" t="s">
        <v>5566</v>
      </c>
    </row>
    <row r="3" spans="1:2" ht="83.25" customHeight="1" x14ac:dyDescent="0.25">
      <c r="A3" s="460" t="s">
        <v>5565</v>
      </c>
      <c r="B3" s="465" t="s">
        <v>5564</v>
      </c>
    </row>
    <row r="4" spans="1:2" ht="48.75" customHeight="1" x14ac:dyDescent="0.25">
      <c r="A4" s="460" t="s">
        <v>5563</v>
      </c>
      <c r="B4" s="458" t="s">
        <v>5562</v>
      </c>
    </row>
    <row r="5" spans="1:2" ht="47.25" x14ac:dyDescent="0.25">
      <c r="A5" s="460" t="s">
        <v>5561</v>
      </c>
      <c r="B5" s="458" t="s">
        <v>5560</v>
      </c>
    </row>
    <row r="6" spans="1:2" ht="78.75" x14ac:dyDescent="0.25">
      <c r="A6" s="464" t="s">
        <v>5559</v>
      </c>
      <c r="B6" s="463" t="s">
        <v>5558</v>
      </c>
    </row>
    <row r="7" spans="1:2" ht="47.25" x14ac:dyDescent="0.25">
      <c r="A7" s="460" t="s">
        <v>5557</v>
      </c>
      <c r="B7" s="458" t="s">
        <v>5556</v>
      </c>
    </row>
    <row r="8" spans="1:2" x14ac:dyDescent="0.25">
      <c r="A8" s="460" t="s">
        <v>5555</v>
      </c>
      <c r="B8" s="458" t="s">
        <v>5554</v>
      </c>
    </row>
    <row r="9" spans="1:2" ht="47.25" x14ac:dyDescent="0.25">
      <c r="A9" s="460" t="s">
        <v>5553</v>
      </c>
      <c r="B9" s="458" t="s">
        <v>5552</v>
      </c>
    </row>
    <row r="10" spans="1:2" ht="47.25" x14ac:dyDescent="0.25">
      <c r="A10" s="460" t="s">
        <v>5551</v>
      </c>
      <c r="B10" s="458" t="s">
        <v>5550</v>
      </c>
    </row>
    <row r="11" spans="1:2" ht="47.25" x14ac:dyDescent="0.25">
      <c r="A11" s="460" t="s">
        <v>5549</v>
      </c>
      <c r="B11" s="458" t="s">
        <v>5548</v>
      </c>
    </row>
    <row r="12" spans="1:2" ht="31.5" x14ac:dyDescent="0.25">
      <c r="A12" s="460" t="s">
        <v>5547</v>
      </c>
      <c r="B12" s="458" t="s">
        <v>5546</v>
      </c>
    </row>
    <row r="13" spans="1:2" ht="31.5" x14ac:dyDescent="0.25">
      <c r="A13" s="461" t="s">
        <v>5545</v>
      </c>
      <c r="B13" s="462" t="s">
        <v>5544</v>
      </c>
    </row>
    <row r="14" spans="1:2" ht="30.75" customHeight="1" x14ac:dyDescent="0.25">
      <c r="A14" s="461" t="s">
        <v>5543</v>
      </c>
      <c r="B14" s="453" t="s">
        <v>5542</v>
      </c>
    </row>
    <row r="15" spans="1:2" ht="55.5" customHeight="1" thickBot="1" x14ac:dyDescent="0.3">
      <c r="A15" s="460" t="s">
        <v>5541</v>
      </c>
      <c r="B15" s="458" t="s">
        <v>5540</v>
      </c>
    </row>
    <row r="16" spans="1:2" x14ac:dyDescent="0.25">
      <c r="A16" s="1475" t="s">
        <v>5539</v>
      </c>
      <c r="B16" s="1476"/>
    </row>
    <row r="17" spans="1:2" x14ac:dyDescent="0.25">
      <c r="A17" s="457" t="s">
        <v>5538</v>
      </c>
      <c r="B17" s="456" t="s">
        <v>5537</v>
      </c>
    </row>
    <row r="18" spans="1:2" x14ac:dyDescent="0.25">
      <c r="A18" s="459" t="s">
        <v>5536</v>
      </c>
      <c r="B18" s="458" t="s">
        <v>5535</v>
      </c>
    </row>
    <row r="19" spans="1:2" x14ac:dyDescent="0.25">
      <c r="A19" s="459" t="s">
        <v>5534</v>
      </c>
      <c r="B19" s="458" t="s">
        <v>5533</v>
      </c>
    </row>
    <row r="20" spans="1:2" x14ac:dyDescent="0.25">
      <c r="A20" s="457" t="s">
        <v>693</v>
      </c>
      <c r="B20" s="456" t="s">
        <v>3841</v>
      </c>
    </row>
    <row r="21" spans="1:2" x14ac:dyDescent="0.25">
      <c r="A21" s="457" t="s">
        <v>1279</v>
      </c>
      <c r="B21" s="456" t="s">
        <v>672</v>
      </c>
    </row>
    <row r="22" spans="1:2" x14ac:dyDescent="0.25">
      <c r="A22" s="457" t="s">
        <v>5532</v>
      </c>
      <c r="B22" s="456" t="s">
        <v>5531</v>
      </c>
    </row>
    <row r="23" spans="1:2" x14ac:dyDescent="0.25">
      <c r="A23" s="457" t="s">
        <v>5530</v>
      </c>
      <c r="B23" s="456" t="s">
        <v>5529</v>
      </c>
    </row>
    <row r="24" spans="1:2" x14ac:dyDescent="0.25">
      <c r="A24" s="457" t="s">
        <v>5528</v>
      </c>
      <c r="B24" s="456" t="s">
        <v>5527</v>
      </c>
    </row>
    <row r="25" spans="1:2" x14ac:dyDescent="0.25">
      <c r="A25" s="457" t="s">
        <v>5526</v>
      </c>
      <c r="B25" s="456" t="s">
        <v>5525</v>
      </c>
    </row>
    <row r="26" spans="1:2" x14ac:dyDescent="0.25">
      <c r="A26" s="457" t="s">
        <v>5524</v>
      </c>
      <c r="B26" s="456" t="s">
        <v>5523</v>
      </c>
    </row>
    <row r="27" spans="1:2" x14ac:dyDescent="0.25">
      <c r="A27" s="457" t="s">
        <v>1423</v>
      </c>
      <c r="B27" s="456" t="s">
        <v>5522</v>
      </c>
    </row>
    <row r="28" spans="1:2" x14ac:dyDescent="0.25">
      <c r="A28" s="457" t="s">
        <v>5521</v>
      </c>
      <c r="B28" s="456" t="s">
        <v>5520</v>
      </c>
    </row>
    <row r="29" spans="1:2" ht="16.5" thickBot="1" x14ac:dyDescent="0.3">
      <c r="A29" s="455" t="s">
        <v>5519</v>
      </c>
      <c r="B29" s="454" t="s">
        <v>5518</v>
      </c>
    </row>
  </sheetData>
  <mergeCells count="2">
    <mergeCell ref="A1:B1"/>
    <mergeCell ref="A16:B16"/>
  </mergeCells>
  <pageMargins left="0.7" right="0.7" top="0.75" bottom="0.75" header="0.3" footer="0.3"/>
  <pageSetup paperSize="9" scale="68" fitToHeight="0" orientation="landscape"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pageSetUpPr fitToPage="1"/>
  </sheetPr>
  <dimension ref="A1:I158"/>
  <sheetViews>
    <sheetView zoomScale="40" zoomScaleNormal="40" workbookViewId="0">
      <pane ySplit="1" topLeftCell="A3" activePane="bottomLeft" state="frozen"/>
      <selection pane="bottomLeft" activeCell="AA21" sqref="AA21"/>
    </sheetView>
  </sheetViews>
  <sheetFormatPr defaultColWidth="9.140625" defaultRowHeight="15.75" x14ac:dyDescent="0.25"/>
  <cols>
    <col min="1" max="1" width="5.42578125" style="372" customWidth="1"/>
    <col min="2" max="2" width="40.7109375" style="339" customWidth="1"/>
    <col min="3" max="3" width="8.42578125" style="372" customWidth="1"/>
    <col min="4" max="4" width="61.7109375" style="466" customWidth="1"/>
    <col min="5" max="5" width="23.28515625" style="467" customWidth="1"/>
    <col min="6" max="6" width="54.42578125" style="466" customWidth="1"/>
    <col min="7" max="16384" width="9.140625" style="339"/>
  </cols>
  <sheetData>
    <row r="1" spans="1:9" ht="39" customHeight="1" thickBot="1" x14ac:dyDescent="0.3">
      <c r="D1" s="1513" t="s">
        <v>5572</v>
      </c>
      <c r="E1" s="1514"/>
      <c r="F1" s="1514"/>
    </row>
    <row r="2" spans="1:9" s="559" customFormat="1" ht="32.25" thickBot="1" x14ac:dyDescent="0.3">
      <c r="A2" s="565" t="s">
        <v>0</v>
      </c>
      <c r="B2" s="564" t="s">
        <v>183</v>
      </c>
      <c r="C2" s="563" t="s">
        <v>149</v>
      </c>
      <c r="D2" s="562" t="s">
        <v>182</v>
      </c>
      <c r="E2" s="562" t="s">
        <v>150</v>
      </c>
      <c r="F2" s="561" t="s">
        <v>5571</v>
      </c>
      <c r="G2" s="560"/>
      <c r="H2" s="560"/>
      <c r="I2" s="560"/>
    </row>
    <row r="3" spans="1:9" s="330" customFormat="1" ht="16.5" thickBot="1" x14ac:dyDescent="0.3">
      <c r="A3" s="546" t="s">
        <v>1</v>
      </c>
      <c r="B3" s="558" t="s">
        <v>2</v>
      </c>
      <c r="C3" s="557" t="s">
        <v>3</v>
      </c>
      <c r="D3" s="556" t="s">
        <v>4</v>
      </c>
      <c r="E3" s="556" t="s">
        <v>9</v>
      </c>
      <c r="F3" s="555" t="s">
        <v>11</v>
      </c>
      <c r="G3" s="369"/>
      <c r="H3" s="369"/>
      <c r="I3" s="369"/>
    </row>
    <row r="4" spans="1:9" s="334" customFormat="1" ht="16.5" thickBot="1" x14ac:dyDescent="0.3">
      <c r="A4" s="554" t="s">
        <v>147</v>
      </c>
      <c r="B4" s="553" t="s">
        <v>148</v>
      </c>
      <c r="C4" s="552" t="s">
        <v>151</v>
      </c>
      <c r="D4" s="547" t="s">
        <v>148</v>
      </c>
      <c r="E4" s="480" t="s">
        <v>48</v>
      </c>
      <c r="F4" s="543"/>
      <c r="G4" s="337"/>
      <c r="H4" s="337"/>
      <c r="I4" s="337"/>
    </row>
    <row r="5" spans="1:9" ht="49.5" customHeight="1" x14ac:dyDescent="0.25">
      <c r="A5" s="1481" t="s">
        <v>1</v>
      </c>
      <c r="B5" s="1499" t="s">
        <v>5570</v>
      </c>
      <c r="C5" s="479" t="s">
        <v>71</v>
      </c>
      <c r="D5" s="478" t="s">
        <v>5</v>
      </c>
      <c r="E5" s="477" t="s">
        <v>48</v>
      </c>
      <c r="F5" s="476"/>
      <c r="G5" s="338"/>
      <c r="H5" s="338"/>
      <c r="I5" s="338"/>
    </row>
    <row r="6" spans="1:9" ht="49.5" customHeight="1" thickBot="1" x14ac:dyDescent="0.3">
      <c r="A6" s="1478"/>
      <c r="B6" s="1500"/>
      <c r="C6" s="523" t="s">
        <v>72</v>
      </c>
      <c r="D6" s="544" t="s">
        <v>6</v>
      </c>
      <c r="E6" s="469" t="s">
        <v>48</v>
      </c>
      <c r="F6" s="543"/>
      <c r="G6" s="338"/>
      <c r="H6" s="338"/>
      <c r="I6" s="338"/>
    </row>
    <row r="7" spans="1:9" ht="39.75" customHeight="1" thickBot="1" x14ac:dyDescent="0.3">
      <c r="A7" s="546" t="s">
        <v>2</v>
      </c>
      <c r="B7" s="545" t="s">
        <v>7</v>
      </c>
      <c r="C7" s="523" t="s">
        <v>73</v>
      </c>
      <c r="D7" s="544" t="s">
        <v>167</v>
      </c>
      <c r="E7" s="480" t="s">
        <v>49</v>
      </c>
      <c r="F7" s="551"/>
      <c r="G7" s="338"/>
      <c r="H7" s="338"/>
      <c r="I7" s="338"/>
    </row>
    <row r="8" spans="1:9" ht="38.25" customHeight="1" x14ac:dyDescent="0.25">
      <c r="A8" s="1481" t="s">
        <v>3</v>
      </c>
      <c r="B8" s="1496" t="s">
        <v>8</v>
      </c>
      <c r="C8" s="1483" t="s">
        <v>74</v>
      </c>
      <c r="D8" s="1485" t="s">
        <v>260</v>
      </c>
      <c r="E8" s="477" t="s">
        <v>170</v>
      </c>
      <c r="F8" s="550"/>
      <c r="G8" s="338"/>
      <c r="H8" s="338"/>
      <c r="I8" s="338"/>
    </row>
    <row r="9" spans="1:9" ht="21" customHeight="1" thickBot="1" x14ac:dyDescent="0.3">
      <c r="A9" s="1478"/>
      <c r="B9" s="1497"/>
      <c r="C9" s="1503"/>
      <c r="D9" s="1487"/>
      <c r="E9" s="497" t="s">
        <v>219</v>
      </c>
      <c r="F9" s="549"/>
      <c r="G9" s="338"/>
      <c r="H9" s="338"/>
      <c r="I9" s="338"/>
    </row>
    <row r="10" spans="1:9" ht="52.5" customHeight="1" thickBot="1" x14ac:dyDescent="0.3">
      <c r="A10" s="1481" t="s">
        <v>4</v>
      </c>
      <c r="B10" s="1496" t="s">
        <v>163</v>
      </c>
      <c r="C10" s="548" t="s">
        <v>75</v>
      </c>
      <c r="D10" s="547" t="s">
        <v>161</v>
      </c>
      <c r="E10" s="480" t="s">
        <v>48</v>
      </c>
      <c r="F10" s="504"/>
      <c r="G10" s="338"/>
      <c r="H10" s="338"/>
      <c r="I10" s="338"/>
    </row>
    <row r="11" spans="1:9" ht="33.75" customHeight="1" x14ac:dyDescent="0.25">
      <c r="A11" s="1477"/>
      <c r="B11" s="1501"/>
      <c r="C11" s="1483" t="s">
        <v>76</v>
      </c>
      <c r="D11" s="1485" t="s">
        <v>227</v>
      </c>
      <c r="E11" s="477" t="s">
        <v>48</v>
      </c>
      <c r="F11" s="476"/>
      <c r="G11" s="338"/>
      <c r="H11" s="338"/>
      <c r="I11" s="338"/>
    </row>
    <row r="12" spans="1:9" ht="28.5" customHeight="1" thickBot="1" x14ac:dyDescent="0.3">
      <c r="A12" s="1477"/>
      <c r="B12" s="1501"/>
      <c r="C12" s="1484"/>
      <c r="D12" s="1486"/>
      <c r="E12" s="494" t="s">
        <v>50</v>
      </c>
      <c r="F12" s="493"/>
      <c r="G12" s="338"/>
      <c r="H12" s="338"/>
      <c r="I12" s="338"/>
    </row>
    <row r="13" spans="1:9" ht="27.75" customHeight="1" x14ac:dyDescent="0.25">
      <c r="A13" s="1477"/>
      <c r="B13" s="1501"/>
      <c r="C13" s="1483" t="s">
        <v>77</v>
      </c>
      <c r="D13" s="1485" t="s">
        <v>192</v>
      </c>
      <c r="E13" s="492" t="s">
        <v>48</v>
      </c>
      <c r="F13" s="491"/>
      <c r="G13" s="338"/>
      <c r="H13" s="338"/>
      <c r="I13" s="338"/>
    </row>
    <row r="14" spans="1:9" ht="24.75" customHeight="1" thickBot="1" x14ac:dyDescent="0.3">
      <c r="A14" s="1477"/>
      <c r="B14" s="1501"/>
      <c r="C14" s="1489"/>
      <c r="D14" s="1491"/>
      <c r="E14" s="488" t="s">
        <v>50</v>
      </c>
      <c r="F14" s="487"/>
      <c r="G14" s="338"/>
      <c r="H14" s="338"/>
      <c r="I14" s="338"/>
    </row>
    <row r="15" spans="1:9" ht="24" customHeight="1" x14ac:dyDescent="0.25">
      <c r="A15" s="1477"/>
      <c r="B15" s="1501"/>
      <c r="C15" s="1484" t="s">
        <v>78</v>
      </c>
      <c r="D15" s="1486" t="s">
        <v>258</v>
      </c>
      <c r="E15" s="485" t="s">
        <v>48</v>
      </c>
      <c r="F15" s="484"/>
      <c r="G15" s="338"/>
      <c r="H15" s="338"/>
      <c r="I15" s="338"/>
    </row>
    <row r="16" spans="1:9" ht="21" customHeight="1" thickBot="1" x14ac:dyDescent="0.3">
      <c r="A16" s="1477"/>
      <c r="B16" s="1501"/>
      <c r="C16" s="1503"/>
      <c r="D16" s="1487"/>
      <c r="E16" s="497" t="s">
        <v>50</v>
      </c>
      <c r="F16" s="468"/>
      <c r="G16" s="338"/>
      <c r="H16" s="338"/>
      <c r="I16" s="338"/>
    </row>
    <row r="17" spans="1:9" ht="33.75" customHeight="1" x14ac:dyDescent="0.25">
      <c r="A17" s="1477"/>
      <c r="B17" s="1501"/>
      <c r="C17" s="1483" t="s">
        <v>79</v>
      </c>
      <c r="D17" s="1485" t="s">
        <v>193</v>
      </c>
      <c r="E17" s="477" t="s">
        <v>48</v>
      </c>
      <c r="F17" s="476"/>
      <c r="G17" s="338"/>
      <c r="H17" s="338"/>
      <c r="I17" s="338"/>
    </row>
    <row r="18" spans="1:9" ht="34.5" customHeight="1" thickBot="1" x14ac:dyDescent="0.3">
      <c r="A18" s="1477"/>
      <c r="B18" s="1501"/>
      <c r="C18" s="1503"/>
      <c r="D18" s="1487"/>
      <c r="E18" s="497" t="s">
        <v>50</v>
      </c>
      <c r="F18" s="468"/>
      <c r="G18" s="338"/>
      <c r="H18" s="338"/>
      <c r="I18" s="338"/>
    </row>
    <row r="19" spans="1:9" ht="19.5" customHeight="1" x14ac:dyDescent="0.25">
      <c r="A19" s="1477"/>
      <c r="B19" s="1501"/>
      <c r="C19" s="1483" t="s">
        <v>248</v>
      </c>
      <c r="D19" s="1485" t="s">
        <v>228</v>
      </c>
      <c r="E19" s="477" t="s">
        <v>48</v>
      </c>
      <c r="F19" s="476"/>
      <c r="G19" s="338"/>
      <c r="H19" s="338"/>
      <c r="I19" s="338"/>
    </row>
    <row r="20" spans="1:9" ht="19.5" customHeight="1" thickBot="1" x14ac:dyDescent="0.3">
      <c r="A20" s="1478"/>
      <c r="B20" s="1497"/>
      <c r="C20" s="1503"/>
      <c r="D20" s="1487"/>
      <c r="E20" s="497" t="s">
        <v>50</v>
      </c>
      <c r="F20" s="468"/>
      <c r="G20" s="338"/>
      <c r="H20" s="338"/>
      <c r="I20" s="338"/>
    </row>
    <row r="21" spans="1:9" ht="32.25" thickBot="1" x14ac:dyDescent="0.3">
      <c r="A21" s="546" t="s">
        <v>9</v>
      </c>
      <c r="B21" s="545" t="s">
        <v>10</v>
      </c>
      <c r="C21" s="523" t="s">
        <v>81</v>
      </c>
      <c r="D21" s="544" t="s">
        <v>229</v>
      </c>
      <c r="E21" s="469" t="s">
        <v>48</v>
      </c>
      <c r="F21" s="543"/>
      <c r="G21" s="338"/>
      <c r="H21" s="338"/>
      <c r="I21" s="338"/>
    </row>
    <row r="22" spans="1:9" ht="45.75" customHeight="1" x14ac:dyDescent="0.25">
      <c r="A22" s="1481" t="s">
        <v>11</v>
      </c>
      <c r="B22" s="1493" t="s">
        <v>164</v>
      </c>
      <c r="C22" s="479" t="s">
        <v>80</v>
      </c>
      <c r="D22" s="478" t="s">
        <v>261</v>
      </c>
      <c r="E22" s="477" t="s">
        <v>48</v>
      </c>
      <c r="F22" s="476"/>
      <c r="G22" s="338"/>
      <c r="H22" s="338"/>
      <c r="I22" s="338"/>
    </row>
    <row r="23" spans="1:9" ht="31.5" x14ac:dyDescent="0.25">
      <c r="A23" s="1477"/>
      <c r="B23" s="1494"/>
      <c r="C23" s="486" t="s">
        <v>82</v>
      </c>
      <c r="D23" s="474" t="s">
        <v>12</v>
      </c>
      <c r="E23" s="485" t="s">
        <v>48</v>
      </c>
      <c r="F23" s="484"/>
      <c r="G23" s="338"/>
      <c r="H23" s="338"/>
      <c r="I23" s="338"/>
    </row>
    <row r="24" spans="1:9" ht="42" customHeight="1" thickBot="1" x14ac:dyDescent="0.3">
      <c r="A24" s="1478"/>
      <c r="B24" s="1498"/>
      <c r="C24" s="523" t="s">
        <v>83</v>
      </c>
      <c r="D24" s="544" t="s">
        <v>168</v>
      </c>
      <c r="E24" s="469" t="s">
        <v>48</v>
      </c>
      <c r="F24" s="543"/>
      <c r="G24" s="338"/>
      <c r="H24" s="338"/>
      <c r="I24" s="338"/>
    </row>
    <row r="25" spans="1:9" ht="52.5" customHeight="1" thickBot="1" x14ac:dyDescent="0.3">
      <c r="A25" s="542" t="s">
        <v>13</v>
      </c>
      <c r="B25" s="541" t="s">
        <v>262</v>
      </c>
      <c r="C25" s="540" t="s">
        <v>51</v>
      </c>
      <c r="D25" s="539" t="s">
        <v>230</v>
      </c>
      <c r="E25" s="538" t="s">
        <v>152</v>
      </c>
      <c r="F25" s="537"/>
      <c r="G25" s="338"/>
      <c r="H25" s="338"/>
      <c r="I25" s="338"/>
    </row>
    <row r="26" spans="1:9" ht="31.5" customHeight="1" x14ac:dyDescent="0.25">
      <c r="A26" s="1481" t="s">
        <v>84</v>
      </c>
      <c r="B26" s="1482" t="s">
        <v>165</v>
      </c>
      <c r="C26" s="479" t="s">
        <v>90</v>
      </c>
      <c r="D26" s="478" t="s">
        <v>263</v>
      </c>
      <c r="E26" s="519" t="s">
        <v>152</v>
      </c>
      <c r="F26" s="517"/>
      <c r="G26" s="338"/>
      <c r="H26" s="338"/>
      <c r="I26" s="338"/>
    </row>
    <row r="27" spans="1:9" ht="15.75" customHeight="1" x14ac:dyDescent="0.25">
      <c r="A27" s="1477"/>
      <c r="B27" s="1479"/>
      <c r="C27" s="475" t="s">
        <v>91</v>
      </c>
      <c r="D27" s="481" t="s">
        <v>231</v>
      </c>
      <c r="E27" s="473" t="s">
        <v>52</v>
      </c>
      <c r="F27" s="536"/>
      <c r="G27" s="338"/>
      <c r="H27" s="338"/>
      <c r="I27" s="338"/>
    </row>
    <row r="28" spans="1:9" ht="32.25" thickBot="1" x14ac:dyDescent="0.3">
      <c r="A28" s="1478"/>
      <c r="B28" s="1480"/>
      <c r="C28" s="496" t="s">
        <v>92</v>
      </c>
      <c r="D28" s="495" t="s">
        <v>264</v>
      </c>
      <c r="E28" s="494" t="s">
        <v>52</v>
      </c>
      <c r="F28" s="535"/>
      <c r="G28" s="338"/>
      <c r="H28" s="338"/>
      <c r="I28" s="338"/>
    </row>
    <row r="29" spans="1:9" ht="56.25" customHeight="1" x14ac:dyDescent="0.25">
      <c r="A29" s="1481" t="s">
        <v>85</v>
      </c>
      <c r="B29" s="1482" t="s">
        <v>232</v>
      </c>
      <c r="C29" s="479" t="s">
        <v>93</v>
      </c>
      <c r="D29" s="478" t="s">
        <v>265</v>
      </c>
      <c r="E29" s="519" t="s">
        <v>152</v>
      </c>
      <c r="F29" s="517"/>
      <c r="G29" s="338"/>
      <c r="H29" s="338"/>
      <c r="I29" s="338"/>
    </row>
    <row r="30" spans="1:9" ht="33.75" customHeight="1" thickBot="1" x14ac:dyDescent="0.3">
      <c r="A30" s="1477"/>
      <c r="B30" s="1479"/>
      <c r="C30" s="471" t="s">
        <v>94</v>
      </c>
      <c r="D30" s="470" t="s">
        <v>231</v>
      </c>
      <c r="E30" s="497" t="s">
        <v>52</v>
      </c>
      <c r="F30" s="527"/>
      <c r="G30" s="338"/>
      <c r="H30" s="338"/>
      <c r="I30" s="338"/>
    </row>
    <row r="31" spans="1:9" ht="36.75" customHeight="1" x14ac:dyDescent="0.25">
      <c r="A31" s="1481" t="s">
        <v>86</v>
      </c>
      <c r="B31" s="1482" t="s">
        <v>266</v>
      </c>
      <c r="C31" s="479" t="s">
        <v>95</v>
      </c>
      <c r="D31" s="478" t="s">
        <v>267</v>
      </c>
      <c r="E31" s="519" t="s">
        <v>152</v>
      </c>
      <c r="F31" s="517"/>
      <c r="G31" s="338"/>
      <c r="H31" s="338"/>
      <c r="I31" s="338"/>
    </row>
    <row r="32" spans="1:9" ht="36.75" customHeight="1" thickBot="1" x14ac:dyDescent="0.3">
      <c r="A32" s="1478"/>
      <c r="B32" s="1480"/>
      <c r="C32" s="471" t="s">
        <v>96</v>
      </c>
      <c r="D32" s="470" t="s">
        <v>231</v>
      </c>
      <c r="E32" s="497" t="s">
        <v>52</v>
      </c>
      <c r="F32" s="527"/>
      <c r="G32" s="338"/>
      <c r="H32" s="338"/>
      <c r="I32" s="338"/>
    </row>
    <row r="33" spans="1:9" ht="55.5" customHeight="1" x14ac:dyDescent="0.25">
      <c r="A33" s="1481" t="s">
        <v>87</v>
      </c>
      <c r="B33" s="1482" t="s">
        <v>268</v>
      </c>
      <c r="C33" s="479" t="s">
        <v>97</v>
      </c>
      <c r="D33" s="478" t="s">
        <v>269</v>
      </c>
      <c r="E33" s="519" t="s">
        <v>152</v>
      </c>
      <c r="F33" s="517"/>
      <c r="G33" s="338"/>
      <c r="H33" s="338"/>
      <c r="I33" s="338"/>
    </row>
    <row r="34" spans="1:9" ht="44.25" customHeight="1" thickBot="1" x14ac:dyDescent="0.3">
      <c r="A34" s="1478"/>
      <c r="B34" s="1480"/>
      <c r="C34" s="496" t="s">
        <v>98</v>
      </c>
      <c r="D34" s="495" t="s">
        <v>231</v>
      </c>
      <c r="E34" s="494" t="s">
        <v>52</v>
      </c>
      <c r="F34" s="535"/>
      <c r="G34" s="338"/>
      <c r="H34" s="338"/>
      <c r="I34" s="338"/>
    </row>
    <row r="35" spans="1:9" ht="47.25" customHeight="1" x14ac:dyDescent="0.25">
      <c r="A35" s="1481" t="s">
        <v>88</v>
      </c>
      <c r="B35" s="1482" t="s">
        <v>166</v>
      </c>
      <c r="C35" s="479" t="s">
        <v>99</v>
      </c>
      <c r="D35" s="478" t="s">
        <v>270</v>
      </c>
      <c r="E35" s="534" t="s">
        <v>152</v>
      </c>
      <c r="F35" s="533"/>
      <c r="G35" s="338"/>
      <c r="H35" s="338"/>
      <c r="I35" s="338"/>
    </row>
    <row r="36" spans="1:9" ht="16.5" customHeight="1" x14ac:dyDescent="0.25">
      <c r="A36" s="1477"/>
      <c r="B36" s="1479"/>
      <c r="C36" s="475" t="s">
        <v>100</v>
      </c>
      <c r="D36" s="481" t="s">
        <v>224</v>
      </c>
      <c r="E36" s="490" t="s">
        <v>52</v>
      </c>
      <c r="F36" s="532"/>
      <c r="G36" s="338"/>
      <c r="H36" s="338"/>
      <c r="I36" s="338"/>
    </row>
    <row r="37" spans="1:9" ht="47.25" customHeight="1" x14ac:dyDescent="0.25">
      <c r="A37" s="1477"/>
      <c r="B37" s="1479"/>
      <c r="C37" s="475" t="s">
        <v>103</v>
      </c>
      <c r="D37" s="481" t="s">
        <v>220</v>
      </c>
      <c r="E37" s="490" t="s">
        <v>48</v>
      </c>
      <c r="F37" s="489"/>
      <c r="G37" s="338"/>
      <c r="H37" s="338"/>
      <c r="I37" s="338"/>
    </row>
    <row r="38" spans="1:9" ht="31.5" x14ac:dyDescent="0.25">
      <c r="A38" s="1477"/>
      <c r="B38" s="1479"/>
      <c r="C38" s="475" t="s">
        <v>104</v>
      </c>
      <c r="D38" s="481" t="s">
        <v>14</v>
      </c>
      <c r="E38" s="473" t="s">
        <v>48</v>
      </c>
      <c r="F38" s="472"/>
      <c r="G38" s="338"/>
      <c r="H38" s="338"/>
      <c r="I38" s="338"/>
    </row>
    <row r="39" spans="1:9" ht="32.25" thickBot="1" x14ac:dyDescent="0.3">
      <c r="A39" s="1478"/>
      <c r="B39" s="1480"/>
      <c r="C39" s="471" t="s">
        <v>105</v>
      </c>
      <c r="D39" s="470" t="s">
        <v>15</v>
      </c>
      <c r="E39" s="497" t="s">
        <v>48</v>
      </c>
      <c r="F39" s="468"/>
      <c r="G39" s="338"/>
      <c r="H39" s="338"/>
      <c r="I39" s="338"/>
    </row>
    <row r="40" spans="1:9" ht="31.5" customHeight="1" x14ac:dyDescent="0.25">
      <c r="A40" s="1481" t="s">
        <v>89</v>
      </c>
      <c r="B40" s="1482" t="s">
        <v>271</v>
      </c>
      <c r="C40" s="479" t="s">
        <v>101</v>
      </c>
      <c r="D40" s="478" t="s">
        <v>143</v>
      </c>
      <c r="E40" s="492" t="s">
        <v>55</v>
      </c>
      <c r="F40" s="476"/>
      <c r="G40" s="338"/>
      <c r="H40" s="338"/>
      <c r="I40" s="338"/>
    </row>
    <row r="41" spans="1:9" ht="31.5" customHeight="1" x14ac:dyDescent="0.25">
      <c r="A41" s="1477"/>
      <c r="B41" s="1479"/>
      <c r="C41" s="475" t="s">
        <v>102</v>
      </c>
      <c r="D41" s="481" t="s">
        <v>46</v>
      </c>
      <c r="E41" s="490" t="s">
        <v>48</v>
      </c>
      <c r="F41" s="489"/>
      <c r="G41" s="338"/>
      <c r="H41" s="338"/>
      <c r="I41" s="338"/>
    </row>
    <row r="42" spans="1:9" ht="30.75" customHeight="1" x14ac:dyDescent="0.25">
      <c r="A42" s="1477"/>
      <c r="B42" s="1479"/>
      <c r="C42" s="531" t="s">
        <v>233</v>
      </c>
      <c r="D42" s="530" t="s">
        <v>249</v>
      </c>
      <c r="E42" s="529" t="s">
        <v>152</v>
      </c>
      <c r="F42" s="489"/>
      <c r="G42" s="338"/>
      <c r="H42" s="338"/>
      <c r="I42" s="338"/>
    </row>
    <row r="43" spans="1:9" ht="39.75" customHeight="1" thickBot="1" x14ac:dyDescent="0.3">
      <c r="A43" s="1492"/>
      <c r="B43" s="1502"/>
      <c r="C43" s="471" t="s">
        <v>234</v>
      </c>
      <c r="D43" s="470" t="s">
        <v>235</v>
      </c>
      <c r="E43" s="488" t="s">
        <v>52</v>
      </c>
      <c r="F43" s="516"/>
      <c r="G43" s="338"/>
      <c r="H43" s="338"/>
      <c r="I43" s="338"/>
    </row>
    <row r="44" spans="1:9" ht="56.25" customHeight="1" x14ac:dyDescent="0.25">
      <c r="A44" s="1481" t="s">
        <v>16</v>
      </c>
      <c r="B44" s="1482" t="s">
        <v>272</v>
      </c>
      <c r="C44" s="479" t="s">
        <v>106</v>
      </c>
      <c r="D44" s="478" t="s">
        <v>273</v>
      </c>
      <c r="E44" s="519" t="s">
        <v>152</v>
      </c>
      <c r="F44" s="528"/>
      <c r="G44" s="338"/>
      <c r="H44" s="338"/>
      <c r="I44" s="338"/>
    </row>
    <row r="45" spans="1:9" ht="49.5" customHeight="1" thickBot="1" x14ac:dyDescent="0.3">
      <c r="A45" s="1478"/>
      <c r="B45" s="1480"/>
      <c r="C45" s="471" t="s">
        <v>107</v>
      </c>
      <c r="D45" s="470" t="s">
        <v>274</v>
      </c>
      <c r="E45" s="497" t="s">
        <v>52</v>
      </c>
      <c r="F45" s="527"/>
      <c r="G45" s="338"/>
      <c r="H45" s="338"/>
      <c r="I45" s="338"/>
    </row>
    <row r="46" spans="1:9" ht="63.75" customHeight="1" x14ac:dyDescent="0.25">
      <c r="A46" s="1481" t="s">
        <v>17</v>
      </c>
      <c r="B46" s="1482" t="s">
        <v>275</v>
      </c>
      <c r="C46" s="479" t="s">
        <v>108</v>
      </c>
      <c r="D46" s="478" t="s">
        <v>194</v>
      </c>
      <c r="E46" s="477" t="s">
        <v>53</v>
      </c>
      <c r="F46" s="514"/>
      <c r="G46" s="338"/>
      <c r="H46" s="338"/>
      <c r="I46" s="338"/>
    </row>
    <row r="47" spans="1:9" ht="62.25" customHeight="1" x14ac:dyDescent="0.25">
      <c r="A47" s="1477"/>
      <c r="B47" s="1479"/>
      <c r="C47" s="475" t="s">
        <v>109</v>
      </c>
      <c r="D47" s="481" t="s">
        <v>195</v>
      </c>
      <c r="E47" s="473" t="s">
        <v>53</v>
      </c>
      <c r="F47" s="515"/>
      <c r="G47" s="338"/>
      <c r="H47" s="338"/>
      <c r="I47" s="338"/>
    </row>
    <row r="48" spans="1:9" ht="48" customHeight="1" thickBot="1" x14ac:dyDescent="0.3">
      <c r="A48" s="1478"/>
      <c r="B48" s="1480"/>
      <c r="C48" s="471" t="s">
        <v>110</v>
      </c>
      <c r="D48" s="470" t="s">
        <v>196</v>
      </c>
      <c r="E48" s="497" t="s">
        <v>53</v>
      </c>
      <c r="F48" s="511"/>
      <c r="G48" s="338"/>
      <c r="H48" s="338"/>
      <c r="I48" s="338"/>
    </row>
    <row r="49" spans="1:9" ht="29.25" customHeight="1" x14ac:dyDescent="0.25">
      <c r="A49" s="1477" t="s">
        <v>18</v>
      </c>
      <c r="B49" s="1496" t="s">
        <v>276</v>
      </c>
      <c r="C49" s="479" t="s">
        <v>111</v>
      </c>
      <c r="D49" s="478" t="s">
        <v>19</v>
      </c>
      <c r="E49" s="526" t="s">
        <v>53</v>
      </c>
      <c r="F49" s="514"/>
      <c r="G49" s="338"/>
      <c r="H49" s="338"/>
      <c r="I49" s="338"/>
    </row>
    <row r="50" spans="1:9" ht="45.75" customHeight="1" x14ac:dyDescent="0.25">
      <c r="A50" s="1477"/>
      <c r="B50" s="1501"/>
      <c r="C50" s="475" t="s">
        <v>112</v>
      </c>
      <c r="D50" s="481" t="s">
        <v>20</v>
      </c>
      <c r="E50" s="524" t="s">
        <v>53</v>
      </c>
      <c r="F50" s="515"/>
      <c r="G50" s="338"/>
      <c r="H50" s="338"/>
      <c r="I50" s="338"/>
    </row>
    <row r="51" spans="1:9" ht="39.75" customHeight="1" x14ac:dyDescent="0.25">
      <c r="A51" s="1477"/>
      <c r="B51" s="1501"/>
      <c r="C51" s="475" t="s">
        <v>113</v>
      </c>
      <c r="D51" s="481" t="s">
        <v>21</v>
      </c>
      <c r="E51" s="524" t="s">
        <v>53</v>
      </c>
      <c r="F51" s="515"/>
      <c r="G51" s="338"/>
      <c r="H51" s="338"/>
      <c r="I51" s="338"/>
    </row>
    <row r="52" spans="1:9" ht="30" customHeight="1" x14ac:dyDescent="0.25">
      <c r="A52" s="1477"/>
      <c r="B52" s="1501"/>
      <c r="C52" s="475" t="s">
        <v>114</v>
      </c>
      <c r="D52" s="481" t="s">
        <v>22</v>
      </c>
      <c r="E52" s="524" t="s">
        <v>53</v>
      </c>
      <c r="F52" s="515"/>
      <c r="G52" s="338"/>
      <c r="H52" s="338"/>
      <c r="I52" s="338"/>
    </row>
    <row r="53" spans="1:9" ht="38.25" customHeight="1" x14ac:dyDescent="0.25">
      <c r="A53" s="1477"/>
      <c r="B53" s="1501"/>
      <c r="C53" s="475" t="s">
        <v>115</v>
      </c>
      <c r="D53" s="481" t="s">
        <v>184</v>
      </c>
      <c r="E53" s="524" t="s">
        <v>53</v>
      </c>
      <c r="F53" s="515"/>
      <c r="G53" s="338"/>
      <c r="H53" s="338"/>
      <c r="I53" s="338"/>
    </row>
    <row r="54" spans="1:9" ht="30" customHeight="1" x14ac:dyDescent="0.25">
      <c r="A54" s="1477"/>
      <c r="B54" s="1501"/>
      <c r="C54" s="475" t="s">
        <v>116</v>
      </c>
      <c r="D54" s="481" t="s">
        <v>23</v>
      </c>
      <c r="E54" s="524" t="s">
        <v>53</v>
      </c>
      <c r="F54" s="515"/>
      <c r="G54" s="338"/>
      <c r="H54" s="338"/>
      <c r="I54" s="338"/>
    </row>
    <row r="55" spans="1:9" ht="33.75" customHeight="1" x14ac:dyDescent="0.25">
      <c r="A55" s="1477"/>
      <c r="B55" s="1501"/>
      <c r="C55" s="475" t="s">
        <v>117</v>
      </c>
      <c r="D55" s="481" t="s">
        <v>223</v>
      </c>
      <c r="E55" s="524" t="s">
        <v>53</v>
      </c>
      <c r="F55" s="515"/>
      <c r="G55" s="338"/>
      <c r="H55" s="338"/>
      <c r="I55" s="338"/>
    </row>
    <row r="56" spans="1:9" ht="39" customHeight="1" x14ac:dyDescent="0.25">
      <c r="A56" s="1477"/>
      <c r="B56" s="1501"/>
      <c r="C56" s="475" t="s">
        <v>118</v>
      </c>
      <c r="D56" s="481" t="s">
        <v>24</v>
      </c>
      <c r="E56" s="524" t="s">
        <v>53</v>
      </c>
      <c r="F56" s="515"/>
      <c r="G56" s="338"/>
      <c r="H56" s="338"/>
      <c r="I56" s="338"/>
    </row>
    <row r="57" spans="1:9" ht="37.5" customHeight="1" x14ac:dyDescent="0.25">
      <c r="A57" s="1477"/>
      <c r="B57" s="1501"/>
      <c r="C57" s="475" t="s">
        <v>119</v>
      </c>
      <c r="D57" s="481" t="s">
        <v>25</v>
      </c>
      <c r="E57" s="524" t="s">
        <v>53</v>
      </c>
      <c r="F57" s="515"/>
      <c r="G57" s="338"/>
      <c r="H57" s="338"/>
      <c r="I57" s="338"/>
    </row>
    <row r="58" spans="1:9" ht="29.25" customHeight="1" x14ac:dyDescent="0.25">
      <c r="A58" s="1477"/>
      <c r="B58" s="1501"/>
      <c r="C58" s="475" t="s">
        <v>120</v>
      </c>
      <c r="D58" s="481" t="s">
        <v>197</v>
      </c>
      <c r="E58" s="524" t="s">
        <v>53</v>
      </c>
      <c r="F58" s="515"/>
      <c r="G58" s="338"/>
      <c r="H58" s="338"/>
      <c r="I58" s="338"/>
    </row>
    <row r="59" spans="1:9" ht="29.25" customHeight="1" x14ac:dyDescent="0.25">
      <c r="A59" s="1477"/>
      <c r="B59" s="1501"/>
      <c r="C59" s="475" t="s">
        <v>121</v>
      </c>
      <c r="D59" s="481" t="s">
        <v>27</v>
      </c>
      <c r="E59" s="524" t="s">
        <v>53</v>
      </c>
      <c r="F59" s="515"/>
      <c r="G59" s="338"/>
      <c r="H59" s="338"/>
      <c r="I59" s="338"/>
    </row>
    <row r="60" spans="1:9" ht="29.25" customHeight="1" x14ac:dyDescent="0.25">
      <c r="A60" s="1477"/>
      <c r="B60" s="1501"/>
      <c r="C60" s="475" t="s">
        <v>122</v>
      </c>
      <c r="D60" s="481" t="s">
        <v>198</v>
      </c>
      <c r="E60" s="524" t="s">
        <v>53</v>
      </c>
      <c r="F60" s="515"/>
      <c r="G60" s="338"/>
      <c r="H60" s="338"/>
      <c r="I60" s="338"/>
    </row>
    <row r="61" spans="1:9" ht="29.25" customHeight="1" x14ac:dyDescent="0.25">
      <c r="A61" s="1477"/>
      <c r="B61" s="1501"/>
      <c r="C61" s="475" t="s">
        <v>123</v>
      </c>
      <c r="D61" s="481" t="s">
        <v>185</v>
      </c>
      <c r="E61" s="524" t="s">
        <v>53</v>
      </c>
      <c r="F61" s="515"/>
      <c r="G61" s="338"/>
      <c r="H61" s="338"/>
      <c r="I61" s="338"/>
    </row>
    <row r="62" spans="1:9" ht="37.5" customHeight="1" x14ac:dyDescent="0.25">
      <c r="A62" s="1477"/>
      <c r="B62" s="1501"/>
      <c r="C62" s="475" t="s">
        <v>124</v>
      </c>
      <c r="D62" s="481" t="s">
        <v>215</v>
      </c>
      <c r="E62" s="524" t="s">
        <v>53</v>
      </c>
      <c r="F62" s="515"/>
      <c r="G62" s="338"/>
      <c r="H62" s="338"/>
      <c r="I62" s="338"/>
    </row>
    <row r="63" spans="1:9" ht="29.25" customHeight="1" x14ac:dyDescent="0.25">
      <c r="A63" s="1477"/>
      <c r="B63" s="1501"/>
      <c r="C63" s="475" t="s">
        <v>125</v>
      </c>
      <c r="D63" s="481" t="s">
        <v>32</v>
      </c>
      <c r="E63" s="524" t="s">
        <v>53</v>
      </c>
      <c r="F63" s="515"/>
      <c r="G63" s="338"/>
      <c r="H63" s="338"/>
      <c r="I63" s="338"/>
    </row>
    <row r="64" spans="1:9" ht="32.25" customHeight="1" x14ac:dyDescent="0.25">
      <c r="A64" s="1477"/>
      <c r="B64" s="1501"/>
      <c r="C64" s="475" t="s">
        <v>126</v>
      </c>
      <c r="D64" s="481" t="s">
        <v>214</v>
      </c>
      <c r="E64" s="524" t="s">
        <v>53</v>
      </c>
      <c r="F64" s="515"/>
      <c r="G64" s="338"/>
      <c r="H64" s="338"/>
      <c r="I64" s="338"/>
    </row>
    <row r="65" spans="1:9" ht="35.25" customHeight="1" x14ac:dyDescent="0.25">
      <c r="A65" s="1477"/>
      <c r="B65" s="1501"/>
      <c r="C65" s="475" t="s">
        <v>127</v>
      </c>
      <c r="D65" s="481" t="s">
        <v>199</v>
      </c>
      <c r="E65" s="524" t="s">
        <v>53</v>
      </c>
      <c r="F65" s="515"/>
      <c r="G65" s="338"/>
      <c r="H65" s="338"/>
      <c r="I65" s="338"/>
    </row>
    <row r="66" spans="1:9" ht="29.25" customHeight="1" x14ac:dyDescent="0.25">
      <c r="A66" s="1477"/>
      <c r="B66" s="1501"/>
      <c r="C66" s="475" t="s">
        <v>128</v>
      </c>
      <c r="D66" s="481" t="s">
        <v>36</v>
      </c>
      <c r="E66" s="524" t="s">
        <v>53</v>
      </c>
      <c r="F66" s="515"/>
      <c r="G66" s="338"/>
      <c r="H66" s="338"/>
      <c r="I66" s="338"/>
    </row>
    <row r="67" spans="1:9" ht="29.25" customHeight="1" x14ac:dyDescent="0.25">
      <c r="A67" s="1477"/>
      <c r="B67" s="1501"/>
      <c r="C67" s="475" t="s">
        <v>129</v>
      </c>
      <c r="D67" s="481" t="s">
        <v>38</v>
      </c>
      <c r="E67" s="524" t="s">
        <v>53</v>
      </c>
      <c r="F67" s="515"/>
      <c r="G67" s="338"/>
      <c r="H67" s="338"/>
      <c r="I67" s="338"/>
    </row>
    <row r="68" spans="1:9" ht="44.25" customHeight="1" x14ac:dyDescent="0.25">
      <c r="A68" s="1477"/>
      <c r="B68" s="1501"/>
      <c r="C68" s="475" t="s">
        <v>130</v>
      </c>
      <c r="D68" s="481" t="s">
        <v>226</v>
      </c>
      <c r="E68" s="524" t="s">
        <v>53</v>
      </c>
      <c r="F68" s="515"/>
      <c r="G68" s="338"/>
      <c r="H68" s="338"/>
      <c r="I68" s="338"/>
    </row>
    <row r="69" spans="1:9" ht="29.25" customHeight="1" x14ac:dyDescent="0.25">
      <c r="A69" s="1477"/>
      <c r="B69" s="1501"/>
      <c r="C69" s="475" t="s">
        <v>131</v>
      </c>
      <c r="D69" s="525" t="s">
        <v>144</v>
      </c>
      <c r="E69" s="524" t="s">
        <v>53</v>
      </c>
      <c r="F69" s="515"/>
      <c r="G69" s="338"/>
      <c r="H69" s="338"/>
      <c r="I69" s="338"/>
    </row>
    <row r="70" spans="1:9" ht="29.25" customHeight="1" thickBot="1" x14ac:dyDescent="0.3">
      <c r="A70" s="1478"/>
      <c r="B70" s="1497"/>
      <c r="C70" s="523" t="s">
        <v>236</v>
      </c>
      <c r="D70" s="522" t="s">
        <v>5569</v>
      </c>
      <c r="E70" s="521" t="s">
        <v>158</v>
      </c>
      <c r="F70" s="520">
        <f>SUM(F49:F69)</f>
        <v>0</v>
      </c>
      <c r="G70" s="338"/>
      <c r="H70" s="338"/>
      <c r="I70" s="338"/>
    </row>
    <row r="71" spans="1:9" ht="29.25" customHeight="1" x14ac:dyDescent="0.25">
      <c r="A71" s="1481" t="s">
        <v>26</v>
      </c>
      <c r="B71" s="1493" t="s">
        <v>277</v>
      </c>
      <c r="C71" s="479" t="s">
        <v>132</v>
      </c>
      <c r="D71" s="478" t="s">
        <v>200</v>
      </c>
      <c r="E71" s="519" t="s">
        <v>54</v>
      </c>
      <c r="F71" s="517"/>
      <c r="G71" s="338"/>
      <c r="H71" s="338"/>
      <c r="I71" s="338"/>
    </row>
    <row r="72" spans="1:9" ht="29.25" customHeight="1" x14ac:dyDescent="0.25">
      <c r="A72" s="1477"/>
      <c r="B72" s="1494"/>
      <c r="C72" s="1509" t="s">
        <v>133</v>
      </c>
      <c r="D72" s="1511" t="s">
        <v>153</v>
      </c>
      <c r="E72" s="473" t="s">
        <v>48</v>
      </c>
      <c r="F72" s="472"/>
      <c r="G72" s="338"/>
      <c r="H72" s="338"/>
      <c r="I72" s="338"/>
    </row>
    <row r="73" spans="1:9" ht="21" customHeight="1" x14ac:dyDescent="0.25">
      <c r="A73" s="1477"/>
      <c r="B73" s="1494"/>
      <c r="C73" s="1510"/>
      <c r="D73" s="1515"/>
      <c r="E73" s="494" t="s">
        <v>50</v>
      </c>
      <c r="F73" s="493"/>
      <c r="G73" s="338"/>
      <c r="H73" s="338"/>
      <c r="I73" s="338"/>
    </row>
    <row r="74" spans="1:9" ht="33.75" customHeight="1" thickBot="1" x14ac:dyDescent="0.3">
      <c r="A74" s="1477"/>
      <c r="B74" s="1494"/>
      <c r="C74" s="475" t="s">
        <v>134</v>
      </c>
      <c r="D74" s="481" t="s">
        <v>225</v>
      </c>
      <c r="E74" s="490" t="s">
        <v>52</v>
      </c>
      <c r="F74" s="516"/>
      <c r="G74" s="338"/>
      <c r="H74" s="338"/>
      <c r="I74" s="338"/>
    </row>
    <row r="75" spans="1:9" ht="29.25" customHeight="1" x14ac:dyDescent="0.25">
      <c r="A75" s="1477"/>
      <c r="B75" s="1494"/>
      <c r="C75" s="1512" t="s">
        <v>221</v>
      </c>
      <c r="D75" s="1511" t="s">
        <v>257</v>
      </c>
      <c r="E75" s="518" t="s">
        <v>54</v>
      </c>
      <c r="F75" s="517"/>
      <c r="G75" s="338"/>
      <c r="H75" s="338"/>
      <c r="I75" s="338"/>
    </row>
    <row r="76" spans="1:9" ht="29.25" customHeight="1" thickBot="1" x14ac:dyDescent="0.3">
      <c r="A76" s="1492"/>
      <c r="B76" s="1495"/>
      <c r="C76" s="1489"/>
      <c r="D76" s="1487"/>
      <c r="E76" s="488" t="s">
        <v>50</v>
      </c>
      <c r="F76" s="516"/>
      <c r="G76" s="338"/>
      <c r="H76" s="338"/>
      <c r="I76" s="338"/>
    </row>
    <row r="77" spans="1:9" ht="29.25" customHeight="1" x14ac:dyDescent="0.25">
      <c r="A77" s="1481" t="s">
        <v>28</v>
      </c>
      <c r="B77" s="1482" t="s">
        <v>201</v>
      </c>
      <c r="C77" s="486" t="s">
        <v>159</v>
      </c>
      <c r="D77" s="474" t="s">
        <v>40</v>
      </c>
      <c r="E77" s="485" t="s">
        <v>55</v>
      </c>
      <c r="F77" s="484"/>
      <c r="G77" s="338"/>
      <c r="H77" s="338"/>
      <c r="I77" s="338"/>
    </row>
    <row r="78" spans="1:9" ht="29.25" customHeight="1" x14ac:dyDescent="0.25">
      <c r="A78" s="1477"/>
      <c r="B78" s="1479"/>
      <c r="C78" s="486" t="s">
        <v>135</v>
      </c>
      <c r="D78" s="481" t="s">
        <v>202</v>
      </c>
      <c r="E78" s="473" t="s">
        <v>48</v>
      </c>
      <c r="F78" s="472"/>
      <c r="G78" s="338"/>
      <c r="H78" s="338"/>
      <c r="I78" s="338"/>
    </row>
    <row r="79" spans="1:9" ht="24.75" customHeight="1" x14ac:dyDescent="0.25">
      <c r="A79" s="1477"/>
      <c r="B79" s="1479"/>
      <c r="C79" s="475" t="s">
        <v>136</v>
      </c>
      <c r="D79" s="481" t="s">
        <v>203</v>
      </c>
      <c r="E79" s="473" t="s">
        <v>48</v>
      </c>
      <c r="F79" s="472"/>
      <c r="G79" s="338"/>
      <c r="H79" s="338"/>
      <c r="I79" s="338"/>
    </row>
    <row r="80" spans="1:9" ht="30.75" customHeight="1" x14ac:dyDescent="0.25">
      <c r="A80" s="1477"/>
      <c r="B80" s="1479"/>
      <c r="C80" s="475" t="s">
        <v>137</v>
      </c>
      <c r="D80" s="481" t="s">
        <v>204</v>
      </c>
      <c r="E80" s="473" t="s">
        <v>53</v>
      </c>
      <c r="F80" s="515"/>
      <c r="G80" s="338"/>
      <c r="H80" s="338"/>
      <c r="I80" s="338"/>
    </row>
    <row r="81" spans="1:9" ht="22.5" customHeight="1" x14ac:dyDescent="0.25">
      <c r="A81" s="1477"/>
      <c r="B81" s="1479"/>
      <c r="C81" s="475" t="s">
        <v>138</v>
      </c>
      <c r="D81" s="495" t="s">
        <v>205</v>
      </c>
      <c r="E81" s="494" t="s">
        <v>53</v>
      </c>
      <c r="F81" s="507"/>
      <c r="G81" s="338"/>
      <c r="H81" s="338"/>
      <c r="I81" s="338"/>
    </row>
    <row r="82" spans="1:9" ht="44.25" customHeight="1" thickBot="1" x14ac:dyDescent="0.3">
      <c r="A82" s="1478"/>
      <c r="B82" s="1480"/>
      <c r="C82" s="475" t="s">
        <v>169</v>
      </c>
      <c r="D82" s="470" t="s">
        <v>41</v>
      </c>
      <c r="E82" s="494" t="s">
        <v>53</v>
      </c>
      <c r="F82" s="507"/>
      <c r="G82" s="338"/>
      <c r="H82" s="338"/>
      <c r="I82" s="338"/>
    </row>
    <row r="83" spans="1:9" ht="35.25" customHeight="1" x14ac:dyDescent="0.25">
      <c r="A83" s="1481" t="s">
        <v>29</v>
      </c>
      <c r="B83" s="1493"/>
      <c r="C83" s="1483" t="s">
        <v>59</v>
      </c>
      <c r="D83" s="1485" t="s">
        <v>278</v>
      </c>
      <c r="E83" s="477" t="s">
        <v>171</v>
      </c>
      <c r="F83" s="476"/>
      <c r="G83" s="338"/>
      <c r="H83" s="338"/>
      <c r="I83" s="338"/>
    </row>
    <row r="84" spans="1:9" ht="29.25" customHeight="1" x14ac:dyDescent="0.25">
      <c r="A84" s="1477"/>
      <c r="B84" s="1494"/>
      <c r="C84" s="1484"/>
      <c r="D84" s="1486"/>
      <c r="E84" s="473" t="s">
        <v>172</v>
      </c>
      <c r="F84" s="472"/>
      <c r="G84" s="338"/>
      <c r="H84" s="338"/>
      <c r="I84" s="338"/>
    </row>
    <row r="85" spans="1:9" ht="35.25" customHeight="1" thickBot="1" x14ac:dyDescent="0.3">
      <c r="A85" s="1477"/>
      <c r="B85" s="1494"/>
      <c r="C85" s="1503"/>
      <c r="D85" s="1487"/>
      <c r="E85" s="497" t="s">
        <v>173</v>
      </c>
      <c r="F85" s="511"/>
      <c r="G85" s="338"/>
      <c r="H85" s="338"/>
      <c r="I85" s="338"/>
    </row>
    <row r="86" spans="1:9" ht="25.5" customHeight="1" x14ac:dyDescent="0.25">
      <c r="A86" s="1477"/>
      <c r="B86" s="1494"/>
      <c r="C86" s="1483" t="s">
        <v>60</v>
      </c>
      <c r="D86" s="1485" t="s">
        <v>279</v>
      </c>
      <c r="E86" s="477" t="s">
        <v>171</v>
      </c>
      <c r="F86" s="476"/>
      <c r="G86" s="338"/>
      <c r="H86" s="338"/>
      <c r="I86" s="338"/>
    </row>
    <row r="87" spans="1:9" ht="32.25" customHeight="1" x14ac:dyDescent="0.25">
      <c r="A87" s="1477"/>
      <c r="B87" s="1494"/>
      <c r="C87" s="1484"/>
      <c r="D87" s="1486"/>
      <c r="E87" s="473" t="s">
        <v>172</v>
      </c>
      <c r="F87" s="472"/>
      <c r="G87" s="338"/>
      <c r="H87" s="338"/>
      <c r="I87" s="338"/>
    </row>
    <row r="88" spans="1:9" ht="37.5" customHeight="1" thickBot="1" x14ac:dyDescent="0.3">
      <c r="A88" s="1477"/>
      <c r="B88" s="1494"/>
      <c r="C88" s="1484"/>
      <c r="D88" s="1486"/>
      <c r="E88" s="494" t="s">
        <v>174</v>
      </c>
      <c r="F88" s="507"/>
      <c r="G88" s="338"/>
      <c r="H88" s="338"/>
      <c r="I88" s="338"/>
    </row>
    <row r="89" spans="1:9" ht="39.75" customHeight="1" x14ac:dyDescent="0.25">
      <c r="A89" s="1477"/>
      <c r="B89" s="1494"/>
      <c r="C89" s="1483" t="s">
        <v>61</v>
      </c>
      <c r="D89" s="1485" t="s">
        <v>250</v>
      </c>
      <c r="E89" s="492" t="s">
        <v>171</v>
      </c>
      <c r="F89" s="510"/>
      <c r="G89" s="338"/>
      <c r="H89" s="338"/>
      <c r="I89" s="338"/>
    </row>
    <row r="90" spans="1:9" ht="36.75" customHeight="1" x14ac:dyDescent="0.25">
      <c r="A90" s="1477"/>
      <c r="B90" s="1494"/>
      <c r="C90" s="1488"/>
      <c r="D90" s="1490"/>
      <c r="E90" s="490" t="s">
        <v>172</v>
      </c>
      <c r="F90" s="509"/>
      <c r="G90" s="338"/>
      <c r="H90" s="338"/>
      <c r="I90" s="338"/>
    </row>
    <row r="91" spans="1:9" ht="39" customHeight="1" thickBot="1" x14ac:dyDescent="0.3">
      <c r="A91" s="1477"/>
      <c r="B91" s="1494"/>
      <c r="C91" s="1489"/>
      <c r="D91" s="1491"/>
      <c r="E91" s="488" t="s">
        <v>174</v>
      </c>
      <c r="F91" s="508"/>
      <c r="G91" s="338"/>
      <c r="H91" s="338"/>
      <c r="I91" s="338"/>
    </row>
    <row r="92" spans="1:9" ht="31.5" customHeight="1" x14ac:dyDescent="0.25">
      <c r="A92" s="1477"/>
      <c r="B92" s="1494"/>
      <c r="C92" s="1516" t="s">
        <v>62</v>
      </c>
      <c r="D92" s="1517" t="s">
        <v>251</v>
      </c>
      <c r="E92" s="477" t="s">
        <v>171</v>
      </c>
      <c r="F92" s="514"/>
      <c r="G92" s="369"/>
      <c r="H92" s="369"/>
      <c r="I92" s="369"/>
    </row>
    <row r="93" spans="1:9" ht="38.25" x14ac:dyDescent="0.25">
      <c r="A93" s="1477"/>
      <c r="B93" s="1494"/>
      <c r="C93" s="1488"/>
      <c r="D93" s="1490"/>
      <c r="E93" s="485" t="s">
        <v>172</v>
      </c>
      <c r="F93" s="513"/>
      <c r="G93" s="369"/>
      <c r="H93" s="369"/>
      <c r="I93" s="369"/>
    </row>
    <row r="94" spans="1:9" ht="26.25" thickBot="1" x14ac:dyDescent="0.3">
      <c r="A94" s="1477"/>
      <c r="B94" s="1494"/>
      <c r="C94" s="1489"/>
      <c r="D94" s="1491"/>
      <c r="E94" s="469" t="s">
        <v>174</v>
      </c>
      <c r="F94" s="512"/>
      <c r="G94" s="369"/>
      <c r="H94" s="369"/>
      <c r="I94" s="369"/>
    </row>
    <row r="95" spans="1:9" ht="26.25" customHeight="1" x14ac:dyDescent="0.25">
      <c r="A95" s="1477"/>
      <c r="B95" s="1494"/>
      <c r="C95" s="1484" t="s">
        <v>63</v>
      </c>
      <c r="D95" s="1486" t="s">
        <v>178</v>
      </c>
      <c r="E95" s="485" t="s">
        <v>171</v>
      </c>
      <c r="F95" s="484"/>
      <c r="G95" s="370"/>
      <c r="H95" s="370"/>
      <c r="I95" s="370"/>
    </row>
    <row r="96" spans="1:9" ht="38.25" x14ac:dyDescent="0.25">
      <c r="A96" s="1477"/>
      <c r="B96" s="1494"/>
      <c r="C96" s="1484"/>
      <c r="D96" s="1486"/>
      <c r="E96" s="473" t="s">
        <v>172</v>
      </c>
      <c r="F96" s="472"/>
      <c r="G96" s="370"/>
      <c r="H96" s="370"/>
      <c r="I96" s="370"/>
    </row>
    <row r="97" spans="1:9" ht="26.25" thickBot="1" x14ac:dyDescent="0.3">
      <c r="A97" s="1477"/>
      <c r="B97" s="1494"/>
      <c r="C97" s="1503"/>
      <c r="D97" s="1487"/>
      <c r="E97" s="497" t="s">
        <v>174</v>
      </c>
      <c r="F97" s="511"/>
      <c r="G97" s="370"/>
      <c r="H97" s="370"/>
      <c r="I97" s="370"/>
    </row>
    <row r="98" spans="1:9" ht="25.5" x14ac:dyDescent="0.25">
      <c r="A98" s="1477"/>
      <c r="B98" s="1494"/>
      <c r="C98" s="1483" t="s">
        <v>64</v>
      </c>
      <c r="D98" s="1485" t="s">
        <v>179</v>
      </c>
      <c r="E98" s="477" t="s">
        <v>171</v>
      </c>
      <c r="F98" s="476"/>
      <c r="G98" s="370"/>
      <c r="H98" s="370"/>
      <c r="I98" s="370"/>
    </row>
    <row r="99" spans="1:9" ht="38.25" x14ac:dyDescent="0.25">
      <c r="A99" s="1477"/>
      <c r="B99" s="1494"/>
      <c r="C99" s="1484"/>
      <c r="D99" s="1486"/>
      <c r="E99" s="473" t="s">
        <v>172</v>
      </c>
      <c r="F99" s="472"/>
      <c r="G99" s="370"/>
      <c r="H99" s="370"/>
      <c r="I99" s="370"/>
    </row>
    <row r="100" spans="1:9" ht="26.25" thickBot="1" x14ac:dyDescent="0.3">
      <c r="A100" s="1477"/>
      <c r="B100" s="1494"/>
      <c r="C100" s="1503"/>
      <c r="D100" s="1487"/>
      <c r="E100" s="497" t="s">
        <v>174</v>
      </c>
      <c r="F100" s="511"/>
      <c r="G100" s="370"/>
      <c r="H100" s="370"/>
      <c r="I100" s="370"/>
    </row>
    <row r="101" spans="1:9" ht="25.5" x14ac:dyDescent="0.25">
      <c r="A101" s="1477"/>
      <c r="B101" s="1494"/>
      <c r="C101" s="1483" t="s">
        <v>237</v>
      </c>
      <c r="D101" s="1485" t="s">
        <v>280</v>
      </c>
      <c r="E101" s="477" t="s">
        <v>171</v>
      </c>
      <c r="F101" s="476"/>
      <c r="G101" s="370"/>
      <c r="H101" s="370"/>
      <c r="I101" s="370"/>
    </row>
    <row r="102" spans="1:9" ht="38.25" x14ac:dyDescent="0.25">
      <c r="A102" s="1477"/>
      <c r="B102" s="1494"/>
      <c r="C102" s="1484"/>
      <c r="D102" s="1486"/>
      <c r="E102" s="473" t="s">
        <v>172</v>
      </c>
      <c r="F102" s="472"/>
      <c r="G102" s="370"/>
      <c r="H102" s="370"/>
      <c r="I102" s="370"/>
    </row>
    <row r="103" spans="1:9" ht="26.25" thickBot="1" x14ac:dyDescent="0.3">
      <c r="A103" s="1477"/>
      <c r="B103" s="1494"/>
      <c r="C103" s="1503"/>
      <c r="D103" s="1487"/>
      <c r="E103" s="497" t="s">
        <v>174</v>
      </c>
      <c r="F103" s="511"/>
      <c r="G103" s="370"/>
      <c r="H103" s="370"/>
      <c r="I103" s="370"/>
    </row>
    <row r="104" spans="1:9" ht="23.25" customHeight="1" x14ac:dyDescent="0.25">
      <c r="A104" s="1477"/>
      <c r="B104" s="1494"/>
      <c r="C104" s="1483" t="s">
        <v>238</v>
      </c>
      <c r="D104" s="1506" t="s">
        <v>145</v>
      </c>
      <c r="E104" s="477" t="s">
        <v>171</v>
      </c>
      <c r="F104" s="476"/>
      <c r="G104" s="370"/>
      <c r="H104" s="370"/>
      <c r="I104" s="370"/>
    </row>
    <row r="105" spans="1:9" ht="28.5" customHeight="1" x14ac:dyDescent="0.25">
      <c r="A105" s="1477"/>
      <c r="B105" s="1494"/>
      <c r="C105" s="1484"/>
      <c r="D105" s="1507"/>
      <c r="E105" s="473" t="s">
        <v>172</v>
      </c>
      <c r="F105" s="472"/>
      <c r="G105" s="370"/>
      <c r="H105" s="370"/>
      <c r="I105" s="370"/>
    </row>
    <row r="106" spans="1:9" ht="26.25" thickBot="1" x14ac:dyDescent="0.3">
      <c r="A106" s="1478"/>
      <c r="B106" s="1498"/>
      <c r="C106" s="1503"/>
      <c r="D106" s="1508"/>
      <c r="E106" s="497" t="s">
        <v>174</v>
      </c>
      <c r="F106" s="507"/>
      <c r="G106" s="370"/>
      <c r="H106" s="370"/>
      <c r="I106" s="370"/>
    </row>
    <row r="107" spans="1:9" ht="26.25" customHeight="1" x14ac:dyDescent="0.25">
      <c r="A107" s="1481" t="s">
        <v>30</v>
      </c>
      <c r="B107" s="1493" t="s">
        <v>206</v>
      </c>
      <c r="C107" s="1483" t="s">
        <v>56</v>
      </c>
      <c r="D107" s="1485" t="s">
        <v>42</v>
      </c>
      <c r="E107" s="477" t="s">
        <v>171</v>
      </c>
      <c r="F107" s="476"/>
      <c r="G107" s="370"/>
      <c r="H107" s="370"/>
      <c r="I107" s="370"/>
    </row>
    <row r="108" spans="1:9" ht="38.25" x14ac:dyDescent="0.25">
      <c r="A108" s="1477"/>
      <c r="B108" s="1494"/>
      <c r="C108" s="1484"/>
      <c r="D108" s="1486"/>
      <c r="E108" s="473" t="s">
        <v>172</v>
      </c>
      <c r="F108" s="472"/>
      <c r="G108" s="370"/>
      <c r="H108" s="370"/>
      <c r="I108" s="370"/>
    </row>
    <row r="109" spans="1:9" ht="26.25" thickBot="1" x14ac:dyDescent="0.3">
      <c r="A109" s="1477"/>
      <c r="B109" s="1494"/>
      <c r="C109" s="1503"/>
      <c r="D109" s="1487"/>
      <c r="E109" s="497" t="s">
        <v>174</v>
      </c>
      <c r="F109" s="511"/>
      <c r="G109" s="370"/>
      <c r="H109" s="370"/>
      <c r="I109" s="370"/>
    </row>
    <row r="110" spans="1:9" ht="22.5" customHeight="1" x14ac:dyDescent="0.25">
      <c r="A110" s="1477"/>
      <c r="B110" s="1494"/>
      <c r="C110" s="1483" t="s">
        <v>57</v>
      </c>
      <c r="D110" s="1485" t="s">
        <v>281</v>
      </c>
      <c r="E110" s="477" t="s">
        <v>171</v>
      </c>
      <c r="F110" s="476"/>
      <c r="G110" s="370"/>
      <c r="H110" s="370"/>
      <c r="I110" s="370"/>
    </row>
    <row r="111" spans="1:9" ht="38.25" x14ac:dyDescent="0.25">
      <c r="A111" s="1477"/>
      <c r="B111" s="1494"/>
      <c r="C111" s="1484"/>
      <c r="D111" s="1486"/>
      <c r="E111" s="473" t="s">
        <v>172</v>
      </c>
      <c r="F111" s="472"/>
      <c r="G111" s="370"/>
      <c r="H111" s="370"/>
      <c r="I111" s="370"/>
    </row>
    <row r="112" spans="1:9" ht="26.25" thickBot="1" x14ac:dyDescent="0.3">
      <c r="A112" s="1477"/>
      <c r="B112" s="1494"/>
      <c r="C112" s="1484"/>
      <c r="D112" s="1486"/>
      <c r="E112" s="494" t="s">
        <v>174</v>
      </c>
      <c r="F112" s="507"/>
      <c r="G112" s="370"/>
      <c r="H112" s="370"/>
      <c r="I112" s="370"/>
    </row>
    <row r="113" spans="1:9" ht="24" customHeight="1" x14ac:dyDescent="0.25">
      <c r="A113" s="1477"/>
      <c r="B113" s="1494"/>
      <c r="C113" s="1483" t="s">
        <v>240</v>
      </c>
      <c r="D113" s="1485" t="s">
        <v>241</v>
      </c>
      <c r="E113" s="492" t="s">
        <v>171</v>
      </c>
      <c r="F113" s="510"/>
      <c r="G113" s="370"/>
      <c r="H113" s="370"/>
      <c r="I113" s="370"/>
    </row>
    <row r="114" spans="1:9" ht="38.25" x14ac:dyDescent="0.25">
      <c r="A114" s="1477"/>
      <c r="B114" s="1494"/>
      <c r="C114" s="1488"/>
      <c r="D114" s="1490"/>
      <c r="E114" s="490" t="s">
        <v>172</v>
      </c>
      <c r="F114" s="509"/>
      <c r="G114" s="370"/>
      <c r="H114" s="370"/>
      <c r="I114" s="370"/>
    </row>
    <row r="115" spans="1:9" ht="26.25" thickBot="1" x14ac:dyDescent="0.3">
      <c r="A115" s="1477"/>
      <c r="B115" s="1494"/>
      <c r="C115" s="1489"/>
      <c r="D115" s="1491"/>
      <c r="E115" s="488" t="s">
        <v>174</v>
      </c>
      <c r="F115" s="508"/>
      <c r="G115" s="338"/>
      <c r="H115" s="370"/>
      <c r="I115" s="370"/>
    </row>
    <row r="116" spans="1:9" ht="25.5" customHeight="1" x14ac:dyDescent="0.25">
      <c r="A116" s="1477"/>
      <c r="B116" s="1494"/>
      <c r="C116" s="1484" t="s">
        <v>242</v>
      </c>
      <c r="D116" s="1486" t="s">
        <v>43</v>
      </c>
      <c r="E116" s="485" t="s">
        <v>171</v>
      </c>
      <c r="F116" s="484"/>
      <c r="G116" s="369"/>
      <c r="H116" s="369"/>
      <c r="I116" s="369"/>
    </row>
    <row r="117" spans="1:9" ht="38.25" x14ac:dyDescent="0.25">
      <c r="A117" s="1477"/>
      <c r="B117" s="1494"/>
      <c r="C117" s="1484"/>
      <c r="D117" s="1486"/>
      <c r="E117" s="473" t="s">
        <v>172</v>
      </c>
      <c r="F117" s="472"/>
      <c r="G117" s="369"/>
      <c r="H117" s="369"/>
      <c r="I117" s="369"/>
    </row>
    <row r="118" spans="1:9" ht="26.25" thickBot="1" x14ac:dyDescent="0.3">
      <c r="A118" s="1477"/>
      <c r="B118" s="1494"/>
      <c r="C118" s="1503"/>
      <c r="D118" s="1487"/>
      <c r="E118" s="497" t="s">
        <v>174</v>
      </c>
      <c r="F118" s="511"/>
      <c r="G118" s="369"/>
      <c r="H118" s="369"/>
      <c r="I118" s="369"/>
    </row>
    <row r="119" spans="1:9" ht="25.5" x14ac:dyDescent="0.25">
      <c r="A119" s="1477"/>
      <c r="B119" s="1494"/>
      <c r="C119" s="1483" t="s">
        <v>243</v>
      </c>
      <c r="D119" s="1485" t="s">
        <v>239</v>
      </c>
      <c r="E119" s="477" t="s">
        <v>171</v>
      </c>
      <c r="F119" s="476"/>
      <c r="G119" s="369"/>
      <c r="H119" s="369"/>
      <c r="I119" s="369"/>
    </row>
    <row r="120" spans="1:9" ht="38.25" x14ac:dyDescent="0.25">
      <c r="A120" s="1477"/>
      <c r="B120" s="1494"/>
      <c r="C120" s="1484"/>
      <c r="D120" s="1486"/>
      <c r="E120" s="473" t="s">
        <v>172</v>
      </c>
      <c r="F120" s="472"/>
      <c r="G120" s="369"/>
      <c r="H120" s="369"/>
      <c r="I120" s="369"/>
    </row>
    <row r="121" spans="1:9" ht="26.25" customHeight="1" thickBot="1" x14ac:dyDescent="0.3">
      <c r="A121" s="1477"/>
      <c r="B121" s="1494"/>
      <c r="C121" s="1503"/>
      <c r="D121" s="1487"/>
      <c r="E121" s="497" t="s">
        <v>174</v>
      </c>
      <c r="F121" s="511"/>
      <c r="G121" s="369"/>
      <c r="H121" s="369"/>
      <c r="I121" s="369"/>
    </row>
    <row r="122" spans="1:9" ht="26.25" customHeight="1" x14ac:dyDescent="0.25">
      <c r="A122" s="1477"/>
      <c r="B122" s="1494"/>
      <c r="C122" s="1483" t="s">
        <v>244</v>
      </c>
      <c r="D122" s="1485" t="s">
        <v>44</v>
      </c>
      <c r="E122" s="477" t="s">
        <v>171</v>
      </c>
      <c r="F122" s="476"/>
      <c r="G122" s="369"/>
      <c r="H122" s="369"/>
      <c r="I122" s="369"/>
    </row>
    <row r="123" spans="1:9" ht="26.25" customHeight="1" x14ac:dyDescent="0.25">
      <c r="A123" s="1477"/>
      <c r="B123" s="1494"/>
      <c r="C123" s="1484"/>
      <c r="D123" s="1486"/>
      <c r="E123" s="473" t="s">
        <v>172</v>
      </c>
      <c r="F123" s="472"/>
      <c r="G123" s="369"/>
      <c r="H123" s="369"/>
      <c r="I123" s="369"/>
    </row>
    <row r="124" spans="1:9" ht="26.25" customHeight="1" thickBot="1" x14ac:dyDescent="0.3">
      <c r="A124" s="1477"/>
      <c r="B124" s="1494"/>
      <c r="C124" s="1484"/>
      <c r="D124" s="1486"/>
      <c r="E124" s="494" t="s">
        <v>174</v>
      </c>
      <c r="F124" s="507"/>
      <c r="G124" s="369"/>
      <c r="H124" s="369"/>
      <c r="I124" s="369"/>
    </row>
    <row r="125" spans="1:9" ht="25.5" x14ac:dyDescent="0.25">
      <c r="A125" s="1477"/>
      <c r="B125" s="1494"/>
      <c r="C125" s="1483" t="s">
        <v>245</v>
      </c>
      <c r="D125" s="1485" t="s">
        <v>222</v>
      </c>
      <c r="E125" s="492" t="s">
        <v>171</v>
      </c>
      <c r="F125" s="510"/>
      <c r="G125" s="369"/>
      <c r="H125" s="369"/>
      <c r="I125" s="369"/>
    </row>
    <row r="126" spans="1:9" ht="38.25" x14ac:dyDescent="0.25">
      <c r="A126" s="1477"/>
      <c r="B126" s="1494"/>
      <c r="C126" s="1488"/>
      <c r="D126" s="1490"/>
      <c r="E126" s="490" t="s">
        <v>172</v>
      </c>
      <c r="F126" s="509"/>
      <c r="G126" s="369"/>
      <c r="H126" s="369"/>
      <c r="I126" s="369"/>
    </row>
    <row r="127" spans="1:9" ht="24.75" customHeight="1" thickBot="1" x14ac:dyDescent="0.3">
      <c r="A127" s="1477"/>
      <c r="B127" s="1494"/>
      <c r="C127" s="1489"/>
      <c r="D127" s="1491"/>
      <c r="E127" s="488" t="s">
        <v>174</v>
      </c>
      <c r="F127" s="508"/>
      <c r="G127" s="369"/>
      <c r="H127" s="369"/>
      <c r="I127" s="369"/>
    </row>
    <row r="128" spans="1:9" ht="25.5" x14ac:dyDescent="0.25">
      <c r="A128" s="1477"/>
      <c r="B128" s="1494"/>
      <c r="C128" s="1483" t="s">
        <v>246</v>
      </c>
      <c r="D128" s="1485" t="s">
        <v>146</v>
      </c>
      <c r="E128" s="477" t="s">
        <v>171</v>
      </c>
      <c r="F128" s="476"/>
      <c r="G128" s="369"/>
      <c r="H128" s="369"/>
      <c r="I128" s="369"/>
    </row>
    <row r="129" spans="1:9" ht="38.25" x14ac:dyDescent="0.25">
      <c r="A129" s="1477"/>
      <c r="B129" s="1494"/>
      <c r="C129" s="1484"/>
      <c r="D129" s="1486"/>
      <c r="E129" s="473" t="s">
        <v>172</v>
      </c>
      <c r="F129" s="472"/>
      <c r="G129" s="369"/>
      <c r="H129" s="369"/>
      <c r="I129" s="369"/>
    </row>
    <row r="130" spans="1:9" ht="26.25" thickBot="1" x14ac:dyDescent="0.3">
      <c r="A130" s="1478"/>
      <c r="B130" s="1498"/>
      <c r="C130" s="1484"/>
      <c r="D130" s="1486"/>
      <c r="E130" s="497" t="s">
        <v>174</v>
      </c>
      <c r="F130" s="507"/>
      <c r="G130" s="369"/>
      <c r="H130" s="369"/>
      <c r="I130" s="369"/>
    </row>
    <row r="131" spans="1:9" ht="51" customHeight="1" x14ac:dyDescent="0.25">
      <c r="A131" s="1481" t="s">
        <v>31</v>
      </c>
      <c r="B131" s="1482" t="s">
        <v>216</v>
      </c>
      <c r="C131" s="506" t="s">
        <v>58</v>
      </c>
      <c r="D131" s="478" t="s">
        <v>217</v>
      </c>
      <c r="E131" s="477" t="s">
        <v>154</v>
      </c>
      <c r="F131" s="476"/>
      <c r="G131" s="338"/>
      <c r="H131" s="369"/>
      <c r="I131" s="369"/>
    </row>
    <row r="132" spans="1:9" ht="63.75" thickBot="1" x14ac:dyDescent="0.3">
      <c r="A132" s="1477"/>
      <c r="B132" s="1479"/>
      <c r="C132" s="505" t="s">
        <v>247</v>
      </c>
      <c r="D132" s="495" t="s">
        <v>218</v>
      </c>
      <c r="E132" s="494" t="s">
        <v>48</v>
      </c>
      <c r="F132" s="504"/>
      <c r="G132" s="338"/>
      <c r="H132" s="369"/>
      <c r="I132" s="369"/>
    </row>
    <row r="133" spans="1:9" ht="79.5" thickBot="1" x14ac:dyDescent="0.3">
      <c r="A133" s="503" t="s">
        <v>33</v>
      </c>
      <c r="B133" s="502" t="s">
        <v>282</v>
      </c>
      <c r="C133" s="501" t="s">
        <v>65</v>
      </c>
      <c r="D133" s="500" t="s">
        <v>283</v>
      </c>
      <c r="E133" s="499" t="s">
        <v>53</v>
      </c>
      <c r="F133" s="498"/>
      <c r="G133" s="338"/>
      <c r="H133" s="369"/>
      <c r="I133" s="369"/>
    </row>
    <row r="134" spans="1:9" ht="31.5" x14ac:dyDescent="0.25">
      <c r="A134" s="1481" t="s">
        <v>34</v>
      </c>
      <c r="B134" s="1482" t="s">
        <v>207</v>
      </c>
      <c r="C134" s="479" t="s">
        <v>66</v>
      </c>
      <c r="D134" s="478" t="s">
        <v>208</v>
      </c>
      <c r="E134" s="477" t="s">
        <v>55</v>
      </c>
      <c r="F134" s="476"/>
      <c r="G134" s="338"/>
      <c r="H134" s="369"/>
      <c r="I134" s="369"/>
    </row>
    <row r="135" spans="1:9" ht="48" thickBot="1" x14ac:dyDescent="0.3">
      <c r="A135" s="1478"/>
      <c r="B135" s="1480"/>
      <c r="C135" s="471" t="s">
        <v>67</v>
      </c>
      <c r="D135" s="470" t="s">
        <v>45</v>
      </c>
      <c r="E135" s="497" t="s">
        <v>48</v>
      </c>
      <c r="F135" s="468"/>
      <c r="G135" s="338"/>
      <c r="H135" s="369"/>
      <c r="I135" s="369"/>
    </row>
    <row r="136" spans="1:9" ht="22.5" customHeight="1" x14ac:dyDescent="0.25">
      <c r="A136" s="1477" t="s">
        <v>35</v>
      </c>
      <c r="B136" s="1479" t="s">
        <v>175</v>
      </c>
      <c r="C136" s="486" t="s">
        <v>252</v>
      </c>
      <c r="D136" s="474" t="s">
        <v>176</v>
      </c>
      <c r="E136" s="485" t="s">
        <v>50</v>
      </c>
      <c r="F136" s="484"/>
      <c r="G136" s="338"/>
      <c r="H136" s="369"/>
      <c r="I136" s="369"/>
    </row>
    <row r="137" spans="1:9" ht="45" customHeight="1" x14ac:dyDescent="0.25">
      <c r="A137" s="1477"/>
      <c r="B137" s="1479"/>
      <c r="C137" s="486" t="s">
        <v>253</v>
      </c>
      <c r="D137" s="474" t="s">
        <v>177</v>
      </c>
      <c r="E137" s="485" t="s">
        <v>50</v>
      </c>
      <c r="F137" s="484"/>
      <c r="G137" s="338"/>
      <c r="H137" s="338"/>
      <c r="I137" s="338"/>
    </row>
    <row r="138" spans="1:9" ht="33" customHeight="1" x14ac:dyDescent="0.25">
      <c r="A138" s="1477"/>
      <c r="B138" s="1479"/>
      <c r="C138" s="475" t="s">
        <v>254</v>
      </c>
      <c r="D138" s="481" t="s">
        <v>47</v>
      </c>
      <c r="E138" s="473" t="s">
        <v>155</v>
      </c>
      <c r="F138" s="472"/>
      <c r="G138" s="338"/>
      <c r="H138" s="338"/>
      <c r="I138" s="338"/>
    </row>
    <row r="139" spans="1:9" ht="77.25" customHeight="1" x14ac:dyDescent="0.25">
      <c r="A139" s="1477"/>
      <c r="B139" s="1479"/>
      <c r="C139" s="475" t="s">
        <v>255</v>
      </c>
      <c r="D139" s="481" t="s">
        <v>186</v>
      </c>
      <c r="E139" s="473" t="s">
        <v>48</v>
      </c>
      <c r="F139" s="472"/>
      <c r="G139" s="370"/>
      <c r="H139" s="370"/>
      <c r="I139" s="370"/>
    </row>
    <row r="140" spans="1:9" ht="54" customHeight="1" thickBot="1" x14ac:dyDescent="0.3">
      <c r="A140" s="1478"/>
      <c r="B140" s="1480"/>
      <c r="C140" s="496" t="s">
        <v>256</v>
      </c>
      <c r="D140" s="495" t="s">
        <v>209</v>
      </c>
      <c r="E140" s="494" t="s">
        <v>48</v>
      </c>
      <c r="F140" s="493"/>
      <c r="G140" s="338"/>
      <c r="H140" s="338"/>
      <c r="I140" s="338"/>
    </row>
    <row r="141" spans="1:9" ht="45.75" customHeight="1" x14ac:dyDescent="0.25">
      <c r="A141" s="1481" t="s">
        <v>37</v>
      </c>
      <c r="B141" s="1482" t="s">
        <v>187</v>
      </c>
      <c r="C141" s="479" t="s">
        <v>68</v>
      </c>
      <c r="D141" s="478" t="s">
        <v>210</v>
      </c>
      <c r="E141" s="492" t="s">
        <v>48</v>
      </c>
      <c r="F141" s="491"/>
      <c r="G141" s="338"/>
      <c r="H141" s="338"/>
      <c r="I141" s="338"/>
    </row>
    <row r="142" spans="1:9" ht="48" customHeight="1" x14ac:dyDescent="0.25">
      <c r="A142" s="1505"/>
      <c r="B142" s="1504"/>
      <c r="C142" s="475" t="s">
        <v>69</v>
      </c>
      <c r="D142" s="481" t="s">
        <v>189</v>
      </c>
      <c r="E142" s="490" t="s">
        <v>53</v>
      </c>
      <c r="F142" s="489"/>
      <c r="G142" s="338"/>
      <c r="H142" s="338"/>
      <c r="I142" s="338"/>
    </row>
    <row r="143" spans="1:9" ht="38.25" customHeight="1" thickBot="1" x14ac:dyDescent="0.3">
      <c r="A143" s="1492"/>
      <c r="B143" s="1502"/>
      <c r="C143" s="471" t="s">
        <v>70</v>
      </c>
      <c r="D143" s="470" t="s">
        <v>188</v>
      </c>
      <c r="E143" s="488" t="s">
        <v>53</v>
      </c>
      <c r="F143" s="487"/>
      <c r="G143" s="338"/>
      <c r="H143" s="338"/>
      <c r="I143" s="338"/>
    </row>
    <row r="144" spans="1:9" ht="36" customHeight="1" x14ac:dyDescent="0.25">
      <c r="A144" s="1481" t="s">
        <v>39</v>
      </c>
      <c r="B144" s="1493" t="s">
        <v>139</v>
      </c>
      <c r="C144" s="486" t="s">
        <v>160</v>
      </c>
      <c r="D144" s="474" t="s">
        <v>211</v>
      </c>
      <c r="E144" s="485" t="s">
        <v>48</v>
      </c>
      <c r="F144" s="484"/>
      <c r="G144" s="338"/>
      <c r="H144" s="338"/>
      <c r="I144" s="338"/>
    </row>
    <row r="145" spans="1:9" s="482" customFormat="1" ht="33.75" customHeight="1" x14ac:dyDescent="0.25">
      <c r="A145" s="1477"/>
      <c r="B145" s="1494"/>
      <c r="C145" s="475" t="s">
        <v>190</v>
      </c>
      <c r="D145" s="474" t="s">
        <v>212</v>
      </c>
      <c r="E145" s="473" t="s">
        <v>156</v>
      </c>
      <c r="F145" s="472"/>
      <c r="G145" s="483"/>
      <c r="H145" s="483"/>
      <c r="I145" s="483"/>
    </row>
    <row r="146" spans="1:9" ht="26.25" customHeight="1" thickBot="1" x14ac:dyDescent="0.3">
      <c r="A146" s="1477"/>
      <c r="B146" s="1479"/>
      <c r="C146" s="475" t="s">
        <v>191</v>
      </c>
      <c r="D146" s="481" t="s">
        <v>180</v>
      </c>
      <c r="E146" s="480" t="s">
        <v>157</v>
      </c>
      <c r="F146" s="472"/>
      <c r="G146" s="338"/>
      <c r="H146" s="338"/>
      <c r="I146" s="338"/>
    </row>
    <row r="147" spans="1:9" ht="39" customHeight="1" x14ac:dyDescent="0.25">
      <c r="A147" s="1481" t="s">
        <v>162</v>
      </c>
      <c r="B147" s="1493" t="s">
        <v>181</v>
      </c>
      <c r="C147" s="479" t="s">
        <v>140</v>
      </c>
      <c r="D147" s="478" t="s">
        <v>213</v>
      </c>
      <c r="E147" s="477" t="s">
        <v>48</v>
      </c>
      <c r="F147" s="476"/>
      <c r="G147" s="338"/>
      <c r="H147" s="338"/>
      <c r="I147" s="338"/>
    </row>
    <row r="148" spans="1:9" ht="33" customHeight="1" x14ac:dyDescent="0.25">
      <c r="A148" s="1477"/>
      <c r="B148" s="1494"/>
      <c r="C148" s="475" t="s">
        <v>141</v>
      </c>
      <c r="D148" s="474" t="s">
        <v>212</v>
      </c>
      <c r="E148" s="473" t="s">
        <v>156</v>
      </c>
      <c r="F148" s="472"/>
      <c r="G148" s="338"/>
      <c r="H148" s="338"/>
      <c r="I148" s="338"/>
    </row>
    <row r="149" spans="1:9" ht="42.75" customHeight="1" thickBot="1" x14ac:dyDescent="0.3">
      <c r="A149" s="1478"/>
      <c r="B149" s="1498"/>
      <c r="C149" s="471" t="s">
        <v>142</v>
      </c>
      <c r="D149" s="470" t="s">
        <v>180</v>
      </c>
      <c r="E149" s="469" t="s">
        <v>157</v>
      </c>
      <c r="F149" s="468"/>
      <c r="G149" s="338"/>
      <c r="H149" s="338"/>
      <c r="I149" s="338"/>
    </row>
    <row r="150" spans="1:9" x14ac:dyDescent="0.25">
      <c r="G150" s="338"/>
      <c r="H150" s="338"/>
      <c r="I150" s="338"/>
    </row>
    <row r="151" spans="1:9" x14ac:dyDescent="0.25">
      <c r="G151" s="338"/>
      <c r="H151" s="338"/>
      <c r="I151" s="338"/>
    </row>
    <row r="152" spans="1:9" x14ac:dyDescent="0.25">
      <c r="D152" s="466" t="s">
        <v>219</v>
      </c>
      <c r="G152" s="338"/>
      <c r="H152" s="338"/>
      <c r="I152" s="338"/>
    </row>
    <row r="153" spans="1:9" ht="24" customHeight="1" x14ac:dyDescent="0.25">
      <c r="G153" s="338"/>
      <c r="H153" s="338"/>
      <c r="I153" s="338"/>
    </row>
    <row r="154" spans="1:9" x14ac:dyDescent="0.25">
      <c r="G154" s="338"/>
      <c r="H154" s="338"/>
      <c r="I154" s="338"/>
    </row>
    <row r="155" spans="1:9" ht="19.5" customHeight="1" x14ac:dyDescent="0.25">
      <c r="G155" s="338"/>
      <c r="H155" s="338"/>
      <c r="I155" s="338"/>
    </row>
    <row r="156" spans="1:9" ht="24" customHeight="1" x14ac:dyDescent="0.25">
      <c r="G156" s="338"/>
      <c r="H156" s="338"/>
      <c r="I156" s="338"/>
    </row>
    <row r="157" spans="1:9" ht="24" customHeight="1" x14ac:dyDescent="0.25"/>
    <row r="158" spans="1:9" ht="25.5" customHeight="1" x14ac:dyDescent="0.25"/>
  </sheetData>
  <mergeCells count="95">
    <mergeCell ref="C95:C97"/>
    <mergeCell ref="C72:C73"/>
    <mergeCell ref="D75:D76"/>
    <mergeCell ref="C75:C76"/>
    <mergeCell ref="D1:F1"/>
    <mergeCell ref="D72:D73"/>
    <mergeCell ref="D83:D85"/>
    <mergeCell ref="C13:C14"/>
    <mergeCell ref="D13:D14"/>
    <mergeCell ref="C89:C91"/>
    <mergeCell ref="D89:D91"/>
    <mergeCell ref="C92:C94"/>
    <mergeCell ref="D92:D94"/>
    <mergeCell ref="C17:C18"/>
    <mergeCell ref="C19:C20"/>
    <mergeCell ref="D8:D9"/>
    <mergeCell ref="A147:A149"/>
    <mergeCell ref="B147:B149"/>
    <mergeCell ref="D19:D20"/>
    <mergeCell ref="D17:D18"/>
    <mergeCell ref="A83:A106"/>
    <mergeCell ref="B83:B106"/>
    <mergeCell ref="A77:A82"/>
    <mergeCell ref="B77:B82"/>
    <mergeCell ref="D101:D103"/>
    <mergeCell ref="D98:D100"/>
    <mergeCell ref="D95:D97"/>
    <mergeCell ref="D86:D88"/>
    <mergeCell ref="C83:C85"/>
    <mergeCell ref="C86:C88"/>
    <mergeCell ref="C104:C106"/>
    <mergeCell ref="C98:C100"/>
    <mergeCell ref="C101:C103"/>
    <mergeCell ref="D116:D118"/>
    <mergeCell ref="A144:A146"/>
    <mergeCell ref="B144:B146"/>
    <mergeCell ref="B141:B143"/>
    <mergeCell ref="A141:A143"/>
    <mergeCell ref="D107:D109"/>
    <mergeCell ref="C128:C130"/>
    <mergeCell ref="C110:C112"/>
    <mergeCell ref="C116:C118"/>
    <mergeCell ref="D110:D112"/>
    <mergeCell ref="D104:D106"/>
    <mergeCell ref="C113:C115"/>
    <mergeCell ref="D113:D115"/>
    <mergeCell ref="C107:C109"/>
    <mergeCell ref="C119:C121"/>
    <mergeCell ref="D11:D12"/>
    <mergeCell ref="D15:D16"/>
    <mergeCell ref="C8:C9"/>
    <mergeCell ref="C11:C12"/>
    <mergeCell ref="C15:C16"/>
    <mergeCell ref="A8:A9"/>
    <mergeCell ref="B8:B9"/>
    <mergeCell ref="A107:A130"/>
    <mergeCell ref="B107:B130"/>
    <mergeCell ref="A5:A6"/>
    <mergeCell ref="B5:B6"/>
    <mergeCell ref="B49:B70"/>
    <mergeCell ref="B10:B20"/>
    <mergeCell ref="A10:A20"/>
    <mergeCell ref="A33:A34"/>
    <mergeCell ref="A35:A39"/>
    <mergeCell ref="A49:A70"/>
    <mergeCell ref="B22:B24"/>
    <mergeCell ref="B40:B43"/>
    <mergeCell ref="A40:A43"/>
    <mergeCell ref="A44:A45"/>
    <mergeCell ref="B31:B32"/>
    <mergeCell ref="A26:A28"/>
    <mergeCell ref="B26:B28"/>
    <mergeCell ref="A22:A24"/>
    <mergeCell ref="A71:A76"/>
    <mergeCell ref="B71:B76"/>
    <mergeCell ref="B35:B39"/>
    <mergeCell ref="A46:A48"/>
    <mergeCell ref="B46:B48"/>
    <mergeCell ref="B44:B45"/>
    <mergeCell ref="B33:B34"/>
    <mergeCell ref="A29:A30"/>
    <mergeCell ref="B29:B30"/>
    <mergeCell ref="A31:A32"/>
    <mergeCell ref="C122:C124"/>
    <mergeCell ref="D128:D130"/>
    <mergeCell ref="D122:D124"/>
    <mergeCell ref="D119:D121"/>
    <mergeCell ref="C125:C127"/>
    <mergeCell ref="D125:D127"/>
    <mergeCell ref="A136:A140"/>
    <mergeCell ref="B136:B140"/>
    <mergeCell ref="A134:A135"/>
    <mergeCell ref="B134:B135"/>
    <mergeCell ref="A131:A132"/>
    <mergeCell ref="B131:B132"/>
  </mergeCells>
  <pageMargins left="0.7" right="0.7" top="0.75" bottom="0.75" header="0.3" footer="0.3"/>
  <pageSetup paperSize="8" scale="59"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pageSetUpPr fitToPage="1"/>
  </sheetPr>
  <dimension ref="A1:I138"/>
  <sheetViews>
    <sheetView zoomScale="60" zoomScaleNormal="60" workbookViewId="0">
      <selection activeCell="L20" sqref="L20"/>
    </sheetView>
  </sheetViews>
  <sheetFormatPr defaultColWidth="9.140625" defaultRowHeight="15.75" x14ac:dyDescent="0.25"/>
  <cols>
    <col min="1" max="1" width="5.7109375" style="372" customWidth="1"/>
    <col min="2" max="2" width="37.28515625" style="339" customWidth="1"/>
    <col min="3" max="3" width="7.7109375" style="373" customWidth="1"/>
    <col min="4" max="4" width="53.42578125" style="339" customWidth="1"/>
    <col min="5" max="5" width="33.42578125" style="566" customWidth="1"/>
    <col min="6" max="6" width="52" style="466" customWidth="1"/>
    <col min="7" max="16384" width="9.140625" style="339"/>
  </cols>
  <sheetData>
    <row r="1" spans="1:9" ht="41.25" customHeight="1" thickBot="1" x14ac:dyDescent="0.3">
      <c r="D1" s="1525" t="s">
        <v>5577</v>
      </c>
      <c r="E1" s="1525"/>
      <c r="F1" s="1525"/>
    </row>
    <row r="2" spans="1:9" s="324" customFormat="1" ht="16.5" thickBot="1" x14ac:dyDescent="0.3">
      <c r="A2" s="565" t="s">
        <v>0</v>
      </c>
      <c r="B2" s="564" t="s">
        <v>5314</v>
      </c>
      <c r="C2" s="563" t="s">
        <v>149</v>
      </c>
      <c r="D2" s="562" t="s">
        <v>5315</v>
      </c>
      <c r="E2" s="562" t="s">
        <v>150</v>
      </c>
      <c r="F2" s="561" t="s">
        <v>5576</v>
      </c>
      <c r="G2" s="338"/>
      <c r="H2" s="338"/>
    </row>
    <row r="3" spans="1:9" s="330" customFormat="1" ht="16.5" thickBot="1" x14ac:dyDescent="0.3">
      <c r="A3" s="546" t="s">
        <v>1</v>
      </c>
      <c r="B3" s="558" t="s">
        <v>2</v>
      </c>
      <c r="C3" s="621" t="s">
        <v>3</v>
      </c>
      <c r="D3" s="628" t="s">
        <v>4</v>
      </c>
      <c r="E3" s="628" t="s">
        <v>9</v>
      </c>
      <c r="F3" s="556" t="s">
        <v>11</v>
      </c>
      <c r="G3" s="369"/>
      <c r="H3" s="369"/>
      <c r="I3" s="369"/>
    </row>
    <row r="4" spans="1:9" s="334" customFormat="1" x14ac:dyDescent="0.25">
      <c r="A4" s="1481" t="s">
        <v>147</v>
      </c>
      <c r="B4" s="1528" t="s">
        <v>5316</v>
      </c>
      <c r="C4" s="624" t="s">
        <v>151</v>
      </c>
      <c r="D4" s="623" t="s">
        <v>148</v>
      </c>
      <c r="E4" s="622" t="s">
        <v>48</v>
      </c>
      <c r="F4" s="103"/>
      <c r="G4" s="337"/>
      <c r="H4" s="337"/>
    </row>
    <row r="5" spans="1:9" s="334" customFormat="1" ht="16.5" thickBot="1" x14ac:dyDescent="0.3">
      <c r="A5" s="1478"/>
      <c r="B5" s="1529"/>
      <c r="C5" s="627" t="s">
        <v>5317</v>
      </c>
      <c r="D5" s="626" t="s">
        <v>5575</v>
      </c>
      <c r="E5" s="620" t="s">
        <v>48</v>
      </c>
      <c r="F5" s="625"/>
      <c r="G5" s="337"/>
      <c r="H5" s="337"/>
    </row>
    <row r="6" spans="1:9" ht="47.25" customHeight="1" x14ac:dyDescent="0.25">
      <c r="A6" s="1481" t="s">
        <v>1</v>
      </c>
      <c r="B6" s="1493" t="s">
        <v>5574</v>
      </c>
      <c r="C6" s="624" t="s">
        <v>71</v>
      </c>
      <c r="D6" s="623" t="s">
        <v>5319</v>
      </c>
      <c r="E6" s="622" t="s">
        <v>48</v>
      </c>
      <c r="F6" s="103"/>
      <c r="G6" s="338"/>
      <c r="H6" s="338"/>
    </row>
    <row r="7" spans="1:9" ht="53.25" customHeight="1" thickBot="1" x14ac:dyDescent="0.3">
      <c r="A7" s="1478"/>
      <c r="B7" s="1498"/>
      <c r="C7" s="621" t="s">
        <v>72</v>
      </c>
      <c r="D7" s="571" t="s">
        <v>6</v>
      </c>
      <c r="E7" s="620" t="s">
        <v>48</v>
      </c>
      <c r="F7" s="104" t="s">
        <v>219</v>
      </c>
      <c r="G7" s="338"/>
      <c r="H7" s="338"/>
    </row>
    <row r="8" spans="1:9" ht="34.5" customHeight="1" thickBot="1" x14ac:dyDescent="0.3">
      <c r="A8" s="615" t="s">
        <v>2</v>
      </c>
      <c r="B8" s="545" t="s">
        <v>7</v>
      </c>
      <c r="C8" s="523" t="s">
        <v>73</v>
      </c>
      <c r="D8" s="571" t="s">
        <v>5320</v>
      </c>
      <c r="E8" s="619" t="s">
        <v>49</v>
      </c>
      <c r="F8" s="618"/>
      <c r="G8" s="338"/>
      <c r="H8" s="338"/>
    </row>
    <row r="9" spans="1:9" ht="21" customHeight="1" x14ac:dyDescent="0.25">
      <c r="A9" s="1518" t="s">
        <v>3</v>
      </c>
      <c r="B9" s="1496" t="s">
        <v>8</v>
      </c>
      <c r="C9" s="1483" t="s">
        <v>74</v>
      </c>
      <c r="D9" s="1485" t="s">
        <v>5322</v>
      </c>
      <c r="E9" s="492" t="s">
        <v>170</v>
      </c>
      <c r="F9" s="617"/>
      <c r="G9" s="338"/>
      <c r="H9" s="338"/>
    </row>
    <row r="10" spans="1:9" ht="55.5" customHeight="1" thickBot="1" x14ac:dyDescent="0.3">
      <c r="A10" s="1519"/>
      <c r="B10" s="1497"/>
      <c r="C10" s="1503"/>
      <c r="D10" s="1487"/>
      <c r="E10" s="488" t="s">
        <v>259</v>
      </c>
      <c r="F10" s="616"/>
      <c r="G10" s="338"/>
      <c r="H10" s="338"/>
    </row>
    <row r="11" spans="1:9" ht="32.25" customHeight="1" x14ac:dyDescent="0.25">
      <c r="A11" s="1518" t="s">
        <v>4</v>
      </c>
      <c r="B11" s="1496" t="s">
        <v>163</v>
      </c>
      <c r="C11" s="1483" t="s">
        <v>79</v>
      </c>
      <c r="D11" s="1485" t="s">
        <v>5573</v>
      </c>
      <c r="E11" s="492" t="s">
        <v>48</v>
      </c>
      <c r="F11" s="569"/>
      <c r="G11" s="338"/>
      <c r="H11" s="338"/>
    </row>
    <row r="12" spans="1:9" ht="36" customHeight="1" thickBot="1" x14ac:dyDescent="0.3">
      <c r="A12" s="1519"/>
      <c r="B12" s="1497"/>
      <c r="C12" s="1503"/>
      <c r="D12" s="1487"/>
      <c r="E12" s="488" t="s">
        <v>50</v>
      </c>
      <c r="F12" s="567"/>
      <c r="G12" s="338"/>
      <c r="H12" s="338"/>
    </row>
    <row r="13" spans="1:9" ht="54" customHeight="1" thickBot="1" x14ac:dyDescent="0.3">
      <c r="A13" s="615" t="s">
        <v>9</v>
      </c>
      <c r="B13" s="545" t="s">
        <v>10</v>
      </c>
      <c r="C13" s="523" t="s">
        <v>81</v>
      </c>
      <c r="D13" s="571" t="s">
        <v>5327</v>
      </c>
      <c r="E13" s="613" t="s">
        <v>48</v>
      </c>
      <c r="F13" s="570"/>
      <c r="G13" s="338"/>
      <c r="H13" s="338"/>
    </row>
    <row r="14" spans="1:9" ht="40.5" customHeight="1" x14ac:dyDescent="0.25">
      <c r="A14" s="1518" t="s">
        <v>11</v>
      </c>
      <c r="B14" s="1493" t="s">
        <v>164</v>
      </c>
      <c r="C14" s="479" t="s">
        <v>80</v>
      </c>
      <c r="D14" s="579" t="s">
        <v>5329</v>
      </c>
      <c r="E14" s="492" t="s">
        <v>48</v>
      </c>
      <c r="F14" s="569"/>
      <c r="G14" s="338"/>
      <c r="H14" s="338"/>
    </row>
    <row r="15" spans="1:9" ht="31.5" x14ac:dyDescent="0.25">
      <c r="A15" s="1520"/>
      <c r="B15" s="1494"/>
      <c r="C15" s="486" t="s">
        <v>82</v>
      </c>
      <c r="D15" s="572" t="s">
        <v>12</v>
      </c>
      <c r="E15" s="614" t="s">
        <v>48</v>
      </c>
      <c r="F15" s="573"/>
      <c r="G15" s="338"/>
      <c r="H15" s="338"/>
    </row>
    <row r="16" spans="1:9" ht="32.25" thickBot="1" x14ac:dyDescent="0.3">
      <c r="A16" s="1519"/>
      <c r="B16" s="1498"/>
      <c r="C16" s="523" t="s">
        <v>83</v>
      </c>
      <c r="D16" s="571" t="s">
        <v>5331</v>
      </c>
      <c r="E16" s="613" t="s">
        <v>48</v>
      </c>
      <c r="F16" s="570"/>
      <c r="G16" s="338"/>
      <c r="H16" s="338"/>
    </row>
    <row r="17" spans="1:9" ht="54" customHeight="1" thickBot="1" x14ac:dyDescent="0.3">
      <c r="A17" s="612" t="s">
        <v>13</v>
      </c>
      <c r="B17" s="502" t="s">
        <v>5332</v>
      </c>
      <c r="C17" s="540" t="s">
        <v>51</v>
      </c>
      <c r="D17" s="611" t="s">
        <v>5333</v>
      </c>
      <c r="E17" s="610" t="s">
        <v>152</v>
      </c>
      <c r="F17" s="609"/>
      <c r="G17" s="338"/>
      <c r="H17" s="338"/>
    </row>
    <row r="18" spans="1:9" ht="45.75" customHeight="1" x14ac:dyDescent="0.25">
      <c r="A18" s="1518" t="s">
        <v>85</v>
      </c>
      <c r="B18" s="1493" t="s">
        <v>5336</v>
      </c>
      <c r="C18" s="479" t="s">
        <v>93</v>
      </c>
      <c r="D18" s="579" t="s">
        <v>5337</v>
      </c>
      <c r="E18" s="534" t="s">
        <v>152</v>
      </c>
      <c r="F18" s="604"/>
      <c r="G18" s="338"/>
      <c r="H18" s="338"/>
    </row>
    <row r="19" spans="1:9" ht="26.25" customHeight="1" x14ac:dyDescent="0.25">
      <c r="A19" s="1520"/>
      <c r="B19" s="1494"/>
      <c r="C19" s="475" t="s">
        <v>94</v>
      </c>
      <c r="D19" s="577" t="s">
        <v>231</v>
      </c>
      <c r="E19" s="490" t="s">
        <v>52</v>
      </c>
      <c r="F19" s="607"/>
      <c r="G19" s="338"/>
      <c r="H19" s="338"/>
    </row>
    <row r="20" spans="1:9" ht="42" customHeight="1" thickBot="1" x14ac:dyDescent="0.3">
      <c r="A20" s="1492"/>
      <c r="B20" s="1495"/>
      <c r="C20" s="548" t="s">
        <v>2552</v>
      </c>
      <c r="D20" s="608" t="s">
        <v>2553</v>
      </c>
      <c r="E20" s="518" t="s">
        <v>52</v>
      </c>
      <c r="F20" s="607"/>
      <c r="G20" s="338"/>
      <c r="H20" s="338"/>
    </row>
    <row r="21" spans="1:9" ht="31.5" customHeight="1" x14ac:dyDescent="0.25">
      <c r="A21" s="1518" t="s">
        <v>86</v>
      </c>
      <c r="B21" s="1482" t="s">
        <v>266</v>
      </c>
      <c r="C21" s="479" t="s">
        <v>95</v>
      </c>
      <c r="D21" s="579" t="s">
        <v>267</v>
      </c>
      <c r="E21" s="534" t="s">
        <v>152</v>
      </c>
      <c r="F21" s="604"/>
      <c r="G21" s="338"/>
      <c r="H21" s="338"/>
    </row>
    <row r="22" spans="1:9" ht="30.75" customHeight="1" thickBot="1" x14ac:dyDescent="0.3">
      <c r="A22" s="1519"/>
      <c r="B22" s="1480"/>
      <c r="C22" s="471" t="s">
        <v>96</v>
      </c>
      <c r="D22" s="575" t="s">
        <v>231</v>
      </c>
      <c r="E22" s="488" t="s">
        <v>52</v>
      </c>
      <c r="F22" s="603"/>
      <c r="G22" s="338"/>
      <c r="H22" s="338"/>
    </row>
    <row r="23" spans="1:9" ht="59.25" customHeight="1" x14ac:dyDescent="0.25">
      <c r="A23" s="1518" t="s">
        <v>87</v>
      </c>
      <c r="B23" s="1482" t="s">
        <v>5343</v>
      </c>
      <c r="C23" s="479" t="s">
        <v>97</v>
      </c>
      <c r="D23" s="579" t="s">
        <v>269</v>
      </c>
      <c r="E23" s="534" t="s">
        <v>152</v>
      </c>
      <c r="F23" s="604"/>
      <c r="G23" s="338"/>
      <c r="H23" s="338"/>
    </row>
    <row r="24" spans="1:9" ht="37.5" customHeight="1" thickBot="1" x14ac:dyDescent="0.3">
      <c r="A24" s="1519"/>
      <c r="B24" s="1479"/>
      <c r="C24" s="496" t="s">
        <v>98</v>
      </c>
      <c r="D24" s="581" t="s">
        <v>231</v>
      </c>
      <c r="E24" s="518" t="s">
        <v>52</v>
      </c>
      <c r="F24" s="605"/>
      <c r="G24" s="338"/>
      <c r="H24" s="338"/>
    </row>
    <row r="25" spans="1:9" ht="31.5" customHeight="1" x14ac:dyDescent="0.25">
      <c r="A25" s="1518" t="s">
        <v>89</v>
      </c>
      <c r="B25" s="1482" t="s">
        <v>271</v>
      </c>
      <c r="C25" s="479" t="s">
        <v>101</v>
      </c>
      <c r="D25" s="478" t="s">
        <v>143</v>
      </c>
      <c r="E25" s="492" t="s">
        <v>55</v>
      </c>
      <c r="F25" s="606"/>
      <c r="G25" s="338"/>
      <c r="H25" s="338"/>
      <c r="I25" s="338"/>
    </row>
    <row r="26" spans="1:9" ht="31.5" customHeight="1" x14ac:dyDescent="0.25">
      <c r="A26" s="1520"/>
      <c r="B26" s="1479"/>
      <c r="C26" s="475" t="s">
        <v>102</v>
      </c>
      <c r="D26" s="481" t="s">
        <v>46</v>
      </c>
      <c r="E26" s="490" t="s">
        <v>48</v>
      </c>
      <c r="F26" s="605"/>
      <c r="G26" s="338"/>
      <c r="H26" s="338"/>
      <c r="I26" s="338"/>
    </row>
    <row r="27" spans="1:9" ht="30.75" customHeight="1" x14ac:dyDescent="0.25">
      <c r="A27" s="1520"/>
      <c r="B27" s="1479"/>
      <c r="C27" s="531" t="s">
        <v>233</v>
      </c>
      <c r="D27" s="530" t="s">
        <v>5346</v>
      </c>
      <c r="E27" s="529" t="s">
        <v>152</v>
      </c>
      <c r="F27" s="605"/>
      <c r="G27" s="338"/>
      <c r="H27" s="338"/>
      <c r="I27" s="338"/>
    </row>
    <row r="28" spans="1:9" ht="37.5" customHeight="1" thickBot="1" x14ac:dyDescent="0.3">
      <c r="A28" s="1492"/>
      <c r="B28" s="1502"/>
      <c r="C28" s="471" t="s">
        <v>234</v>
      </c>
      <c r="D28" s="470" t="s">
        <v>235</v>
      </c>
      <c r="E28" s="488" t="s">
        <v>52</v>
      </c>
      <c r="F28" s="603"/>
      <c r="G28" s="338"/>
      <c r="H28" s="338"/>
      <c r="I28" s="338"/>
    </row>
    <row r="29" spans="1:9" ht="74.25" customHeight="1" x14ac:dyDescent="0.25">
      <c r="A29" s="1518" t="s">
        <v>16</v>
      </c>
      <c r="B29" s="1493" t="s">
        <v>5349</v>
      </c>
      <c r="C29" s="479" t="s">
        <v>106</v>
      </c>
      <c r="D29" s="579" t="s">
        <v>5350</v>
      </c>
      <c r="E29" s="534" t="s">
        <v>152</v>
      </c>
      <c r="F29" s="604"/>
      <c r="G29" s="338"/>
      <c r="H29" s="338"/>
      <c r="I29" s="338"/>
    </row>
    <row r="30" spans="1:9" ht="62.25" customHeight="1" thickBot="1" x14ac:dyDescent="0.3">
      <c r="A30" s="1519"/>
      <c r="B30" s="1498"/>
      <c r="C30" s="471" t="s">
        <v>107</v>
      </c>
      <c r="D30" s="575" t="s">
        <v>5352</v>
      </c>
      <c r="E30" s="488" t="s">
        <v>52</v>
      </c>
      <c r="F30" s="603"/>
      <c r="G30" s="338"/>
      <c r="H30" s="338"/>
      <c r="I30" s="338"/>
    </row>
    <row r="31" spans="1:9" ht="69" customHeight="1" x14ac:dyDescent="0.25">
      <c r="A31" s="1518" t="s">
        <v>17</v>
      </c>
      <c r="B31" s="1482" t="s">
        <v>275</v>
      </c>
      <c r="C31" s="479" t="s">
        <v>108</v>
      </c>
      <c r="D31" s="579" t="s">
        <v>194</v>
      </c>
      <c r="E31" s="492" t="s">
        <v>53</v>
      </c>
      <c r="F31" s="602"/>
      <c r="G31" s="338"/>
      <c r="H31" s="338"/>
      <c r="I31" s="338"/>
    </row>
    <row r="32" spans="1:9" ht="72" customHeight="1" x14ac:dyDescent="0.25">
      <c r="A32" s="1520"/>
      <c r="B32" s="1479"/>
      <c r="C32" s="475" t="s">
        <v>109</v>
      </c>
      <c r="D32" s="577" t="s">
        <v>195</v>
      </c>
      <c r="E32" s="490" t="s">
        <v>53</v>
      </c>
      <c r="F32" s="591"/>
      <c r="G32" s="338"/>
      <c r="H32" s="338"/>
      <c r="I32" s="338"/>
    </row>
    <row r="33" spans="1:9" ht="66" customHeight="1" thickBot="1" x14ac:dyDescent="0.3">
      <c r="A33" s="1519"/>
      <c r="B33" s="1480"/>
      <c r="C33" s="471" t="s">
        <v>110</v>
      </c>
      <c r="D33" s="575" t="s">
        <v>196</v>
      </c>
      <c r="E33" s="488" t="s">
        <v>53</v>
      </c>
      <c r="F33" s="582"/>
      <c r="G33" s="338"/>
      <c r="H33" s="338"/>
      <c r="I33" s="338"/>
    </row>
    <row r="34" spans="1:9" ht="33.75" customHeight="1" x14ac:dyDescent="0.25">
      <c r="A34" s="1518" t="s">
        <v>18</v>
      </c>
      <c r="B34" s="1496" t="s">
        <v>276</v>
      </c>
      <c r="C34" s="486" t="s">
        <v>111</v>
      </c>
      <c r="D34" s="572" t="s">
        <v>19</v>
      </c>
      <c r="E34" s="601" t="s">
        <v>53</v>
      </c>
      <c r="F34" s="600"/>
      <c r="G34" s="338"/>
      <c r="H34" s="338"/>
      <c r="I34" s="338"/>
    </row>
    <row r="35" spans="1:9" ht="37.5" customHeight="1" x14ac:dyDescent="0.25">
      <c r="A35" s="1520"/>
      <c r="B35" s="1501"/>
      <c r="C35" s="475" t="s">
        <v>112</v>
      </c>
      <c r="D35" s="577" t="s">
        <v>20</v>
      </c>
      <c r="E35" s="598" t="s">
        <v>53</v>
      </c>
      <c r="F35" s="591"/>
      <c r="G35" s="338"/>
      <c r="H35" s="338"/>
      <c r="I35" s="338"/>
    </row>
    <row r="36" spans="1:9" ht="36.75" customHeight="1" x14ac:dyDescent="0.25">
      <c r="A36" s="1520"/>
      <c r="B36" s="1501"/>
      <c r="C36" s="475" t="s">
        <v>113</v>
      </c>
      <c r="D36" s="577" t="s">
        <v>21</v>
      </c>
      <c r="E36" s="598" t="s">
        <v>53</v>
      </c>
      <c r="F36" s="591"/>
      <c r="G36" s="338"/>
      <c r="H36" s="338"/>
      <c r="I36" s="338"/>
    </row>
    <row r="37" spans="1:9" ht="37.5" customHeight="1" x14ac:dyDescent="0.25">
      <c r="A37" s="1520"/>
      <c r="B37" s="1501"/>
      <c r="C37" s="475" t="s">
        <v>114</v>
      </c>
      <c r="D37" s="577" t="s">
        <v>22</v>
      </c>
      <c r="E37" s="598" t="s">
        <v>53</v>
      </c>
      <c r="F37" s="591"/>
      <c r="G37" s="338"/>
      <c r="H37" s="338"/>
      <c r="I37" s="338"/>
    </row>
    <row r="38" spans="1:9" ht="32.25" customHeight="1" x14ac:dyDescent="0.25">
      <c r="A38" s="1520"/>
      <c r="B38" s="1501"/>
      <c r="C38" s="475" t="s">
        <v>115</v>
      </c>
      <c r="D38" s="577" t="s">
        <v>184</v>
      </c>
      <c r="E38" s="598" t="s">
        <v>53</v>
      </c>
      <c r="F38" s="591"/>
      <c r="G38" s="338"/>
      <c r="H38" s="338"/>
    </row>
    <row r="39" spans="1:9" ht="36" customHeight="1" x14ac:dyDescent="0.25">
      <c r="A39" s="1520"/>
      <c r="B39" s="1501"/>
      <c r="C39" s="475" t="s">
        <v>116</v>
      </c>
      <c r="D39" s="577" t="s">
        <v>23</v>
      </c>
      <c r="E39" s="598" t="s">
        <v>53</v>
      </c>
      <c r="F39" s="591"/>
      <c r="G39" s="338"/>
      <c r="H39" s="338"/>
    </row>
    <row r="40" spans="1:9" ht="31.5" customHeight="1" x14ac:dyDescent="0.25">
      <c r="A40" s="1520"/>
      <c r="B40" s="1501"/>
      <c r="C40" s="475" t="s">
        <v>117</v>
      </c>
      <c r="D40" s="577" t="s">
        <v>223</v>
      </c>
      <c r="E40" s="598" t="s">
        <v>53</v>
      </c>
      <c r="F40" s="591"/>
      <c r="G40" s="338"/>
      <c r="H40" s="338"/>
    </row>
    <row r="41" spans="1:9" ht="35.25" customHeight="1" x14ac:dyDescent="0.25">
      <c r="A41" s="1520"/>
      <c r="B41" s="1501"/>
      <c r="C41" s="475" t="s">
        <v>118</v>
      </c>
      <c r="D41" s="577" t="s">
        <v>24</v>
      </c>
      <c r="E41" s="598" t="s">
        <v>53</v>
      </c>
      <c r="F41" s="591"/>
      <c r="G41" s="338"/>
      <c r="H41" s="338"/>
    </row>
    <row r="42" spans="1:9" ht="31.5" customHeight="1" x14ac:dyDescent="0.25">
      <c r="A42" s="1520"/>
      <c r="B42" s="1501"/>
      <c r="C42" s="475" t="s">
        <v>119</v>
      </c>
      <c r="D42" s="577" t="s">
        <v>25</v>
      </c>
      <c r="E42" s="598" t="s">
        <v>53</v>
      </c>
      <c r="F42" s="591"/>
      <c r="G42" s="338"/>
      <c r="H42" s="338"/>
    </row>
    <row r="43" spans="1:9" ht="29.25" customHeight="1" x14ac:dyDescent="0.25">
      <c r="A43" s="1520"/>
      <c r="B43" s="1501"/>
      <c r="C43" s="475" t="s">
        <v>120</v>
      </c>
      <c r="D43" s="577" t="s">
        <v>5358</v>
      </c>
      <c r="E43" s="598" t="s">
        <v>53</v>
      </c>
      <c r="F43" s="591"/>
      <c r="G43" s="338"/>
      <c r="H43" s="338"/>
    </row>
    <row r="44" spans="1:9" ht="29.25" customHeight="1" x14ac:dyDescent="0.25">
      <c r="A44" s="1520"/>
      <c r="B44" s="1501"/>
      <c r="C44" s="475" t="s">
        <v>121</v>
      </c>
      <c r="D44" s="577" t="s">
        <v>27</v>
      </c>
      <c r="E44" s="598" t="s">
        <v>53</v>
      </c>
      <c r="F44" s="591"/>
      <c r="G44" s="338"/>
      <c r="H44" s="338"/>
    </row>
    <row r="45" spans="1:9" ht="33" customHeight="1" x14ac:dyDescent="0.25">
      <c r="A45" s="1520"/>
      <c r="B45" s="1501"/>
      <c r="C45" s="475" t="s">
        <v>122</v>
      </c>
      <c r="D45" s="577" t="s">
        <v>2554</v>
      </c>
      <c r="E45" s="598" t="s">
        <v>53</v>
      </c>
      <c r="F45" s="591"/>
      <c r="G45" s="338"/>
      <c r="H45" s="338"/>
    </row>
    <row r="46" spans="1:9" ht="29.25" customHeight="1" x14ac:dyDescent="0.25">
      <c r="A46" s="1520"/>
      <c r="B46" s="1501"/>
      <c r="C46" s="475" t="s">
        <v>123</v>
      </c>
      <c r="D46" s="577" t="s">
        <v>2555</v>
      </c>
      <c r="E46" s="598" t="s">
        <v>53</v>
      </c>
      <c r="F46" s="591"/>
      <c r="G46" s="338"/>
      <c r="H46" s="338"/>
    </row>
    <row r="47" spans="1:9" ht="29.25" customHeight="1" x14ac:dyDescent="0.25">
      <c r="A47" s="1520"/>
      <c r="B47" s="1501"/>
      <c r="C47" s="475" t="s">
        <v>124</v>
      </c>
      <c r="D47" s="577" t="s">
        <v>215</v>
      </c>
      <c r="E47" s="598" t="s">
        <v>53</v>
      </c>
      <c r="F47" s="591"/>
      <c r="G47" s="338"/>
      <c r="H47" s="338"/>
    </row>
    <row r="48" spans="1:9" ht="29.25" customHeight="1" x14ac:dyDescent="0.25">
      <c r="A48" s="1520"/>
      <c r="B48" s="1501"/>
      <c r="C48" s="475" t="s">
        <v>125</v>
      </c>
      <c r="D48" s="577" t="s">
        <v>32</v>
      </c>
      <c r="E48" s="598" t="s">
        <v>53</v>
      </c>
      <c r="F48" s="591"/>
      <c r="G48" s="338"/>
      <c r="H48" s="338"/>
    </row>
    <row r="49" spans="1:8" ht="29.25" customHeight="1" x14ac:dyDescent="0.25">
      <c r="A49" s="1520"/>
      <c r="B49" s="1501"/>
      <c r="C49" s="475" t="s">
        <v>126</v>
      </c>
      <c r="D49" s="577" t="s">
        <v>5359</v>
      </c>
      <c r="E49" s="598" t="s">
        <v>53</v>
      </c>
      <c r="F49" s="591"/>
      <c r="G49" s="338"/>
      <c r="H49" s="338"/>
    </row>
    <row r="50" spans="1:8" ht="29.25" customHeight="1" x14ac:dyDescent="0.25">
      <c r="A50" s="1520"/>
      <c r="B50" s="1501"/>
      <c r="C50" s="475" t="s">
        <v>127</v>
      </c>
      <c r="D50" s="577" t="s">
        <v>5360</v>
      </c>
      <c r="E50" s="598" t="s">
        <v>53</v>
      </c>
      <c r="F50" s="591"/>
      <c r="G50" s="338"/>
      <c r="H50" s="338"/>
    </row>
    <row r="51" spans="1:8" ht="29.25" customHeight="1" x14ac:dyDescent="0.25">
      <c r="A51" s="1520"/>
      <c r="B51" s="1501"/>
      <c r="C51" s="475" t="s">
        <v>128</v>
      </c>
      <c r="D51" s="577" t="s">
        <v>36</v>
      </c>
      <c r="E51" s="598" t="s">
        <v>53</v>
      </c>
      <c r="F51" s="591"/>
      <c r="G51" s="338"/>
      <c r="H51" s="338"/>
    </row>
    <row r="52" spans="1:8" ht="40.5" customHeight="1" x14ac:dyDescent="0.25">
      <c r="A52" s="1520"/>
      <c r="B52" s="1501"/>
      <c r="C52" s="475" t="s">
        <v>129</v>
      </c>
      <c r="D52" s="577" t="s">
        <v>38</v>
      </c>
      <c r="E52" s="598" t="s">
        <v>53</v>
      </c>
      <c r="F52" s="591"/>
      <c r="G52" s="338"/>
      <c r="H52" s="338"/>
    </row>
    <row r="53" spans="1:8" ht="35.25" customHeight="1" x14ac:dyDescent="0.25">
      <c r="A53" s="1520"/>
      <c r="B53" s="1501"/>
      <c r="C53" s="475" t="s">
        <v>130</v>
      </c>
      <c r="D53" s="577" t="s">
        <v>226</v>
      </c>
      <c r="E53" s="598" t="s">
        <v>53</v>
      </c>
      <c r="F53" s="591"/>
      <c r="G53" s="338"/>
      <c r="H53" s="338"/>
    </row>
    <row r="54" spans="1:8" ht="29.25" customHeight="1" x14ac:dyDescent="0.25">
      <c r="A54" s="1520"/>
      <c r="B54" s="1501"/>
      <c r="C54" s="475" t="s">
        <v>131</v>
      </c>
      <c r="D54" s="599" t="s">
        <v>5361</v>
      </c>
      <c r="E54" s="598" t="s">
        <v>53</v>
      </c>
      <c r="F54" s="591"/>
      <c r="G54" s="338"/>
      <c r="H54" s="338"/>
    </row>
    <row r="55" spans="1:8" ht="29.25" customHeight="1" thickBot="1" x14ac:dyDescent="0.3">
      <c r="A55" s="1519"/>
      <c r="B55" s="1497"/>
      <c r="C55" s="548" t="s">
        <v>236</v>
      </c>
      <c r="D55" s="597" t="s">
        <v>5569</v>
      </c>
      <c r="E55" s="596" t="s">
        <v>5363</v>
      </c>
      <c r="F55" s="595">
        <f>SUM(F34:F54)</f>
        <v>0</v>
      </c>
      <c r="G55" s="338"/>
      <c r="H55" s="338"/>
    </row>
    <row r="56" spans="1:8" ht="78.75" customHeight="1" x14ac:dyDescent="0.25">
      <c r="A56" s="1518" t="s">
        <v>26</v>
      </c>
      <c r="B56" s="1482" t="s">
        <v>277</v>
      </c>
      <c r="C56" s="479" t="s">
        <v>132</v>
      </c>
      <c r="D56" s="579" t="s">
        <v>5364</v>
      </c>
      <c r="E56" s="534" t="s">
        <v>54</v>
      </c>
      <c r="F56" s="594"/>
      <c r="G56" s="338"/>
      <c r="H56" s="338"/>
    </row>
    <row r="57" spans="1:8" ht="29.25" customHeight="1" x14ac:dyDescent="0.25">
      <c r="A57" s="1520"/>
      <c r="B57" s="1479"/>
      <c r="C57" s="1530" t="s">
        <v>133</v>
      </c>
      <c r="D57" s="1531" t="s">
        <v>153</v>
      </c>
      <c r="E57" s="490" t="s">
        <v>48</v>
      </c>
      <c r="F57" s="576"/>
      <c r="G57" s="338"/>
      <c r="H57" s="338"/>
    </row>
    <row r="58" spans="1:8" ht="21.75" customHeight="1" x14ac:dyDescent="0.25">
      <c r="A58" s="1520"/>
      <c r="B58" s="1479"/>
      <c r="C58" s="1530"/>
      <c r="D58" s="1531"/>
      <c r="E58" s="490" t="s">
        <v>50</v>
      </c>
      <c r="F58" s="576"/>
      <c r="G58" s="338"/>
      <c r="H58" s="338"/>
    </row>
    <row r="59" spans="1:8" ht="57" customHeight="1" thickBot="1" x14ac:dyDescent="0.3">
      <c r="A59" s="1520"/>
      <c r="B59" s="1479"/>
      <c r="C59" s="475" t="s">
        <v>134</v>
      </c>
      <c r="D59" s="577" t="s">
        <v>5365</v>
      </c>
      <c r="E59" s="490" t="s">
        <v>52</v>
      </c>
      <c r="F59" s="576"/>
      <c r="G59" s="338"/>
      <c r="H59" s="338"/>
    </row>
    <row r="60" spans="1:8" ht="29.25" customHeight="1" x14ac:dyDescent="0.25">
      <c r="A60" s="1520"/>
      <c r="B60" s="1479"/>
      <c r="C60" s="1512" t="s">
        <v>221</v>
      </c>
      <c r="D60" s="1532" t="s">
        <v>5367</v>
      </c>
      <c r="E60" s="518" t="s">
        <v>54</v>
      </c>
      <c r="F60" s="594"/>
      <c r="G60" s="338"/>
      <c r="H60" s="338"/>
    </row>
    <row r="61" spans="1:8" ht="42.75" customHeight="1" thickBot="1" x14ac:dyDescent="0.3">
      <c r="A61" s="1492"/>
      <c r="B61" s="1502"/>
      <c r="C61" s="1489"/>
      <c r="D61" s="1533"/>
      <c r="E61" s="488" t="s">
        <v>50</v>
      </c>
      <c r="F61" s="593"/>
      <c r="G61" s="338"/>
      <c r="H61" s="338"/>
    </row>
    <row r="62" spans="1:8" ht="42.75" customHeight="1" x14ac:dyDescent="0.25">
      <c r="A62" s="1518" t="s">
        <v>28</v>
      </c>
      <c r="B62" s="1482" t="s">
        <v>5368</v>
      </c>
      <c r="C62" s="486" t="s">
        <v>159</v>
      </c>
      <c r="D62" s="572" t="s">
        <v>40</v>
      </c>
      <c r="E62" s="485" t="s">
        <v>55</v>
      </c>
      <c r="F62" s="573"/>
      <c r="G62" s="338"/>
      <c r="H62" s="338"/>
    </row>
    <row r="63" spans="1:8" ht="29.25" customHeight="1" x14ac:dyDescent="0.25">
      <c r="A63" s="1520"/>
      <c r="B63" s="1479"/>
      <c r="C63" s="486" t="s">
        <v>135</v>
      </c>
      <c r="D63" s="592" t="s">
        <v>202</v>
      </c>
      <c r="E63" s="473" t="s">
        <v>48</v>
      </c>
      <c r="F63" s="568"/>
      <c r="G63" s="338"/>
      <c r="H63" s="338"/>
    </row>
    <row r="64" spans="1:8" ht="32.25" customHeight="1" x14ac:dyDescent="0.25">
      <c r="A64" s="1520"/>
      <c r="B64" s="1479"/>
      <c r="C64" s="475" t="s">
        <v>136</v>
      </c>
      <c r="D64" s="592" t="s">
        <v>203</v>
      </c>
      <c r="E64" s="473" t="s">
        <v>48</v>
      </c>
      <c r="F64" s="568"/>
      <c r="G64" s="338"/>
      <c r="H64" s="338"/>
    </row>
    <row r="65" spans="1:8" ht="45.75" customHeight="1" x14ac:dyDescent="0.25">
      <c r="A65" s="1520"/>
      <c r="B65" s="1479"/>
      <c r="C65" s="475" t="s">
        <v>137</v>
      </c>
      <c r="D65" s="592" t="s">
        <v>204</v>
      </c>
      <c r="E65" s="473" t="s">
        <v>53</v>
      </c>
      <c r="F65" s="591"/>
      <c r="G65" s="338"/>
      <c r="H65" s="338"/>
    </row>
    <row r="66" spans="1:8" ht="24" customHeight="1" x14ac:dyDescent="0.25">
      <c r="A66" s="1520"/>
      <c r="B66" s="1479"/>
      <c r="C66" s="475" t="s">
        <v>5369</v>
      </c>
      <c r="D66" s="590" t="s">
        <v>205</v>
      </c>
      <c r="E66" s="494" t="s">
        <v>53</v>
      </c>
      <c r="F66" s="589"/>
      <c r="G66" s="338"/>
      <c r="H66" s="338"/>
    </row>
    <row r="67" spans="1:8" ht="63" customHeight="1" thickBot="1" x14ac:dyDescent="0.3">
      <c r="A67" s="1519"/>
      <c r="B67" s="1480"/>
      <c r="C67" s="475" t="s">
        <v>169</v>
      </c>
      <c r="D67" s="575" t="s">
        <v>5370</v>
      </c>
      <c r="E67" s="494" t="s">
        <v>53</v>
      </c>
      <c r="F67" s="589"/>
      <c r="G67" s="338"/>
      <c r="H67" s="338"/>
    </row>
    <row r="68" spans="1:8" ht="49.5" customHeight="1" x14ac:dyDescent="0.25">
      <c r="A68" s="1518" t="s">
        <v>29</v>
      </c>
      <c r="B68" s="1493" t="s">
        <v>5371</v>
      </c>
      <c r="C68" s="1483" t="s">
        <v>59</v>
      </c>
      <c r="D68" s="1485" t="s">
        <v>278</v>
      </c>
      <c r="E68" s="477" t="s">
        <v>171</v>
      </c>
      <c r="F68" s="569"/>
      <c r="G68" s="338"/>
      <c r="H68" s="338"/>
    </row>
    <row r="69" spans="1:8" ht="29.25" customHeight="1" x14ac:dyDescent="0.25">
      <c r="A69" s="1520"/>
      <c r="B69" s="1494"/>
      <c r="C69" s="1484"/>
      <c r="D69" s="1486"/>
      <c r="E69" s="473" t="s">
        <v>172</v>
      </c>
      <c r="F69" s="568"/>
      <c r="G69" s="338"/>
      <c r="H69" s="338"/>
    </row>
    <row r="70" spans="1:8" ht="34.5" customHeight="1" thickBot="1" x14ac:dyDescent="0.3">
      <c r="A70" s="1520"/>
      <c r="B70" s="1494"/>
      <c r="C70" s="1503"/>
      <c r="D70" s="1487"/>
      <c r="E70" s="497" t="s">
        <v>174</v>
      </c>
      <c r="F70" s="582"/>
      <c r="G70" s="338"/>
      <c r="H70" s="338"/>
    </row>
    <row r="71" spans="1:8" ht="20.25" customHeight="1" x14ac:dyDescent="0.25">
      <c r="A71" s="1520"/>
      <c r="B71" s="1494"/>
      <c r="C71" s="1483" t="s">
        <v>60</v>
      </c>
      <c r="D71" s="1485" t="s">
        <v>279</v>
      </c>
      <c r="E71" s="477" t="s">
        <v>171</v>
      </c>
      <c r="F71" s="569"/>
      <c r="G71" s="338"/>
      <c r="H71" s="338"/>
    </row>
    <row r="72" spans="1:8" ht="41.25" customHeight="1" x14ac:dyDescent="0.25">
      <c r="A72" s="1520"/>
      <c r="B72" s="1494"/>
      <c r="C72" s="1484"/>
      <c r="D72" s="1486"/>
      <c r="E72" s="473" t="s">
        <v>172</v>
      </c>
      <c r="F72" s="568"/>
      <c r="G72" s="338"/>
      <c r="H72" s="338"/>
    </row>
    <row r="73" spans="1:8" ht="35.25" customHeight="1" thickBot="1" x14ac:dyDescent="0.3">
      <c r="A73" s="1520"/>
      <c r="B73" s="1494"/>
      <c r="C73" s="1503"/>
      <c r="D73" s="1486"/>
      <c r="E73" s="494" t="s">
        <v>174</v>
      </c>
      <c r="F73" s="589"/>
      <c r="G73" s="338"/>
      <c r="H73" s="338"/>
    </row>
    <row r="74" spans="1:8" ht="33.75" customHeight="1" x14ac:dyDescent="0.25">
      <c r="A74" s="1520"/>
      <c r="B74" s="1494"/>
      <c r="C74" s="1534" t="s">
        <v>61</v>
      </c>
      <c r="D74" s="1521" t="s">
        <v>250</v>
      </c>
      <c r="E74" s="492" t="s">
        <v>171</v>
      </c>
      <c r="F74" s="587"/>
      <c r="G74" s="338"/>
      <c r="H74" s="338"/>
    </row>
    <row r="75" spans="1:8" ht="33.75" customHeight="1" x14ac:dyDescent="0.25">
      <c r="A75" s="1520"/>
      <c r="B75" s="1494"/>
      <c r="C75" s="1535"/>
      <c r="D75" s="1522"/>
      <c r="E75" s="490" t="s">
        <v>172</v>
      </c>
      <c r="F75" s="584"/>
      <c r="G75" s="338"/>
      <c r="H75" s="338"/>
    </row>
    <row r="76" spans="1:8" ht="50.25" customHeight="1" thickBot="1" x14ac:dyDescent="0.3">
      <c r="A76" s="1520"/>
      <c r="B76" s="1494"/>
      <c r="C76" s="1535"/>
      <c r="D76" s="1522"/>
      <c r="E76" s="518" t="s">
        <v>174</v>
      </c>
      <c r="F76" s="588"/>
      <c r="G76" s="338"/>
      <c r="H76" s="338"/>
    </row>
    <row r="77" spans="1:8" ht="15.75" customHeight="1" x14ac:dyDescent="0.25">
      <c r="A77" s="1520"/>
      <c r="B77" s="1494"/>
      <c r="C77" s="1534" t="s">
        <v>62</v>
      </c>
      <c r="D77" s="1521" t="s">
        <v>251</v>
      </c>
      <c r="E77" s="492" t="s">
        <v>171</v>
      </c>
      <c r="F77" s="587"/>
      <c r="G77" s="369"/>
      <c r="H77" s="369"/>
    </row>
    <row r="78" spans="1:8" ht="31.5" customHeight="1" x14ac:dyDescent="0.25">
      <c r="A78" s="1520"/>
      <c r="B78" s="1494"/>
      <c r="C78" s="1535"/>
      <c r="D78" s="1522"/>
      <c r="E78" s="490" t="s">
        <v>172</v>
      </c>
      <c r="F78" s="584"/>
      <c r="G78" s="369"/>
      <c r="H78" s="369"/>
    </row>
    <row r="79" spans="1:8" ht="16.5" thickBot="1" x14ac:dyDescent="0.3">
      <c r="A79" s="1520"/>
      <c r="B79" s="1494"/>
      <c r="C79" s="1536"/>
      <c r="D79" s="1523"/>
      <c r="E79" s="488" t="s">
        <v>174</v>
      </c>
      <c r="F79" s="586"/>
      <c r="G79" s="369"/>
      <c r="H79" s="369"/>
    </row>
    <row r="80" spans="1:8" ht="15.75" customHeight="1" x14ac:dyDescent="0.25">
      <c r="A80" s="1520"/>
      <c r="B80" s="1494"/>
      <c r="C80" s="1484" t="s">
        <v>63</v>
      </c>
      <c r="D80" s="1486" t="s">
        <v>5372</v>
      </c>
      <c r="E80" s="485" t="s">
        <v>171</v>
      </c>
      <c r="F80" s="573"/>
      <c r="G80" s="370"/>
      <c r="H80" s="370"/>
    </row>
    <row r="81" spans="1:8" ht="25.5" x14ac:dyDescent="0.25">
      <c r="A81" s="1520"/>
      <c r="B81" s="1494"/>
      <c r="C81" s="1484"/>
      <c r="D81" s="1486"/>
      <c r="E81" s="473" t="s">
        <v>172</v>
      </c>
      <c r="F81" s="568"/>
      <c r="G81" s="370"/>
      <c r="H81" s="370"/>
    </row>
    <row r="82" spans="1:8" ht="16.5" thickBot="1" x14ac:dyDescent="0.3">
      <c r="A82" s="1520"/>
      <c r="B82" s="1494"/>
      <c r="C82" s="1503"/>
      <c r="D82" s="1487"/>
      <c r="E82" s="497" t="s">
        <v>174</v>
      </c>
      <c r="F82" s="582"/>
      <c r="G82" s="370"/>
      <c r="H82" s="370"/>
    </row>
    <row r="83" spans="1:8" ht="25.5" x14ac:dyDescent="0.25">
      <c r="A83" s="1520"/>
      <c r="B83" s="1494"/>
      <c r="C83" s="1483" t="s">
        <v>64</v>
      </c>
      <c r="D83" s="1485" t="s">
        <v>179</v>
      </c>
      <c r="E83" s="477" t="s">
        <v>171</v>
      </c>
      <c r="F83" s="569"/>
      <c r="G83" s="370"/>
      <c r="H83" s="370"/>
    </row>
    <row r="84" spans="1:8" ht="25.5" x14ac:dyDescent="0.25">
      <c r="A84" s="1520"/>
      <c r="B84" s="1494"/>
      <c r="C84" s="1484"/>
      <c r="D84" s="1486"/>
      <c r="E84" s="473" t="s">
        <v>172</v>
      </c>
      <c r="F84" s="568"/>
      <c r="G84" s="370"/>
      <c r="H84" s="370"/>
    </row>
    <row r="85" spans="1:8" ht="16.5" thickBot="1" x14ac:dyDescent="0.3">
      <c r="A85" s="1520"/>
      <c r="B85" s="1494"/>
      <c r="C85" s="1503"/>
      <c r="D85" s="1487"/>
      <c r="E85" s="497" t="s">
        <v>174</v>
      </c>
      <c r="F85" s="582"/>
      <c r="G85" s="370"/>
      <c r="H85" s="370"/>
    </row>
    <row r="86" spans="1:8" ht="25.5" x14ac:dyDescent="0.25">
      <c r="A86" s="1520"/>
      <c r="B86" s="1494"/>
      <c r="C86" s="1483" t="s">
        <v>237</v>
      </c>
      <c r="D86" s="1485" t="s">
        <v>280</v>
      </c>
      <c r="E86" s="477" t="s">
        <v>171</v>
      </c>
      <c r="F86" s="569"/>
      <c r="G86" s="370"/>
      <c r="H86" s="370"/>
    </row>
    <row r="87" spans="1:8" ht="25.5" x14ac:dyDescent="0.25">
      <c r="A87" s="1520"/>
      <c r="B87" s="1494"/>
      <c r="C87" s="1484"/>
      <c r="D87" s="1486"/>
      <c r="E87" s="473" t="s">
        <v>172</v>
      </c>
      <c r="F87" s="568"/>
      <c r="G87" s="370"/>
      <c r="H87" s="370"/>
    </row>
    <row r="88" spans="1:8" ht="16.5" thickBot="1" x14ac:dyDescent="0.3">
      <c r="A88" s="1520"/>
      <c r="B88" s="1494"/>
      <c r="C88" s="1503"/>
      <c r="D88" s="1487"/>
      <c r="E88" s="497" t="s">
        <v>174</v>
      </c>
      <c r="F88" s="582"/>
      <c r="G88" s="370"/>
      <c r="H88" s="370"/>
    </row>
    <row r="89" spans="1:8" ht="15.75" customHeight="1" x14ac:dyDescent="0.25">
      <c r="A89" s="1520"/>
      <c r="B89" s="1494"/>
      <c r="C89" s="1483" t="s">
        <v>238</v>
      </c>
      <c r="D89" s="1526" t="s">
        <v>145</v>
      </c>
      <c r="E89" s="477" t="s">
        <v>171</v>
      </c>
      <c r="F89" s="569"/>
      <c r="G89" s="370"/>
      <c r="H89" s="370"/>
    </row>
    <row r="90" spans="1:8" ht="25.5" x14ac:dyDescent="0.25">
      <c r="A90" s="1520"/>
      <c r="B90" s="1494"/>
      <c r="C90" s="1484"/>
      <c r="D90" s="1527"/>
      <c r="E90" s="473" t="s">
        <v>172</v>
      </c>
      <c r="F90" s="568"/>
      <c r="G90" s="370"/>
      <c r="H90" s="370"/>
    </row>
    <row r="91" spans="1:8" ht="16.5" thickBot="1" x14ac:dyDescent="0.3">
      <c r="A91" s="1519"/>
      <c r="B91" s="1498"/>
      <c r="C91" s="1503"/>
      <c r="D91" s="1537"/>
      <c r="E91" s="497" t="s">
        <v>174</v>
      </c>
      <c r="F91" s="582"/>
      <c r="G91" s="370"/>
      <c r="H91" s="370"/>
    </row>
    <row r="92" spans="1:8" ht="15.75" customHeight="1" x14ac:dyDescent="0.25">
      <c r="A92" s="1518" t="s">
        <v>30</v>
      </c>
      <c r="B92" s="1493" t="s">
        <v>206</v>
      </c>
      <c r="C92" s="1483" t="s">
        <v>56</v>
      </c>
      <c r="D92" s="1485" t="s">
        <v>42</v>
      </c>
      <c r="E92" s="477" t="s">
        <v>171</v>
      </c>
      <c r="F92" s="569"/>
      <c r="G92" s="370"/>
      <c r="H92" s="370"/>
    </row>
    <row r="93" spans="1:8" ht="25.5" x14ac:dyDescent="0.25">
      <c r="A93" s="1520"/>
      <c r="B93" s="1494"/>
      <c r="C93" s="1484"/>
      <c r="D93" s="1486"/>
      <c r="E93" s="473" t="s">
        <v>172</v>
      </c>
      <c r="F93" s="568"/>
      <c r="G93" s="370"/>
      <c r="H93" s="370"/>
    </row>
    <row r="94" spans="1:8" ht="16.5" thickBot="1" x14ac:dyDescent="0.3">
      <c r="A94" s="1520"/>
      <c r="B94" s="1494"/>
      <c r="C94" s="1503"/>
      <c r="D94" s="1487"/>
      <c r="E94" s="497" t="s">
        <v>174</v>
      </c>
      <c r="F94" s="582"/>
      <c r="G94" s="370"/>
      <c r="H94" s="370"/>
    </row>
    <row r="95" spans="1:8" ht="15.75" customHeight="1" x14ac:dyDescent="0.25">
      <c r="A95" s="1520"/>
      <c r="B95" s="1494"/>
      <c r="C95" s="1483" t="s">
        <v>57</v>
      </c>
      <c r="D95" s="1485" t="s">
        <v>281</v>
      </c>
      <c r="E95" s="477" t="s">
        <v>171</v>
      </c>
      <c r="F95" s="569"/>
      <c r="G95" s="370"/>
      <c r="H95" s="370"/>
    </row>
    <row r="96" spans="1:8" ht="25.5" x14ac:dyDescent="0.25">
      <c r="A96" s="1520"/>
      <c r="B96" s="1494"/>
      <c r="C96" s="1484"/>
      <c r="D96" s="1486"/>
      <c r="E96" s="473" t="s">
        <v>172</v>
      </c>
      <c r="F96" s="568"/>
      <c r="G96" s="370"/>
      <c r="H96" s="370"/>
    </row>
    <row r="97" spans="1:8" ht="16.5" thickBot="1" x14ac:dyDescent="0.3">
      <c r="A97" s="1520"/>
      <c r="B97" s="1494"/>
      <c r="C97" s="1503"/>
      <c r="D97" s="1487"/>
      <c r="E97" s="497" t="s">
        <v>174</v>
      </c>
      <c r="F97" s="582"/>
      <c r="G97" s="370"/>
      <c r="H97" s="370"/>
    </row>
    <row r="98" spans="1:8" ht="15.75" customHeight="1" x14ac:dyDescent="0.25">
      <c r="A98" s="1520"/>
      <c r="B98" s="1494"/>
      <c r="C98" s="1483" t="s">
        <v>240</v>
      </c>
      <c r="D98" s="1485" t="s">
        <v>241</v>
      </c>
      <c r="E98" s="492" t="s">
        <v>171</v>
      </c>
      <c r="F98" s="585"/>
      <c r="G98" s="370"/>
      <c r="H98" s="370"/>
    </row>
    <row r="99" spans="1:8" ht="25.5" x14ac:dyDescent="0.25">
      <c r="A99" s="1520"/>
      <c r="B99" s="1494"/>
      <c r="C99" s="1488"/>
      <c r="D99" s="1490"/>
      <c r="E99" s="490" t="s">
        <v>172</v>
      </c>
      <c r="F99" s="584"/>
      <c r="G99" s="370"/>
      <c r="H99" s="370"/>
    </row>
    <row r="100" spans="1:8" ht="16.5" thickBot="1" x14ac:dyDescent="0.3">
      <c r="A100" s="1520"/>
      <c r="B100" s="1494"/>
      <c r="C100" s="1489"/>
      <c r="D100" s="1491"/>
      <c r="E100" s="488" t="s">
        <v>174</v>
      </c>
      <c r="F100" s="583"/>
      <c r="G100" s="370"/>
      <c r="H100" s="370"/>
    </row>
    <row r="101" spans="1:8" ht="15.75" customHeight="1" x14ac:dyDescent="0.25">
      <c r="A101" s="1520"/>
      <c r="B101" s="1494"/>
      <c r="C101" s="1483" t="s">
        <v>242</v>
      </c>
      <c r="D101" s="1485" t="s">
        <v>43</v>
      </c>
      <c r="E101" s="477" t="s">
        <v>171</v>
      </c>
      <c r="F101" s="569"/>
      <c r="G101" s="369"/>
      <c r="H101" s="369"/>
    </row>
    <row r="102" spans="1:8" ht="25.5" x14ac:dyDescent="0.25">
      <c r="A102" s="1520"/>
      <c r="B102" s="1494"/>
      <c r="C102" s="1484"/>
      <c r="D102" s="1486"/>
      <c r="E102" s="473" t="s">
        <v>172</v>
      </c>
      <c r="F102" s="568"/>
      <c r="G102" s="369"/>
      <c r="H102" s="369"/>
    </row>
    <row r="103" spans="1:8" ht="16.5" thickBot="1" x14ac:dyDescent="0.3">
      <c r="A103" s="1520"/>
      <c r="B103" s="1494"/>
      <c r="C103" s="1503"/>
      <c r="D103" s="1487"/>
      <c r="E103" s="497" t="s">
        <v>174</v>
      </c>
      <c r="F103" s="582"/>
      <c r="G103" s="369"/>
      <c r="H103" s="369"/>
    </row>
    <row r="104" spans="1:8" ht="25.5" x14ac:dyDescent="0.25">
      <c r="A104" s="1520"/>
      <c r="B104" s="1494"/>
      <c r="C104" s="1483" t="s">
        <v>243</v>
      </c>
      <c r="D104" s="1485" t="s">
        <v>239</v>
      </c>
      <c r="E104" s="477" t="s">
        <v>171</v>
      </c>
      <c r="F104" s="569"/>
      <c r="G104" s="369"/>
      <c r="H104" s="369"/>
    </row>
    <row r="105" spans="1:8" ht="25.5" x14ac:dyDescent="0.25">
      <c r="A105" s="1520"/>
      <c r="B105" s="1494"/>
      <c r="C105" s="1484"/>
      <c r="D105" s="1486"/>
      <c r="E105" s="473" t="s">
        <v>172</v>
      </c>
      <c r="F105" s="568"/>
      <c r="G105" s="369"/>
      <c r="H105" s="369"/>
    </row>
    <row r="106" spans="1:8" ht="16.5" thickBot="1" x14ac:dyDescent="0.3">
      <c r="A106" s="1520"/>
      <c r="B106" s="1494"/>
      <c r="C106" s="1503"/>
      <c r="D106" s="1487"/>
      <c r="E106" s="497" t="s">
        <v>174</v>
      </c>
      <c r="F106" s="582"/>
      <c r="G106" s="369"/>
      <c r="H106" s="369"/>
    </row>
    <row r="107" spans="1:8" ht="25.5" x14ac:dyDescent="0.25">
      <c r="A107" s="1520"/>
      <c r="B107" s="1494"/>
      <c r="C107" s="1483" t="s">
        <v>244</v>
      </c>
      <c r="D107" s="1485" t="s">
        <v>44</v>
      </c>
      <c r="E107" s="477" t="s">
        <v>171</v>
      </c>
      <c r="F107" s="569"/>
      <c r="G107" s="369"/>
      <c r="H107" s="369"/>
    </row>
    <row r="108" spans="1:8" ht="25.5" x14ac:dyDescent="0.25">
      <c r="A108" s="1520"/>
      <c r="B108" s="1494"/>
      <c r="C108" s="1484"/>
      <c r="D108" s="1486"/>
      <c r="E108" s="473" t="s">
        <v>172</v>
      </c>
      <c r="F108" s="568"/>
      <c r="G108" s="369"/>
      <c r="H108" s="369"/>
    </row>
    <row r="109" spans="1:8" ht="16.5" thickBot="1" x14ac:dyDescent="0.3">
      <c r="A109" s="1520"/>
      <c r="B109" s="1494"/>
      <c r="C109" s="1503"/>
      <c r="D109" s="1487"/>
      <c r="E109" s="497" t="s">
        <v>174</v>
      </c>
      <c r="F109" s="582"/>
      <c r="G109" s="369"/>
      <c r="H109" s="369"/>
    </row>
    <row r="110" spans="1:8" ht="25.5" x14ac:dyDescent="0.25">
      <c r="A110" s="1520"/>
      <c r="B110" s="1494"/>
      <c r="C110" s="1483" t="s">
        <v>245</v>
      </c>
      <c r="D110" s="1485" t="s">
        <v>222</v>
      </c>
      <c r="E110" s="492" t="s">
        <v>171</v>
      </c>
      <c r="F110" s="585"/>
      <c r="G110" s="369"/>
      <c r="H110" s="369"/>
    </row>
    <row r="111" spans="1:8" ht="25.5" x14ac:dyDescent="0.25">
      <c r="A111" s="1520"/>
      <c r="B111" s="1494"/>
      <c r="C111" s="1488"/>
      <c r="D111" s="1490"/>
      <c r="E111" s="490" t="s">
        <v>172</v>
      </c>
      <c r="F111" s="584"/>
      <c r="G111" s="369"/>
      <c r="H111" s="369"/>
    </row>
    <row r="112" spans="1:8" ht="16.5" thickBot="1" x14ac:dyDescent="0.3">
      <c r="A112" s="1520"/>
      <c r="B112" s="1494"/>
      <c r="C112" s="1489"/>
      <c r="D112" s="1491"/>
      <c r="E112" s="488" t="s">
        <v>174</v>
      </c>
      <c r="F112" s="583"/>
      <c r="G112" s="369"/>
      <c r="H112" s="369"/>
    </row>
    <row r="113" spans="1:8" ht="25.5" x14ac:dyDescent="0.25">
      <c r="A113" s="1520"/>
      <c r="B113" s="1494"/>
      <c r="C113" s="1483" t="s">
        <v>246</v>
      </c>
      <c r="D113" s="1526" t="s">
        <v>146</v>
      </c>
      <c r="E113" s="477" t="s">
        <v>171</v>
      </c>
      <c r="F113" s="569"/>
      <c r="G113" s="369"/>
      <c r="H113" s="369"/>
    </row>
    <row r="114" spans="1:8" ht="25.5" x14ac:dyDescent="0.25">
      <c r="A114" s="1520"/>
      <c r="B114" s="1494"/>
      <c r="C114" s="1484"/>
      <c r="D114" s="1527"/>
      <c r="E114" s="473" t="s">
        <v>172</v>
      </c>
      <c r="F114" s="568"/>
      <c r="G114" s="369"/>
      <c r="H114" s="369"/>
    </row>
    <row r="115" spans="1:8" ht="16.5" thickBot="1" x14ac:dyDescent="0.3">
      <c r="A115" s="1519"/>
      <c r="B115" s="1498"/>
      <c r="C115" s="1484"/>
      <c r="D115" s="1527"/>
      <c r="E115" s="497" t="s">
        <v>174</v>
      </c>
      <c r="F115" s="582"/>
      <c r="G115" s="369"/>
      <c r="H115" s="369"/>
    </row>
    <row r="116" spans="1:8" ht="40.5" customHeight="1" x14ac:dyDescent="0.25">
      <c r="A116" s="1518" t="s">
        <v>34</v>
      </c>
      <c r="B116" s="1482" t="s">
        <v>5373</v>
      </c>
      <c r="C116" s="479" t="s">
        <v>66</v>
      </c>
      <c r="D116" s="579" t="s">
        <v>208</v>
      </c>
      <c r="E116" s="477" t="s">
        <v>55</v>
      </c>
      <c r="F116" s="569"/>
      <c r="G116" s="369"/>
      <c r="H116" s="369"/>
    </row>
    <row r="117" spans="1:8" ht="59.25" customHeight="1" thickBot="1" x14ac:dyDescent="0.3">
      <c r="A117" s="1519"/>
      <c r="B117" s="1480"/>
      <c r="C117" s="471" t="s">
        <v>67</v>
      </c>
      <c r="D117" s="575" t="s">
        <v>45</v>
      </c>
      <c r="E117" s="497" t="s">
        <v>48</v>
      </c>
      <c r="F117" s="567"/>
      <c r="G117" s="369"/>
      <c r="H117" s="369"/>
    </row>
    <row r="118" spans="1:8" ht="21" customHeight="1" x14ac:dyDescent="0.25">
      <c r="A118" s="1518" t="s">
        <v>35</v>
      </c>
      <c r="B118" s="1482" t="s">
        <v>175</v>
      </c>
      <c r="C118" s="479" t="s">
        <v>68</v>
      </c>
      <c r="D118" s="579" t="s">
        <v>176</v>
      </c>
      <c r="E118" s="477" t="s">
        <v>50</v>
      </c>
      <c r="F118" s="569"/>
      <c r="G118" s="369"/>
      <c r="H118" s="369"/>
    </row>
    <row r="119" spans="1:8" ht="58.5" customHeight="1" x14ac:dyDescent="0.25">
      <c r="A119" s="1520"/>
      <c r="B119" s="1479"/>
      <c r="C119" s="475" t="s">
        <v>69</v>
      </c>
      <c r="D119" s="577" t="s">
        <v>5374</v>
      </c>
      <c r="E119" s="473" t="s">
        <v>50</v>
      </c>
      <c r="F119" s="568"/>
      <c r="G119" s="369"/>
      <c r="H119" s="369"/>
    </row>
    <row r="120" spans="1:8" ht="31.5" x14ac:dyDescent="0.25">
      <c r="A120" s="1520"/>
      <c r="B120" s="1479"/>
      <c r="C120" s="475" t="s">
        <v>70</v>
      </c>
      <c r="D120" s="577" t="s">
        <v>47</v>
      </c>
      <c r="E120" s="473" t="s">
        <v>155</v>
      </c>
      <c r="F120" s="568"/>
      <c r="G120" s="369"/>
      <c r="H120" s="369"/>
    </row>
    <row r="121" spans="1:8" ht="94.5" x14ac:dyDescent="0.25">
      <c r="A121" s="1520"/>
      <c r="B121" s="1479"/>
      <c r="C121" s="475" t="s">
        <v>5375</v>
      </c>
      <c r="D121" s="577" t="s">
        <v>5376</v>
      </c>
      <c r="E121" s="473" t="s">
        <v>48</v>
      </c>
      <c r="F121" s="568"/>
      <c r="G121" s="369"/>
      <c r="H121" s="369"/>
    </row>
    <row r="122" spans="1:8" ht="67.5" customHeight="1" thickBot="1" x14ac:dyDescent="0.3">
      <c r="A122" s="1519"/>
      <c r="B122" s="1480"/>
      <c r="C122" s="496" t="s">
        <v>5377</v>
      </c>
      <c r="D122" s="581" t="s">
        <v>209</v>
      </c>
      <c r="E122" s="494" t="s">
        <v>48</v>
      </c>
      <c r="F122" s="580"/>
      <c r="G122" s="338"/>
      <c r="H122" s="338"/>
    </row>
    <row r="123" spans="1:8" ht="33.75" customHeight="1" x14ac:dyDescent="0.25">
      <c r="A123" s="1518" t="s">
        <v>37</v>
      </c>
      <c r="B123" s="1482" t="s">
        <v>187</v>
      </c>
      <c r="C123" s="479" t="s">
        <v>68</v>
      </c>
      <c r="D123" s="579" t="s">
        <v>5378</v>
      </c>
      <c r="E123" s="492" t="s">
        <v>48</v>
      </c>
      <c r="F123" s="578"/>
      <c r="G123" s="338"/>
      <c r="H123" s="338"/>
    </row>
    <row r="124" spans="1:8" ht="25.5" customHeight="1" x14ac:dyDescent="0.25">
      <c r="A124" s="1505"/>
      <c r="B124" s="1504"/>
      <c r="C124" s="475" t="s">
        <v>69</v>
      </c>
      <c r="D124" s="577" t="s">
        <v>189</v>
      </c>
      <c r="E124" s="490" t="s">
        <v>53</v>
      </c>
      <c r="F124" s="576"/>
      <c r="G124" s="370"/>
      <c r="H124" s="370"/>
    </row>
    <row r="125" spans="1:8" ht="45.75" customHeight="1" thickBot="1" x14ac:dyDescent="0.3">
      <c r="A125" s="1492"/>
      <c r="B125" s="1502"/>
      <c r="C125" s="471" t="s">
        <v>70</v>
      </c>
      <c r="D125" s="575" t="s">
        <v>188</v>
      </c>
      <c r="E125" s="488" t="s">
        <v>53</v>
      </c>
      <c r="F125" s="574"/>
      <c r="G125" s="338"/>
      <c r="H125" s="338"/>
    </row>
    <row r="126" spans="1:8" ht="49.5" customHeight="1" x14ac:dyDescent="0.25">
      <c r="A126" s="1524">
        <v>20</v>
      </c>
      <c r="B126" s="1493" t="s">
        <v>139</v>
      </c>
      <c r="C126" s="486" t="s">
        <v>160</v>
      </c>
      <c r="D126" s="572" t="s">
        <v>213</v>
      </c>
      <c r="E126" s="485" t="s">
        <v>48</v>
      </c>
      <c r="F126" s="573"/>
      <c r="G126" s="338"/>
      <c r="H126" s="338"/>
    </row>
    <row r="127" spans="1:8" ht="31.5" customHeight="1" x14ac:dyDescent="0.25">
      <c r="A127" s="1520"/>
      <c r="B127" s="1494"/>
      <c r="C127" s="475" t="s">
        <v>190</v>
      </c>
      <c r="D127" s="572" t="s">
        <v>212</v>
      </c>
      <c r="E127" s="473" t="s">
        <v>156</v>
      </c>
      <c r="F127" s="568"/>
      <c r="G127" s="338"/>
      <c r="H127" s="338"/>
    </row>
    <row r="128" spans="1:8" ht="46.5" customHeight="1" thickBot="1" x14ac:dyDescent="0.3">
      <c r="A128" s="1519"/>
      <c r="B128" s="1498"/>
      <c r="C128" s="523" t="s">
        <v>191</v>
      </c>
      <c r="D128" s="571" t="s">
        <v>180</v>
      </c>
      <c r="E128" s="469" t="s">
        <v>157</v>
      </c>
      <c r="F128" s="570"/>
      <c r="G128" s="338"/>
      <c r="H128" s="338"/>
    </row>
    <row r="129" spans="1:8" ht="39.75" customHeight="1" x14ac:dyDescent="0.25">
      <c r="A129" s="1518" t="s">
        <v>162</v>
      </c>
      <c r="B129" s="1493" t="s">
        <v>5379</v>
      </c>
      <c r="C129" s="479" t="s">
        <v>140</v>
      </c>
      <c r="D129" s="478" t="s">
        <v>213</v>
      </c>
      <c r="E129" s="477" t="s">
        <v>48</v>
      </c>
      <c r="F129" s="569"/>
      <c r="G129" s="338"/>
      <c r="H129" s="338"/>
    </row>
    <row r="130" spans="1:8" ht="90" customHeight="1" x14ac:dyDescent="0.25">
      <c r="A130" s="1520"/>
      <c r="B130" s="1494"/>
      <c r="C130" s="475" t="s">
        <v>141</v>
      </c>
      <c r="D130" s="474" t="s">
        <v>212</v>
      </c>
      <c r="E130" s="473" t="s">
        <v>156</v>
      </c>
      <c r="F130" s="568"/>
      <c r="G130" s="338"/>
      <c r="H130" s="338"/>
    </row>
    <row r="131" spans="1:8" ht="48" customHeight="1" thickBot="1" x14ac:dyDescent="0.3">
      <c r="A131" s="1519"/>
      <c r="B131" s="1498"/>
      <c r="C131" s="471" t="s">
        <v>142</v>
      </c>
      <c r="D131" s="470" t="s">
        <v>180</v>
      </c>
      <c r="E131" s="469" t="s">
        <v>157</v>
      </c>
      <c r="F131" s="567"/>
      <c r="G131" s="338"/>
      <c r="H131" s="338"/>
    </row>
    <row r="132" spans="1:8" ht="28.5" customHeight="1" x14ac:dyDescent="0.25">
      <c r="G132" s="338"/>
      <c r="H132" s="338"/>
    </row>
    <row r="133" spans="1:8" ht="21" customHeight="1" x14ac:dyDescent="0.25">
      <c r="G133" s="338"/>
      <c r="H133" s="338"/>
    </row>
    <row r="134" spans="1:8" ht="18" customHeight="1" x14ac:dyDescent="0.25">
      <c r="G134" s="338"/>
      <c r="H134" s="338"/>
    </row>
    <row r="135" spans="1:8" ht="15.75" customHeight="1" x14ac:dyDescent="0.25">
      <c r="G135" s="338"/>
      <c r="H135" s="338"/>
    </row>
    <row r="136" spans="1:8" x14ac:dyDescent="0.25">
      <c r="G136" s="338"/>
      <c r="H136" s="338"/>
    </row>
    <row r="137" spans="1:8" x14ac:dyDescent="0.25">
      <c r="G137" s="338"/>
      <c r="H137" s="338"/>
    </row>
    <row r="138" spans="1:8" ht="15.75" customHeight="1" x14ac:dyDescent="0.25"/>
  </sheetData>
  <mergeCells count="83">
    <mergeCell ref="C98:C100"/>
    <mergeCell ref="D98:D100"/>
    <mergeCell ref="C110:C112"/>
    <mergeCell ref="D110:D112"/>
    <mergeCell ref="B56:B61"/>
    <mergeCell ref="C89:C91"/>
    <mergeCell ref="D89:D91"/>
    <mergeCell ref="D101:D103"/>
    <mergeCell ref="C104:C106"/>
    <mergeCell ref="D104:D106"/>
    <mergeCell ref="C83:C85"/>
    <mergeCell ref="C71:C73"/>
    <mergeCell ref="D83:D85"/>
    <mergeCell ref="C86:C88"/>
    <mergeCell ref="D86:D88"/>
    <mergeCell ref="C74:C76"/>
    <mergeCell ref="D74:D76"/>
    <mergeCell ref="C77:C79"/>
    <mergeCell ref="C80:C82"/>
    <mergeCell ref="D80:D82"/>
    <mergeCell ref="D68:D70"/>
    <mergeCell ref="C68:C70"/>
    <mergeCell ref="D60:D61"/>
    <mergeCell ref="C60:C61"/>
    <mergeCell ref="D9:D10"/>
    <mergeCell ref="C9:C10"/>
    <mergeCell ref="C11:C12"/>
    <mergeCell ref="A18:A20"/>
    <mergeCell ref="C57:C58"/>
    <mergeCell ref="D57:D58"/>
    <mergeCell ref="A31:A33"/>
    <mergeCell ref="B31:B33"/>
    <mergeCell ref="B34:B55"/>
    <mergeCell ref="A29:A30"/>
    <mergeCell ref="B23:B24"/>
    <mergeCell ref="D1:F1"/>
    <mergeCell ref="A92:A115"/>
    <mergeCell ref="B92:B115"/>
    <mergeCell ref="C107:C109"/>
    <mergeCell ref="D107:D109"/>
    <mergeCell ref="C92:C94"/>
    <mergeCell ref="D92:D94"/>
    <mergeCell ref="C113:C115"/>
    <mergeCell ref="D113:D115"/>
    <mergeCell ref="C95:C97"/>
    <mergeCell ref="B4:B5"/>
    <mergeCell ref="A4:A5"/>
    <mergeCell ref="A6:A7"/>
    <mergeCell ref="B6:B7"/>
    <mergeCell ref="A9:A10"/>
    <mergeCell ref="B9:B10"/>
    <mergeCell ref="A129:A131"/>
    <mergeCell ref="B129:B131"/>
    <mergeCell ref="A126:A128"/>
    <mergeCell ref="B126:B128"/>
    <mergeCell ref="B29:B30"/>
    <mergeCell ref="B118:B122"/>
    <mergeCell ref="A116:A117"/>
    <mergeCell ref="B116:B117"/>
    <mergeCell ref="A56:A61"/>
    <mergeCell ref="A34:A55"/>
    <mergeCell ref="B123:B125"/>
    <mergeCell ref="B62:B67"/>
    <mergeCell ref="A68:A91"/>
    <mergeCell ref="A123:A125"/>
    <mergeCell ref="B68:B91"/>
    <mergeCell ref="A118:A122"/>
    <mergeCell ref="D95:D97"/>
    <mergeCell ref="C101:C103"/>
    <mergeCell ref="A11:A12"/>
    <mergeCell ref="B11:B12"/>
    <mergeCell ref="A14:A16"/>
    <mergeCell ref="D11:D12"/>
    <mergeCell ref="B18:B20"/>
    <mergeCell ref="A25:A28"/>
    <mergeCell ref="B25:B28"/>
    <mergeCell ref="B14:B16"/>
    <mergeCell ref="A21:A22"/>
    <mergeCell ref="B21:B22"/>
    <mergeCell ref="A23:A24"/>
    <mergeCell ref="D77:D79"/>
    <mergeCell ref="D71:D73"/>
    <mergeCell ref="A62:A67"/>
  </mergeCells>
  <pageMargins left="0.7" right="0.7" top="0.75" bottom="0.75" header="0.3" footer="0.3"/>
  <pageSetup paperSize="8" scale="62"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JY262"/>
  <sheetViews>
    <sheetView zoomScale="40" zoomScaleNormal="40" workbookViewId="0">
      <pane ySplit="1" topLeftCell="A2" activePane="bottomLeft" state="frozen"/>
      <selection pane="bottomLeft" activeCell="D164" sqref="D164"/>
    </sheetView>
  </sheetViews>
  <sheetFormatPr defaultColWidth="9.140625" defaultRowHeight="12.75" x14ac:dyDescent="0.2"/>
  <cols>
    <col min="1" max="1" width="5.42578125" style="99" customWidth="1"/>
    <col min="2" max="2" width="29.42578125" style="2" customWidth="1"/>
    <col min="3" max="3" width="6.7109375" style="99" customWidth="1"/>
    <col min="4" max="4" width="60.7109375" style="100" customWidth="1"/>
    <col min="5" max="5" width="23.28515625" style="35" customWidth="1"/>
    <col min="6" max="6" width="45.28515625" style="2" customWidth="1"/>
    <col min="7" max="7" width="9.140625" style="2" customWidth="1"/>
    <col min="8" max="8" width="28" style="57" customWidth="1"/>
    <col min="9" max="9" width="9.140625" style="57" customWidth="1"/>
    <col min="10" max="10" width="29.42578125" style="2" customWidth="1"/>
    <col min="11" max="11" width="9.140625" style="2" customWidth="1"/>
    <col min="12" max="12" width="36.140625" style="2" customWidth="1"/>
    <col min="13" max="13" width="12.85546875" style="2" customWidth="1"/>
    <col min="14" max="14" width="37.28515625" style="2" customWidth="1"/>
    <col min="15" max="15" width="13.28515625" style="2" customWidth="1"/>
    <col min="16" max="16" width="33.28515625" style="2" customWidth="1"/>
    <col min="17" max="17" width="13.28515625" style="2" customWidth="1"/>
    <col min="18" max="18" width="56" style="2" customWidth="1"/>
    <col min="19" max="25" width="9.140625" style="2" customWidth="1"/>
    <col min="26" max="26" width="22.28515625" style="2" customWidth="1"/>
    <col min="27" max="27" width="9.140625" style="2" customWidth="1"/>
    <col min="28" max="28" width="17.85546875" style="2" customWidth="1"/>
    <col min="29" max="29" width="9.140625" style="2" customWidth="1"/>
    <col min="30" max="30" width="29.85546875" style="2" customWidth="1"/>
    <col min="31" max="35" width="9.140625" style="2" customWidth="1"/>
    <col min="36" max="36" width="31.28515625" style="2" customWidth="1"/>
    <col min="37" max="37" width="9.140625" style="2" customWidth="1"/>
    <col min="38" max="38" width="28" style="2" customWidth="1"/>
    <col min="39" max="39" width="9.140625" style="2" customWidth="1"/>
    <col min="40" max="40" width="27" style="2" customWidth="1"/>
    <col min="41" max="41" width="9.140625" style="2" customWidth="1"/>
    <col min="42" max="42" width="26.28515625" style="2" customWidth="1"/>
    <col min="43" max="43" width="9.140625" style="2" customWidth="1"/>
    <col min="44" max="44" width="30.140625" style="2" customWidth="1"/>
    <col min="45" max="45" width="9.140625" style="2" customWidth="1"/>
    <col min="46" max="46" width="32" style="2" customWidth="1"/>
    <col min="47" max="47" width="9.140625" style="2" customWidth="1"/>
    <col min="48" max="48" width="36.28515625" style="2" customWidth="1"/>
    <col min="49" max="49" width="9.140625" style="2" customWidth="1"/>
    <col min="50" max="50" width="42.85546875" style="2" customWidth="1"/>
    <col min="51" max="51" width="9.140625" style="2" customWidth="1"/>
    <col min="52" max="52" width="38.42578125" style="2" customWidth="1"/>
    <col min="53" max="55" width="9.140625" style="2" customWidth="1"/>
    <col min="56" max="56" width="27.28515625" style="2" customWidth="1"/>
    <col min="57" max="57" width="9.140625" style="2" customWidth="1"/>
    <col min="58" max="58" width="23.85546875" style="2" customWidth="1"/>
    <col min="59" max="61" width="9.140625" style="2" customWidth="1"/>
    <col min="62" max="62" width="31" style="2" customWidth="1"/>
    <col min="63" max="63" width="9.140625" style="2" customWidth="1"/>
    <col min="64" max="64" width="22.7109375" style="2" customWidth="1"/>
    <col min="65" max="65" width="9.140625" style="2" customWidth="1"/>
    <col min="66" max="66" width="22.28515625" style="2" customWidth="1"/>
    <col min="67" max="67" width="9.140625" style="2" customWidth="1"/>
    <col min="68" max="68" width="23.42578125" style="2" customWidth="1"/>
    <col min="69" max="69" width="9.140625" style="2" customWidth="1"/>
    <col min="70" max="70" width="24.85546875" style="2" customWidth="1"/>
    <col min="71" max="71" width="9.140625" style="2" customWidth="1"/>
    <col min="72" max="72" width="29.42578125" style="2" customWidth="1"/>
    <col min="73" max="73" width="20.85546875" style="2" customWidth="1"/>
    <col min="74" max="74" width="29.85546875" style="2" customWidth="1"/>
    <col min="75" max="75" width="9.140625" style="2" customWidth="1"/>
    <col min="76" max="76" width="28.7109375" style="2" customWidth="1"/>
    <col min="77" max="77" width="9.140625" style="2" customWidth="1"/>
    <col min="78" max="78" width="29.42578125" style="2" customWidth="1"/>
    <col min="79" max="79" width="9.140625" style="2" customWidth="1"/>
    <col min="80" max="80" width="32" style="2" customWidth="1"/>
    <col min="81" max="85" width="9.140625" style="2" customWidth="1"/>
    <col min="86" max="86" width="24.28515625" style="2" customWidth="1"/>
    <col min="87" max="87" width="16.42578125" style="2" customWidth="1"/>
    <col min="88" max="88" width="23" style="2" customWidth="1"/>
    <col min="89" max="89" width="14" style="2" customWidth="1"/>
    <col min="90" max="90" width="32.140625" style="2" customWidth="1"/>
    <col min="91" max="91" width="9.140625" style="2" customWidth="1"/>
    <col min="92" max="92" width="25.85546875" style="2" customWidth="1"/>
    <col min="93" max="93" width="9.140625" style="2" customWidth="1"/>
    <col min="94" max="94" width="30.7109375" style="2" customWidth="1"/>
    <col min="95" max="95" width="9.140625" style="2" customWidth="1"/>
    <col min="96" max="96" width="30.7109375" style="2" customWidth="1"/>
    <col min="97" max="97" width="9.140625" style="2" customWidth="1"/>
    <col min="98" max="98" width="33.7109375" style="2" customWidth="1"/>
    <col min="99" max="99" width="9.140625" style="2" customWidth="1"/>
    <col min="100" max="100" width="22.7109375" style="2" customWidth="1"/>
    <col min="101" max="101" width="9.140625" style="2" customWidth="1"/>
    <col min="102" max="102" width="27.85546875" style="2" customWidth="1"/>
    <col min="103" max="103" width="9.140625" style="2" customWidth="1"/>
    <col min="104" max="104" width="28.28515625" style="2" customWidth="1"/>
    <col min="105" max="105" width="9.140625" style="2" customWidth="1"/>
    <col min="106" max="106" width="30.42578125" style="2" customWidth="1"/>
    <col min="107" max="107" width="9.140625" style="2" customWidth="1"/>
    <col min="108" max="108" width="26.85546875" style="2" customWidth="1"/>
    <col min="109" max="111" width="9.140625" style="2" customWidth="1"/>
    <col min="112" max="112" width="26.42578125" style="2" customWidth="1"/>
    <col min="113" max="113" width="9.140625" style="2" customWidth="1"/>
    <col min="114" max="114" width="28.140625" style="2" customWidth="1"/>
    <col min="115" max="117" width="9.140625" style="2" customWidth="1"/>
    <col min="118" max="118" width="33" style="2" customWidth="1"/>
    <col min="119" max="123" width="9.140625" style="2" customWidth="1"/>
    <col min="124" max="124" width="10.7109375" style="2" customWidth="1"/>
    <col min="125" max="125" width="9.140625" style="2" customWidth="1"/>
    <col min="126" max="126" width="40.28515625" style="2" customWidth="1"/>
    <col min="127" max="127" width="22" style="2" customWidth="1"/>
    <col min="128" max="128" width="37.7109375" style="2" customWidth="1"/>
    <col min="129" max="129" width="9.140625" style="2" customWidth="1"/>
    <col min="130" max="130" width="35.42578125" style="2" customWidth="1"/>
    <col min="131" max="135" width="9.140625" style="2" customWidth="1"/>
    <col min="136" max="136" width="37.85546875" style="2" customWidth="1"/>
    <col min="137" max="137" width="15.7109375" style="2" customWidth="1"/>
    <col min="138" max="138" width="36.28515625" style="2" customWidth="1"/>
    <col min="139" max="143" width="9.140625" style="2" customWidth="1"/>
    <col min="144" max="144" width="27" style="2" customWidth="1"/>
    <col min="145" max="145" width="9.140625" style="2" customWidth="1"/>
    <col min="146" max="146" width="29.140625" style="2" customWidth="1"/>
    <col min="147" max="149" width="9.140625" style="2" customWidth="1"/>
    <col min="150" max="150" width="19.42578125" style="2" customWidth="1"/>
    <col min="151" max="151" width="9.140625" style="2" customWidth="1"/>
    <col min="152" max="152" width="18.85546875" style="2" customWidth="1"/>
    <col min="153" max="153" width="9.140625" style="2" customWidth="1"/>
    <col min="154" max="154" width="26.85546875" style="2" customWidth="1"/>
    <col min="155" max="155" width="9.140625" style="2" customWidth="1"/>
    <col min="156" max="156" width="29.140625" style="2" customWidth="1"/>
    <col min="157" max="157" width="9.140625" style="2" customWidth="1"/>
    <col min="158" max="158" width="33" style="2" customWidth="1"/>
    <col min="159" max="159" width="9.140625" style="2" customWidth="1"/>
    <col min="160" max="160" width="22.42578125" style="2" customWidth="1"/>
    <col min="161" max="161" width="9.140625" style="2" customWidth="1"/>
    <col min="162" max="162" width="19.7109375" style="2" customWidth="1"/>
    <col min="163" max="163" width="9.140625" style="2" customWidth="1"/>
    <col min="164" max="164" width="18.28515625" style="2" customWidth="1"/>
    <col min="165" max="165" width="9.140625" style="2" customWidth="1"/>
    <col min="166" max="166" width="17.42578125" style="2" customWidth="1"/>
    <col min="167" max="167" width="9.140625" style="2" customWidth="1"/>
    <col min="168" max="168" width="22.140625" style="2" customWidth="1"/>
    <col min="169" max="169" width="9.140625" style="2" customWidth="1"/>
    <col min="170" max="170" width="35.140625" style="2" customWidth="1"/>
    <col min="171" max="171" width="9.140625" style="2" customWidth="1"/>
    <col min="172" max="172" width="39.28515625" style="2" customWidth="1"/>
    <col min="173" max="179" width="9.140625" style="2" customWidth="1"/>
    <col min="180" max="180" width="33.140625" style="2" customWidth="1"/>
    <col min="181" max="183" width="9.140625" style="2" customWidth="1"/>
    <col min="184" max="184" width="26" style="2" customWidth="1"/>
    <col min="185" max="185" width="9.140625" style="2" customWidth="1"/>
    <col min="186" max="186" width="32.140625" style="2" customWidth="1"/>
    <col min="187" max="187" width="9.140625" style="2" customWidth="1"/>
    <col min="188" max="188" width="20.85546875" style="2" customWidth="1"/>
    <col min="189" max="189" width="9.140625" style="2" customWidth="1"/>
    <col min="190" max="190" width="25.140625" style="2" customWidth="1"/>
    <col min="191" max="191" width="9.140625" style="2" customWidth="1"/>
    <col min="192" max="192" width="27.28515625" style="2" customWidth="1"/>
    <col min="193" max="193" width="9.140625" style="2" customWidth="1"/>
    <col min="194" max="194" width="24.7109375" style="2" customWidth="1"/>
    <col min="195" max="195" width="9.140625" style="2" customWidth="1"/>
    <col min="196" max="196" width="27.7109375" style="2" customWidth="1"/>
    <col min="197" max="197" width="9.140625" style="2" customWidth="1"/>
    <col min="198" max="198" width="25.7109375" style="2" customWidth="1"/>
    <col min="199" max="199" width="9.140625" style="2" customWidth="1"/>
    <col min="200" max="200" width="24.85546875" style="2" customWidth="1"/>
    <col min="201" max="201" width="9.140625" style="2" customWidth="1"/>
    <col min="202" max="202" width="29.28515625" style="2" customWidth="1"/>
    <col min="203" max="203" width="9.140625" style="2" customWidth="1"/>
    <col min="204" max="204" width="22.140625" style="2" customWidth="1"/>
    <col min="205" max="205" width="9.140625" style="2" customWidth="1"/>
    <col min="206" max="206" width="30.28515625" style="2" customWidth="1"/>
    <col min="207" max="207" width="9.140625" style="2" customWidth="1"/>
    <col min="208" max="208" width="27.28515625" style="2" customWidth="1"/>
    <col min="209" max="209" width="9.140625" style="2" customWidth="1"/>
    <col min="210" max="210" width="21.85546875" style="2" customWidth="1"/>
    <col min="211" max="211" width="21.42578125" style="2" customWidth="1"/>
    <col min="212" max="212" width="22" style="2" customWidth="1"/>
    <col min="213" max="213" width="9.140625" style="2" customWidth="1"/>
    <col min="214" max="214" width="19.85546875" style="2" customWidth="1"/>
    <col min="215" max="215" width="9.140625" style="2" customWidth="1"/>
    <col min="216" max="216" width="29" style="2" customWidth="1"/>
    <col min="217" max="219" width="9.140625" style="2" customWidth="1"/>
    <col min="220" max="220" width="27.140625" style="2" customWidth="1"/>
    <col min="221" max="221" width="9.140625" style="2" customWidth="1"/>
    <col min="222" max="222" width="28.7109375" style="2" customWidth="1"/>
    <col min="223" max="223" width="9.140625" style="2" customWidth="1"/>
    <col min="224" max="224" width="25.42578125" style="2" customWidth="1"/>
    <col min="225" max="225" width="9.140625" style="2" customWidth="1"/>
    <col min="226" max="226" width="19.7109375" style="2" customWidth="1"/>
    <col min="227" max="227" width="9.140625" style="2" customWidth="1"/>
    <col min="228" max="228" width="20.28515625" style="2" customWidth="1"/>
    <col min="229" max="229" width="9.140625" style="2" customWidth="1"/>
    <col min="230" max="230" width="17" style="2" customWidth="1"/>
    <col min="231" max="231" width="9.140625" style="2" customWidth="1"/>
    <col min="232" max="232" width="33.42578125" style="2" customWidth="1"/>
    <col min="233" max="233" width="9.140625" style="2" customWidth="1"/>
    <col min="234" max="234" width="28" style="2" customWidth="1"/>
    <col min="235" max="237" width="9.140625" style="2" customWidth="1"/>
    <col min="238" max="238" width="26.28515625" style="2" customWidth="1"/>
    <col min="239" max="239" width="9.140625" style="2" customWidth="1"/>
    <col min="240" max="240" width="24.42578125" style="2" customWidth="1"/>
    <col min="241" max="241" width="9.140625" style="2" customWidth="1"/>
    <col min="242" max="242" width="19.28515625" style="2" customWidth="1"/>
    <col min="243" max="245" width="9.140625" style="2" customWidth="1"/>
    <col min="246" max="246" width="24.42578125" style="2" customWidth="1"/>
    <col min="247" max="247" width="9.140625" style="2" customWidth="1"/>
    <col min="248" max="248" width="28" style="2" customWidth="1"/>
    <col min="249" max="249" width="9.140625" style="2" customWidth="1"/>
    <col min="250" max="250" width="42.7109375" style="2" customWidth="1"/>
    <col min="251" max="251" width="9.140625" style="2" customWidth="1"/>
    <col min="252" max="252" width="38.7109375" style="2" customWidth="1"/>
    <col min="253" max="253" width="9.140625" style="2" customWidth="1"/>
    <col min="254" max="254" width="28" style="2" customWidth="1"/>
    <col min="255" max="255" width="9.140625" style="2" customWidth="1"/>
    <col min="256" max="256" width="29.140625" style="2" customWidth="1"/>
    <col min="257" max="257" width="9.140625" style="2" customWidth="1"/>
    <col min="258" max="258" width="28.7109375" style="2" customWidth="1"/>
    <col min="259" max="259" width="9.140625" style="2" customWidth="1"/>
    <col min="260" max="260" width="27.28515625" style="2" customWidth="1"/>
    <col min="261" max="261" width="9.140625" style="2" customWidth="1"/>
    <col min="262" max="262" width="20.28515625" style="2" customWidth="1"/>
    <col min="263" max="263" width="9.140625" style="2" customWidth="1"/>
    <col min="264" max="264" width="23.28515625" style="2" customWidth="1"/>
    <col min="265" max="267" width="9.140625" style="2" customWidth="1"/>
    <col min="268" max="268" width="20.42578125" style="2" customWidth="1"/>
    <col min="269" max="269" width="15.42578125" style="2" customWidth="1"/>
    <col min="270" max="273" width="9.140625" style="2" customWidth="1"/>
    <col min="274" max="274" width="28.28515625" style="2" customWidth="1"/>
    <col min="275" max="277" width="9.140625" style="2" customWidth="1"/>
    <col min="278" max="278" width="21.42578125" style="2" customWidth="1"/>
    <col min="279" max="279" width="9.140625" style="2"/>
    <col min="280" max="280" width="25.7109375" style="2" customWidth="1"/>
    <col min="281" max="281" width="9.140625" style="2"/>
    <col min="282" max="282" width="24.85546875" style="2" customWidth="1"/>
    <col min="283" max="283" width="9.140625" style="2"/>
    <col min="284" max="284" width="33.85546875" style="2" customWidth="1"/>
    <col min="285" max="285" width="10.42578125" style="2" customWidth="1"/>
    <col min="286" max="16384" width="9.140625" style="2"/>
  </cols>
  <sheetData>
    <row r="1" spans="1:285" s="42" customFormat="1" ht="26.25" thickBot="1" x14ac:dyDescent="0.3">
      <c r="A1" s="38" t="s">
        <v>0</v>
      </c>
      <c r="B1" s="39" t="s">
        <v>183</v>
      </c>
      <c r="C1" s="40" t="s">
        <v>149</v>
      </c>
      <c r="D1" s="41" t="s">
        <v>182</v>
      </c>
      <c r="E1" s="629" t="s">
        <v>150</v>
      </c>
      <c r="F1" s="1" t="s">
        <v>285</v>
      </c>
      <c r="G1" s="1" t="s">
        <v>286</v>
      </c>
      <c r="H1" s="1" t="s">
        <v>285</v>
      </c>
      <c r="I1" s="1" t="s">
        <v>286</v>
      </c>
      <c r="J1" s="1" t="s">
        <v>285</v>
      </c>
      <c r="K1" s="1" t="s">
        <v>286</v>
      </c>
      <c r="L1" s="1" t="s">
        <v>285</v>
      </c>
      <c r="M1" s="1" t="s">
        <v>286</v>
      </c>
      <c r="N1" s="3" t="s">
        <v>285</v>
      </c>
      <c r="O1" s="1" t="s">
        <v>286</v>
      </c>
      <c r="P1" s="3" t="s">
        <v>285</v>
      </c>
      <c r="Q1" s="1" t="s">
        <v>286</v>
      </c>
      <c r="R1" s="1" t="s">
        <v>285</v>
      </c>
      <c r="S1" s="1" t="s">
        <v>286</v>
      </c>
      <c r="T1" s="1" t="s">
        <v>285</v>
      </c>
      <c r="U1" s="1" t="s">
        <v>286</v>
      </c>
      <c r="V1" s="1" t="s">
        <v>285</v>
      </c>
      <c r="W1" s="1" t="s">
        <v>286</v>
      </c>
      <c r="X1" s="1" t="s">
        <v>285</v>
      </c>
      <c r="Y1" s="1" t="s">
        <v>286</v>
      </c>
      <c r="Z1" s="1" t="s">
        <v>285</v>
      </c>
      <c r="AA1" s="1" t="s">
        <v>286</v>
      </c>
      <c r="AB1" s="1" t="s">
        <v>285</v>
      </c>
      <c r="AC1" s="1" t="s">
        <v>286</v>
      </c>
      <c r="AD1" s="1" t="s">
        <v>285</v>
      </c>
      <c r="AE1" s="1" t="s">
        <v>286</v>
      </c>
      <c r="AF1" s="1" t="s">
        <v>285</v>
      </c>
      <c r="AG1" s="1" t="s">
        <v>286</v>
      </c>
      <c r="AH1" s="1" t="s">
        <v>285</v>
      </c>
      <c r="AI1" s="1" t="s">
        <v>286</v>
      </c>
      <c r="AJ1" s="1" t="s">
        <v>285</v>
      </c>
      <c r="AK1" s="1" t="s">
        <v>286</v>
      </c>
      <c r="AL1" s="1" t="s">
        <v>285</v>
      </c>
      <c r="AM1" s="1" t="s">
        <v>286</v>
      </c>
      <c r="AN1" s="1" t="s">
        <v>285</v>
      </c>
      <c r="AO1" s="1" t="s">
        <v>286</v>
      </c>
      <c r="AP1" s="1" t="s">
        <v>285</v>
      </c>
      <c r="AQ1" s="1" t="s">
        <v>286</v>
      </c>
      <c r="AR1" s="1" t="s">
        <v>285</v>
      </c>
      <c r="AS1" s="1" t="s">
        <v>286</v>
      </c>
      <c r="AT1" s="1" t="s">
        <v>285</v>
      </c>
      <c r="AU1" s="1" t="s">
        <v>286</v>
      </c>
      <c r="AV1" s="1" t="s">
        <v>285</v>
      </c>
      <c r="AW1" s="1" t="s">
        <v>286</v>
      </c>
      <c r="AX1" s="1" t="s">
        <v>285</v>
      </c>
      <c r="AY1" s="1" t="s">
        <v>286</v>
      </c>
      <c r="AZ1" s="1" t="s">
        <v>285</v>
      </c>
      <c r="BA1" s="1" t="s">
        <v>286</v>
      </c>
      <c r="BB1" s="1" t="s">
        <v>285</v>
      </c>
      <c r="BC1" s="1" t="s">
        <v>286</v>
      </c>
      <c r="BD1" s="1" t="s">
        <v>285</v>
      </c>
      <c r="BE1" s="1" t="s">
        <v>286</v>
      </c>
      <c r="BF1" s="1" t="s">
        <v>285</v>
      </c>
      <c r="BG1" s="1" t="s">
        <v>286</v>
      </c>
      <c r="BH1" s="1" t="s">
        <v>285</v>
      </c>
      <c r="BI1" s="1" t="s">
        <v>286</v>
      </c>
      <c r="BJ1" s="1" t="s">
        <v>285</v>
      </c>
      <c r="BK1" s="1" t="s">
        <v>286</v>
      </c>
      <c r="BL1" s="1" t="s">
        <v>285</v>
      </c>
      <c r="BM1" s="1" t="s">
        <v>286</v>
      </c>
      <c r="BN1" s="1" t="s">
        <v>285</v>
      </c>
      <c r="BO1" s="1" t="s">
        <v>286</v>
      </c>
      <c r="BP1" s="1" t="s">
        <v>285</v>
      </c>
      <c r="BQ1" s="1" t="s">
        <v>286</v>
      </c>
      <c r="BR1" s="1" t="s">
        <v>285</v>
      </c>
      <c r="BS1" s="1" t="s">
        <v>286</v>
      </c>
      <c r="BT1" s="1" t="s">
        <v>285</v>
      </c>
      <c r="BU1" s="1" t="s">
        <v>286</v>
      </c>
      <c r="BV1" s="1" t="s">
        <v>285</v>
      </c>
      <c r="BW1" s="1" t="s">
        <v>286</v>
      </c>
      <c r="BX1" s="1" t="s">
        <v>285</v>
      </c>
      <c r="BY1" s="1" t="s">
        <v>286</v>
      </c>
      <c r="BZ1" s="1" t="s">
        <v>285</v>
      </c>
      <c r="CA1" s="1" t="s">
        <v>286</v>
      </c>
      <c r="CB1" s="1" t="s">
        <v>285</v>
      </c>
      <c r="CC1" s="1" t="s">
        <v>286</v>
      </c>
      <c r="CD1" s="1" t="s">
        <v>285</v>
      </c>
      <c r="CE1" s="1" t="s">
        <v>286</v>
      </c>
      <c r="CF1" s="1" t="s">
        <v>285</v>
      </c>
      <c r="CG1" s="1" t="s">
        <v>286</v>
      </c>
      <c r="CH1" s="1" t="s">
        <v>285</v>
      </c>
      <c r="CI1" s="1" t="s">
        <v>286</v>
      </c>
      <c r="CJ1" s="1" t="s">
        <v>285</v>
      </c>
      <c r="CK1" s="1" t="s">
        <v>286</v>
      </c>
      <c r="CL1" s="1" t="s">
        <v>285</v>
      </c>
      <c r="CM1" s="1" t="s">
        <v>286</v>
      </c>
      <c r="CN1" s="1" t="s">
        <v>285</v>
      </c>
      <c r="CO1" s="1" t="s">
        <v>286</v>
      </c>
      <c r="CP1" s="1" t="s">
        <v>285</v>
      </c>
      <c r="CQ1" s="1" t="s">
        <v>286</v>
      </c>
      <c r="CR1" s="1" t="s">
        <v>285</v>
      </c>
      <c r="CS1" s="1" t="s">
        <v>286</v>
      </c>
      <c r="CT1" s="1" t="s">
        <v>285</v>
      </c>
      <c r="CU1" s="1" t="s">
        <v>286</v>
      </c>
      <c r="CV1" s="1" t="s">
        <v>285</v>
      </c>
      <c r="CW1" s="1" t="s">
        <v>286</v>
      </c>
      <c r="CX1" s="1" t="s">
        <v>285</v>
      </c>
      <c r="CY1" s="1" t="s">
        <v>286</v>
      </c>
      <c r="CZ1" s="1" t="s">
        <v>285</v>
      </c>
      <c r="DA1" s="1" t="s">
        <v>286</v>
      </c>
      <c r="DB1" s="1" t="s">
        <v>285</v>
      </c>
      <c r="DC1" s="1" t="s">
        <v>286</v>
      </c>
      <c r="DD1" s="1" t="s">
        <v>285</v>
      </c>
      <c r="DE1" s="1" t="s">
        <v>286</v>
      </c>
      <c r="DF1" s="1" t="s">
        <v>285</v>
      </c>
      <c r="DG1" s="1" t="s">
        <v>286</v>
      </c>
      <c r="DH1" s="1" t="s">
        <v>285</v>
      </c>
      <c r="DI1" s="1" t="s">
        <v>286</v>
      </c>
      <c r="DJ1" s="1" t="s">
        <v>285</v>
      </c>
      <c r="DK1" s="1" t="s">
        <v>286</v>
      </c>
      <c r="DL1" s="1" t="s">
        <v>285</v>
      </c>
      <c r="DM1" s="1" t="s">
        <v>286</v>
      </c>
      <c r="DN1" s="1" t="s">
        <v>285</v>
      </c>
      <c r="DO1" s="1" t="s">
        <v>286</v>
      </c>
      <c r="DP1" s="1" t="s">
        <v>285</v>
      </c>
      <c r="DQ1" s="1" t="s">
        <v>286</v>
      </c>
      <c r="DR1" s="1" t="s">
        <v>285</v>
      </c>
      <c r="DS1" s="1" t="s">
        <v>286</v>
      </c>
      <c r="DT1" s="1" t="s">
        <v>285</v>
      </c>
      <c r="DU1" s="1" t="s">
        <v>286</v>
      </c>
      <c r="DV1" s="1" t="s">
        <v>285</v>
      </c>
      <c r="DW1" s="1" t="s">
        <v>286</v>
      </c>
      <c r="DX1" s="1" t="s">
        <v>285</v>
      </c>
      <c r="DY1" s="1" t="s">
        <v>286</v>
      </c>
      <c r="DZ1" s="1" t="s">
        <v>285</v>
      </c>
      <c r="EA1" s="1" t="s">
        <v>286</v>
      </c>
      <c r="EB1" s="1" t="s">
        <v>285</v>
      </c>
      <c r="EC1" s="1" t="s">
        <v>286</v>
      </c>
      <c r="ED1" s="1" t="s">
        <v>285</v>
      </c>
      <c r="EE1" s="1" t="s">
        <v>286</v>
      </c>
      <c r="EF1" s="1" t="s">
        <v>285</v>
      </c>
      <c r="EG1" s="1" t="s">
        <v>286</v>
      </c>
      <c r="EH1" s="1" t="s">
        <v>285</v>
      </c>
      <c r="EI1" s="1" t="s">
        <v>286</v>
      </c>
      <c r="EJ1" s="1" t="s">
        <v>285</v>
      </c>
      <c r="EK1" s="1" t="s">
        <v>286</v>
      </c>
      <c r="EL1" s="1" t="s">
        <v>285</v>
      </c>
      <c r="EM1" s="1" t="s">
        <v>286</v>
      </c>
      <c r="EN1" s="1" t="s">
        <v>285</v>
      </c>
      <c r="EO1" s="1" t="s">
        <v>286</v>
      </c>
      <c r="EP1" s="1" t="s">
        <v>285</v>
      </c>
      <c r="EQ1" s="1" t="s">
        <v>286</v>
      </c>
      <c r="ER1" s="1" t="s">
        <v>285</v>
      </c>
      <c r="ES1" s="1" t="s">
        <v>286</v>
      </c>
      <c r="ET1" s="1" t="s">
        <v>285</v>
      </c>
      <c r="EU1" s="1" t="s">
        <v>286</v>
      </c>
      <c r="EV1" s="1" t="s">
        <v>285</v>
      </c>
      <c r="EW1" s="1" t="s">
        <v>286</v>
      </c>
      <c r="EX1" s="1" t="s">
        <v>285</v>
      </c>
      <c r="EY1" s="1" t="s">
        <v>286</v>
      </c>
      <c r="EZ1" s="1" t="s">
        <v>285</v>
      </c>
      <c r="FA1" s="1" t="s">
        <v>286</v>
      </c>
      <c r="FB1" s="1" t="s">
        <v>285</v>
      </c>
      <c r="FC1" s="1" t="s">
        <v>286</v>
      </c>
      <c r="FD1" s="1" t="s">
        <v>285</v>
      </c>
      <c r="FE1" s="1" t="s">
        <v>286</v>
      </c>
      <c r="FF1" s="1" t="s">
        <v>285</v>
      </c>
      <c r="FG1" s="1" t="s">
        <v>286</v>
      </c>
      <c r="FH1" s="1" t="s">
        <v>285</v>
      </c>
      <c r="FI1" s="1" t="s">
        <v>286</v>
      </c>
      <c r="FJ1" s="1" t="s">
        <v>285</v>
      </c>
      <c r="FK1" s="1" t="s">
        <v>286</v>
      </c>
      <c r="FL1" s="1" t="s">
        <v>285</v>
      </c>
      <c r="FM1" s="1" t="s">
        <v>286</v>
      </c>
      <c r="FN1" s="1" t="s">
        <v>285</v>
      </c>
      <c r="FO1" s="1" t="s">
        <v>286</v>
      </c>
      <c r="FP1" s="1" t="s">
        <v>285</v>
      </c>
      <c r="FQ1" s="1" t="s">
        <v>286</v>
      </c>
      <c r="FR1" s="1" t="s">
        <v>285</v>
      </c>
      <c r="FS1" s="1" t="s">
        <v>286</v>
      </c>
      <c r="FT1" s="1" t="s">
        <v>285</v>
      </c>
      <c r="FU1" s="1" t="s">
        <v>286</v>
      </c>
      <c r="FV1" s="1" t="s">
        <v>285</v>
      </c>
      <c r="FW1" s="1" t="s">
        <v>286</v>
      </c>
      <c r="FX1" s="1" t="s">
        <v>285</v>
      </c>
      <c r="FY1" s="1" t="s">
        <v>286</v>
      </c>
      <c r="FZ1" s="1" t="s">
        <v>285</v>
      </c>
      <c r="GA1" s="1" t="s">
        <v>286</v>
      </c>
      <c r="GB1" s="1" t="s">
        <v>285</v>
      </c>
      <c r="GC1" s="1" t="s">
        <v>286</v>
      </c>
      <c r="GD1" s="1" t="s">
        <v>285</v>
      </c>
      <c r="GE1" s="1" t="s">
        <v>286</v>
      </c>
      <c r="GF1" s="1" t="s">
        <v>285</v>
      </c>
      <c r="GG1" s="1" t="s">
        <v>286</v>
      </c>
      <c r="GH1" s="1" t="s">
        <v>285</v>
      </c>
      <c r="GI1" s="1" t="s">
        <v>286</v>
      </c>
      <c r="GJ1" s="1" t="s">
        <v>285</v>
      </c>
      <c r="GK1" s="1" t="s">
        <v>286</v>
      </c>
      <c r="GL1" s="1" t="s">
        <v>285</v>
      </c>
      <c r="GM1" s="1" t="s">
        <v>286</v>
      </c>
      <c r="GN1" s="1" t="s">
        <v>285</v>
      </c>
      <c r="GO1" s="1" t="s">
        <v>286</v>
      </c>
      <c r="GP1" s="1" t="s">
        <v>285</v>
      </c>
      <c r="GQ1" s="1" t="s">
        <v>286</v>
      </c>
      <c r="GR1" s="1" t="s">
        <v>285</v>
      </c>
      <c r="GS1" s="1" t="s">
        <v>286</v>
      </c>
      <c r="GT1" s="1" t="s">
        <v>285</v>
      </c>
      <c r="GU1" s="1" t="s">
        <v>286</v>
      </c>
      <c r="GV1" s="1" t="s">
        <v>285</v>
      </c>
      <c r="GW1" s="1" t="s">
        <v>286</v>
      </c>
      <c r="GX1" s="1" t="s">
        <v>285</v>
      </c>
      <c r="GY1" s="1" t="s">
        <v>286</v>
      </c>
      <c r="GZ1" s="1" t="s">
        <v>285</v>
      </c>
      <c r="HA1" s="1" t="s">
        <v>286</v>
      </c>
      <c r="HB1" s="1" t="s">
        <v>285</v>
      </c>
      <c r="HC1" s="1" t="s">
        <v>286</v>
      </c>
      <c r="HD1" s="1" t="s">
        <v>285</v>
      </c>
      <c r="HE1" s="1" t="s">
        <v>286</v>
      </c>
      <c r="HF1" s="1" t="s">
        <v>285</v>
      </c>
      <c r="HG1" s="1" t="s">
        <v>286</v>
      </c>
      <c r="HH1" s="1" t="s">
        <v>285</v>
      </c>
      <c r="HI1" s="1" t="s">
        <v>286</v>
      </c>
      <c r="HJ1" s="1" t="s">
        <v>285</v>
      </c>
      <c r="HK1" s="1" t="s">
        <v>286</v>
      </c>
      <c r="HL1" s="1" t="s">
        <v>285</v>
      </c>
      <c r="HM1" s="1" t="s">
        <v>286</v>
      </c>
      <c r="HN1" s="1" t="s">
        <v>285</v>
      </c>
      <c r="HO1" s="1" t="s">
        <v>286</v>
      </c>
      <c r="HP1" s="1" t="s">
        <v>285</v>
      </c>
      <c r="HQ1" s="1" t="s">
        <v>286</v>
      </c>
      <c r="HR1" s="1" t="s">
        <v>285</v>
      </c>
      <c r="HS1" s="1" t="s">
        <v>286</v>
      </c>
      <c r="HT1" s="1" t="s">
        <v>285</v>
      </c>
      <c r="HU1" s="1" t="s">
        <v>286</v>
      </c>
      <c r="HV1" s="1" t="s">
        <v>285</v>
      </c>
      <c r="HW1" s="1" t="s">
        <v>286</v>
      </c>
      <c r="HX1" s="1" t="s">
        <v>285</v>
      </c>
      <c r="HY1" s="1" t="s">
        <v>286</v>
      </c>
      <c r="HZ1" s="1" t="s">
        <v>285</v>
      </c>
      <c r="IA1" s="1" t="s">
        <v>286</v>
      </c>
      <c r="IB1" s="1" t="s">
        <v>285</v>
      </c>
      <c r="IC1" s="1" t="s">
        <v>286</v>
      </c>
      <c r="ID1" s="1" t="s">
        <v>285</v>
      </c>
      <c r="IE1" s="1" t="s">
        <v>286</v>
      </c>
      <c r="IF1" s="1" t="s">
        <v>285</v>
      </c>
      <c r="IG1" s="1" t="s">
        <v>286</v>
      </c>
      <c r="IH1" s="1" t="s">
        <v>285</v>
      </c>
      <c r="II1" s="1" t="s">
        <v>286</v>
      </c>
      <c r="IJ1" s="1" t="s">
        <v>285</v>
      </c>
      <c r="IK1" s="1" t="s">
        <v>286</v>
      </c>
      <c r="IL1" s="1" t="s">
        <v>285</v>
      </c>
      <c r="IM1" s="1" t="s">
        <v>286</v>
      </c>
      <c r="IN1" s="1" t="s">
        <v>285</v>
      </c>
      <c r="IO1" s="1" t="s">
        <v>286</v>
      </c>
      <c r="IP1" s="1" t="s">
        <v>285</v>
      </c>
      <c r="IQ1" s="1" t="s">
        <v>286</v>
      </c>
      <c r="IR1" s="1" t="s">
        <v>285</v>
      </c>
      <c r="IS1" s="1" t="s">
        <v>286</v>
      </c>
      <c r="IT1" s="1" t="s">
        <v>285</v>
      </c>
      <c r="IU1" s="1" t="s">
        <v>286</v>
      </c>
      <c r="IV1" s="1" t="s">
        <v>285</v>
      </c>
      <c r="IW1" s="1" t="s">
        <v>286</v>
      </c>
      <c r="IX1" s="1" t="s">
        <v>285</v>
      </c>
      <c r="IY1" s="1" t="s">
        <v>286</v>
      </c>
      <c r="IZ1" s="1" t="s">
        <v>285</v>
      </c>
      <c r="JA1" s="1" t="s">
        <v>286</v>
      </c>
      <c r="JB1" s="1" t="s">
        <v>285</v>
      </c>
      <c r="JC1" s="1" t="s">
        <v>286</v>
      </c>
      <c r="JD1" s="1" t="s">
        <v>285</v>
      </c>
      <c r="JE1" s="1" t="s">
        <v>286</v>
      </c>
      <c r="JF1" s="1" t="s">
        <v>285</v>
      </c>
      <c r="JG1" s="1" t="s">
        <v>286</v>
      </c>
      <c r="JH1" s="1" t="s">
        <v>285</v>
      </c>
      <c r="JI1" s="1" t="s">
        <v>286</v>
      </c>
      <c r="JJ1" s="1" t="s">
        <v>285</v>
      </c>
      <c r="JK1" s="1" t="s">
        <v>286</v>
      </c>
      <c r="JL1" s="1" t="s">
        <v>285</v>
      </c>
      <c r="JM1" s="1" t="s">
        <v>286</v>
      </c>
      <c r="JN1" s="1" t="s">
        <v>285</v>
      </c>
      <c r="JO1" s="1" t="s">
        <v>286</v>
      </c>
      <c r="JP1" s="1" t="s">
        <v>285</v>
      </c>
      <c r="JQ1" s="1" t="s">
        <v>286</v>
      </c>
      <c r="JR1" s="1" t="s">
        <v>285</v>
      </c>
      <c r="JS1" s="1" t="s">
        <v>286</v>
      </c>
      <c r="JT1" s="1" t="s">
        <v>285</v>
      </c>
      <c r="JU1" s="1" t="s">
        <v>286</v>
      </c>
      <c r="JV1" s="1" t="s">
        <v>285</v>
      </c>
      <c r="JW1" s="1" t="s">
        <v>286</v>
      </c>
      <c r="JX1" s="1" t="s">
        <v>285</v>
      </c>
      <c r="JY1" s="1" t="s">
        <v>286</v>
      </c>
    </row>
    <row r="2" spans="1:285" s="47" customFormat="1" ht="13.5" thickBot="1" x14ac:dyDescent="0.3">
      <c r="A2" s="43" t="s">
        <v>1</v>
      </c>
      <c r="B2" s="44" t="s">
        <v>2</v>
      </c>
      <c r="C2" s="45" t="s">
        <v>3</v>
      </c>
      <c r="D2" s="46" t="s">
        <v>4</v>
      </c>
      <c r="E2" s="632" t="s">
        <v>9</v>
      </c>
      <c r="F2" s="5" t="s">
        <v>287</v>
      </c>
      <c r="G2" s="5" t="s">
        <v>287</v>
      </c>
      <c r="H2" s="5" t="s">
        <v>288</v>
      </c>
      <c r="I2" s="5" t="s">
        <v>288</v>
      </c>
      <c r="J2" s="5" t="s">
        <v>288</v>
      </c>
      <c r="K2" s="5" t="s">
        <v>288</v>
      </c>
      <c r="L2" s="5" t="s">
        <v>288</v>
      </c>
      <c r="M2" s="5" t="s">
        <v>288</v>
      </c>
      <c r="N2" s="84" t="s">
        <v>289</v>
      </c>
      <c r="O2" s="5" t="s">
        <v>289</v>
      </c>
      <c r="P2" s="84" t="s">
        <v>289</v>
      </c>
      <c r="Q2" s="5" t="s">
        <v>289</v>
      </c>
      <c r="R2" s="5" t="s">
        <v>290</v>
      </c>
      <c r="S2" s="5" t="s">
        <v>290</v>
      </c>
      <c r="T2" s="5" t="s">
        <v>291</v>
      </c>
      <c r="U2" s="5" t="s">
        <v>291</v>
      </c>
      <c r="V2" s="5" t="s">
        <v>292</v>
      </c>
      <c r="W2" s="5" t="s">
        <v>292</v>
      </c>
      <c r="X2" s="5" t="s">
        <v>292</v>
      </c>
      <c r="Y2" s="5" t="s">
        <v>292</v>
      </c>
      <c r="Z2" s="5" t="s">
        <v>293</v>
      </c>
      <c r="AA2" s="5" t="s">
        <v>293</v>
      </c>
      <c r="AB2" s="5" t="s">
        <v>293</v>
      </c>
      <c r="AC2" s="5" t="s">
        <v>293</v>
      </c>
      <c r="AD2" s="5" t="s">
        <v>293</v>
      </c>
      <c r="AE2" s="5" t="s">
        <v>293</v>
      </c>
      <c r="AF2" s="5" t="s">
        <v>294</v>
      </c>
      <c r="AG2" s="5" t="s">
        <v>294</v>
      </c>
      <c r="AH2" s="5" t="s">
        <v>294</v>
      </c>
      <c r="AI2" s="5" t="s">
        <v>294</v>
      </c>
      <c r="AJ2" s="5" t="s">
        <v>295</v>
      </c>
      <c r="AK2" s="5" t="s">
        <v>295</v>
      </c>
      <c r="AL2" s="5" t="s">
        <v>296</v>
      </c>
      <c r="AM2" s="5" t="s">
        <v>296</v>
      </c>
      <c r="AN2" s="5" t="s">
        <v>297</v>
      </c>
      <c r="AO2" s="5" t="s">
        <v>297</v>
      </c>
      <c r="AP2" s="5" t="s">
        <v>297</v>
      </c>
      <c r="AQ2" s="5" t="s">
        <v>297</v>
      </c>
      <c r="AR2" s="5" t="s">
        <v>297</v>
      </c>
      <c r="AS2" s="5" t="s">
        <v>297</v>
      </c>
      <c r="AT2" s="5" t="s">
        <v>298</v>
      </c>
      <c r="AU2" s="5" t="s">
        <v>298</v>
      </c>
      <c r="AV2" s="5" t="s">
        <v>299</v>
      </c>
      <c r="AW2" s="5" t="s">
        <v>299</v>
      </c>
      <c r="AX2" s="5" t="s">
        <v>300</v>
      </c>
      <c r="AY2" s="5" t="s">
        <v>300</v>
      </c>
      <c r="AZ2" s="5" t="s">
        <v>300</v>
      </c>
      <c r="BA2" s="5" t="s">
        <v>300</v>
      </c>
      <c r="BB2" s="5" t="s">
        <v>300</v>
      </c>
      <c r="BC2" s="5" t="s">
        <v>300</v>
      </c>
      <c r="BD2" s="5" t="s">
        <v>301</v>
      </c>
      <c r="BE2" s="5" t="s">
        <v>301</v>
      </c>
      <c r="BF2" s="5" t="s">
        <v>301</v>
      </c>
      <c r="BG2" s="5" t="s">
        <v>301</v>
      </c>
      <c r="BH2" s="5" t="s">
        <v>302</v>
      </c>
      <c r="BI2" s="5" t="s">
        <v>302</v>
      </c>
      <c r="BJ2" s="5" t="s">
        <v>303</v>
      </c>
      <c r="BK2" s="5" t="s">
        <v>303</v>
      </c>
      <c r="BL2" s="5" t="s">
        <v>304</v>
      </c>
      <c r="BM2" s="5" t="s">
        <v>304</v>
      </c>
      <c r="BN2" s="5" t="s">
        <v>305</v>
      </c>
      <c r="BO2" s="5" t="s">
        <v>305</v>
      </c>
      <c r="BP2" s="5" t="s">
        <v>306</v>
      </c>
      <c r="BQ2" s="5" t="s">
        <v>306</v>
      </c>
      <c r="BR2" s="5" t="s">
        <v>307</v>
      </c>
      <c r="BS2" s="5" t="s">
        <v>307</v>
      </c>
      <c r="BT2" s="5" t="s">
        <v>308</v>
      </c>
      <c r="BU2" s="5" t="s">
        <v>308</v>
      </c>
      <c r="BV2" s="5" t="s">
        <v>308</v>
      </c>
      <c r="BW2" s="5" t="s">
        <v>308</v>
      </c>
      <c r="BX2" s="5" t="s">
        <v>309</v>
      </c>
      <c r="BY2" s="5" t="s">
        <v>309</v>
      </c>
      <c r="BZ2" s="5" t="s">
        <v>309</v>
      </c>
      <c r="CA2" s="5" t="s">
        <v>309</v>
      </c>
      <c r="CB2" s="5" t="s">
        <v>310</v>
      </c>
      <c r="CC2" s="5" t="s">
        <v>310</v>
      </c>
      <c r="CD2" s="5" t="s">
        <v>311</v>
      </c>
      <c r="CE2" s="5" t="s">
        <v>311</v>
      </c>
      <c r="CF2" s="5" t="s">
        <v>312</v>
      </c>
      <c r="CG2" s="5" t="s">
        <v>312</v>
      </c>
      <c r="CH2" s="5" t="s">
        <v>313</v>
      </c>
      <c r="CI2" s="5" t="s">
        <v>313</v>
      </c>
      <c r="CJ2" s="5" t="s">
        <v>313</v>
      </c>
      <c r="CK2" s="5" t="s">
        <v>313</v>
      </c>
      <c r="CL2" s="5" t="s">
        <v>314</v>
      </c>
      <c r="CM2" s="5" t="s">
        <v>314</v>
      </c>
      <c r="CN2" s="5" t="s">
        <v>315</v>
      </c>
      <c r="CO2" s="5" t="s">
        <v>315</v>
      </c>
      <c r="CP2" s="5" t="s">
        <v>315</v>
      </c>
      <c r="CQ2" s="5" t="s">
        <v>315</v>
      </c>
      <c r="CR2" s="5" t="s">
        <v>315</v>
      </c>
      <c r="CS2" s="5" t="s">
        <v>315</v>
      </c>
      <c r="CT2" s="5" t="s">
        <v>316</v>
      </c>
      <c r="CU2" s="5" t="s">
        <v>316</v>
      </c>
      <c r="CV2" s="5" t="s">
        <v>317</v>
      </c>
      <c r="CW2" s="5" t="s">
        <v>317</v>
      </c>
      <c r="CX2" s="5" t="s">
        <v>317</v>
      </c>
      <c r="CY2" s="5" t="s">
        <v>317</v>
      </c>
      <c r="CZ2" s="5" t="s">
        <v>317</v>
      </c>
      <c r="DA2" s="5" t="s">
        <v>317</v>
      </c>
      <c r="DB2" s="5" t="s">
        <v>317</v>
      </c>
      <c r="DC2" s="5" t="s">
        <v>317</v>
      </c>
      <c r="DD2" s="5" t="s">
        <v>318</v>
      </c>
      <c r="DE2" s="5" t="s">
        <v>318</v>
      </c>
      <c r="DF2" s="5" t="s">
        <v>319</v>
      </c>
      <c r="DG2" s="5" t="s">
        <v>319</v>
      </c>
      <c r="DH2" s="5" t="s">
        <v>320</v>
      </c>
      <c r="DI2" s="5" t="s">
        <v>320</v>
      </c>
      <c r="DJ2" s="5" t="s">
        <v>320</v>
      </c>
      <c r="DK2" s="5" t="s">
        <v>320</v>
      </c>
      <c r="DL2" s="5" t="s">
        <v>320</v>
      </c>
      <c r="DM2" s="5" t="s">
        <v>320</v>
      </c>
      <c r="DN2" s="5" t="s">
        <v>321</v>
      </c>
      <c r="DO2" s="5" t="s">
        <v>321</v>
      </c>
      <c r="DP2" s="5" t="s">
        <v>321</v>
      </c>
      <c r="DQ2" s="5" t="s">
        <v>321</v>
      </c>
      <c r="DR2" s="5" t="s">
        <v>321</v>
      </c>
      <c r="DS2" s="5" t="s">
        <v>321</v>
      </c>
      <c r="DT2" s="5" t="s">
        <v>322</v>
      </c>
      <c r="DU2" s="5" t="s">
        <v>322</v>
      </c>
      <c r="DV2" s="5" t="s">
        <v>323</v>
      </c>
      <c r="DW2" s="5" t="s">
        <v>323</v>
      </c>
      <c r="DX2" s="5" t="s">
        <v>323</v>
      </c>
      <c r="DY2" s="5" t="s">
        <v>323</v>
      </c>
      <c r="DZ2" s="5" t="s">
        <v>324</v>
      </c>
      <c r="EA2" s="5" t="s">
        <v>324</v>
      </c>
      <c r="EB2" s="5" t="s">
        <v>324</v>
      </c>
      <c r="EC2" s="5" t="s">
        <v>324</v>
      </c>
      <c r="ED2" s="5" t="s">
        <v>325</v>
      </c>
      <c r="EE2" s="5" t="s">
        <v>325</v>
      </c>
      <c r="EF2" s="5" t="s">
        <v>326</v>
      </c>
      <c r="EG2" s="5" t="s">
        <v>326</v>
      </c>
      <c r="EH2" s="5" t="s">
        <v>326</v>
      </c>
      <c r="EI2" s="5" t="s">
        <v>326</v>
      </c>
      <c r="EJ2" s="5" t="s">
        <v>327</v>
      </c>
      <c r="EK2" s="5" t="s">
        <v>327</v>
      </c>
      <c r="EL2" s="5" t="s">
        <v>328</v>
      </c>
      <c r="EM2" s="5" t="s">
        <v>328</v>
      </c>
      <c r="EN2" s="5" t="s">
        <v>329</v>
      </c>
      <c r="EO2" s="5" t="s">
        <v>329</v>
      </c>
      <c r="EP2" s="5" t="s">
        <v>330</v>
      </c>
      <c r="EQ2" s="5" t="s">
        <v>330</v>
      </c>
      <c r="ER2" s="5" t="s">
        <v>331</v>
      </c>
      <c r="ES2" s="5" t="s">
        <v>331</v>
      </c>
      <c r="ET2" s="5" t="s">
        <v>332</v>
      </c>
      <c r="EU2" s="5" t="s">
        <v>332</v>
      </c>
      <c r="EV2" s="5" t="s">
        <v>332</v>
      </c>
      <c r="EW2" s="5" t="s">
        <v>332</v>
      </c>
      <c r="EX2" s="5" t="s">
        <v>333</v>
      </c>
      <c r="EY2" s="5" t="s">
        <v>333</v>
      </c>
      <c r="EZ2" s="5" t="s">
        <v>333</v>
      </c>
      <c r="FA2" s="5" t="s">
        <v>333</v>
      </c>
      <c r="FB2" s="5" t="s">
        <v>333</v>
      </c>
      <c r="FC2" s="5" t="s">
        <v>333</v>
      </c>
      <c r="FD2" s="5" t="s">
        <v>333</v>
      </c>
      <c r="FE2" s="5" t="s">
        <v>333</v>
      </c>
      <c r="FF2" s="5" t="s">
        <v>333</v>
      </c>
      <c r="FG2" s="5" t="s">
        <v>333</v>
      </c>
      <c r="FH2" s="5" t="s">
        <v>333</v>
      </c>
      <c r="FI2" s="5" t="s">
        <v>333</v>
      </c>
      <c r="FJ2" s="5" t="s">
        <v>333</v>
      </c>
      <c r="FK2" s="5" t="s">
        <v>333</v>
      </c>
      <c r="FL2" s="5" t="s">
        <v>334</v>
      </c>
      <c r="FM2" s="5" t="s">
        <v>334</v>
      </c>
      <c r="FN2" s="5" t="s">
        <v>335</v>
      </c>
      <c r="FO2" s="5" t="s">
        <v>335</v>
      </c>
      <c r="FP2" s="5" t="s">
        <v>336</v>
      </c>
      <c r="FQ2" s="5" t="s">
        <v>336</v>
      </c>
      <c r="FR2" s="5" t="s">
        <v>337</v>
      </c>
      <c r="FS2" s="5" t="s">
        <v>337</v>
      </c>
      <c r="FT2" s="5" t="s">
        <v>337</v>
      </c>
      <c r="FU2" s="5" t="s">
        <v>337</v>
      </c>
      <c r="FV2" s="5" t="s">
        <v>338</v>
      </c>
      <c r="FW2" s="5" t="s">
        <v>338</v>
      </c>
      <c r="FX2" s="5" t="s">
        <v>339</v>
      </c>
      <c r="FY2" s="5" t="s">
        <v>339</v>
      </c>
      <c r="FZ2" s="5" t="s">
        <v>340</v>
      </c>
      <c r="GA2" s="5" t="s">
        <v>340</v>
      </c>
      <c r="GB2" s="5" t="s">
        <v>341</v>
      </c>
      <c r="GC2" s="5" t="s">
        <v>341</v>
      </c>
      <c r="GD2" s="5" t="s">
        <v>342</v>
      </c>
      <c r="GE2" s="5" t="s">
        <v>342</v>
      </c>
      <c r="GF2" s="5" t="s">
        <v>343</v>
      </c>
      <c r="GG2" s="5" t="s">
        <v>343</v>
      </c>
      <c r="GH2" s="5" t="s">
        <v>343</v>
      </c>
      <c r="GI2" s="5" t="s">
        <v>343</v>
      </c>
      <c r="GJ2" s="5" t="s">
        <v>344</v>
      </c>
      <c r="GK2" s="5" t="s">
        <v>344</v>
      </c>
      <c r="GL2" s="5" t="s">
        <v>345</v>
      </c>
      <c r="GM2" s="5" t="s">
        <v>345</v>
      </c>
      <c r="GN2" s="5" t="s">
        <v>345</v>
      </c>
      <c r="GO2" s="5" t="s">
        <v>345</v>
      </c>
      <c r="GP2" s="5" t="s">
        <v>345</v>
      </c>
      <c r="GQ2" s="5" t="s">
        <v>345</v>
      </c>
      <c r="GR2" s="5" t="s">
        <v>346</v>
      </c>
      <c r="GS2" s="5" t="s">
        <v>346</v>
      </c>
      <c r="GT2" s="5" t="s">
        <v>347</v>
      </c>
      <c r="GU2" s="5" t="s">
        <v>347</v>
      </c>
      <c r="GV2" s="5" t="s">
        <v>348</v>
      </c>
      <c r="GW2" s="5" t="s">
        <v>348</v>
      </c>
      <c r="GX2" s="5" t="s">
        <v>348</v>
      </c>
      <c r="GY2" s="5" t="s">
        <v>348</v>
      </c>
      <c r="GZ2" s="5" t="s">
        <v>348</v>
      </c>
      <c r="HA2" s="5" t="s">
        <v>348</v>
      </c>
      <c r="HB2" s="5" t="s">
        <v>349</v>
      </c>
      <c r="HC2" s="5" t="s">
        <v>349</v>
      </c>
      <c r="HD2" s="5" t="s">
        <v>349</v>
      </c>
      <c r="HE2" s="5" t="s">
        <v>349</v>
      </c>
      <c r="HF2" s="5" t="s">
        <v>349</v>
      </c>
      <c r="HG2" s="5" t="s">
        <v>349</v>
      </c>
      <c r="HH2" s="5" t="s">
        <v>350</v>
      </c>
      <c r="HI2" s="5" t="s">
        <v>350</v>
      </c>
      <c r="HJ2" s="5" t="s">
        <v>351</v>
      </c>
      <c r="HK2" s="5" t="s">
        <v>351</v>
      </c>
      <c r="HL2" s="5" t="s">
        <v>352</v>
      </c>
      <c r="HM2" s="5" t="s">
        <v>352</v>
      </c>
      <c r="HN2" s="5" t="s">
        <v>353</v>
      </c>
      <c r="HO2" s="5" t="s">
        <v>353</v>
      </c>
      <c r="HP2" s="5" t="s">
        <v>354</v>
      </c>
      <c r="HQ2" s="5" t="s">
        <v>354</v>
      </c>
      <c r="HR2" s="5" t="s">
        <v>354</v>
      </c>
      <c r="HS2" s="5" t="s">
        <v>354</v>
      </c>
      <c r="HT2" s="5" t="s">
        <v>354</v>
      </c>
      <c r="HU2" s="5" t="s">
        <v>354</v>
      </c>
      <c r="HV2" s="5" t="s">
        <v>354</v>
      </c>
      <c r="HW2" s="5" t="s">
        <v>354</v>
      </c>
      <c r="HX2" s="5" t="s">
        <v>355</v>
      </c>
      <c r="HY2" s="5" t="s">
        <v>355</v>
      </c>
      <c r="HZ2" s="5" t="s">
        <v>355</v>
      </c>
      <c r="IA2" s="5" t="s">
        <v>355</v>
      </c>
      <c r="IB2" s="5" t="s">
        <v>355</v>
      </c>
      <c r="IC2" s="5" t="s">
        <v>355</v>
      </c>
      <c r="ID2" s="5" t="s">
        <v>356</v>
      </c>
      <c r="IE2" s="5" t="s">
        <v>356</v>
      </c>
      <c r="IF2" s="5" t="s">
        <v>357</v>
      </c>
      <c r="IG2" s="5" t="s">
        <v>357</v>
      </c>
      <c r="IH2" s="5" t="s">
        <v>358</v>
      </c>
      <c r="II2" s="5" t="s">
        <v>358</v>
      </c>
      <c r="IJ2" s="5" t="s">
        <v>359</v>
      </c>
      <c r="IK2" s="5" t="s">
        <v>359</v>
      </c>
      <c r="IL2" s="5" t="s">
        <v>360</v>
      </c>
      <c r="IM2" s="5" t="s">
        <v>360</v>
      </c>
      <c r="IN2" s="5" t="s">
        <v>360</v>
      </c>
      <c r="IO2" s="5" t="s">
        <v>360</v>
      </c>
      <c r="IP2" s="5" t="s">
        <v>361</v>
      </c>
      <c r="IQ2" s="5" t="s">
        <v>361</v>
      </c>
      <c r="IR2" s="5" t="s">
        <v>361</v>
      </c>
      <c r="IS2" s="5" t="s">
        <v>361</v>
      </c>
      <c r="IT2" s="5" t="s">
        <v>362</v>
      </c>
      <c r="IU2" s="5" t="s">
        <v>362</v>
      </c>
      <c r="IV2" s="5" t="s">
        <v>362</v>
      </c>
      <c r="IW2" s="5" t="s">
        <v>362</v>
      </c>
      <c r="IX2" s="5" t="s">
        <v>362</v>
      </c>
      <c r="IY2" s="5" t="s">
        <v>362</v>
      </c>
      <c r="IZ2" s="5" t="s">
        <v>363</v>
      </c>
      <c r="JA2" s="5" t="s">
        <v>363</v>
      </c>
      <c r="JB2" s="5" t="s">
        <v>363</v>
      </c>
      <c r="JC2" s="5" t="s">
        <v>363</v>
      </c>
      <c r="JD2" s="5" t="s">
        <v>363</v>
      </c>
      <c r="JE2" s="5" t="s">
        <v>363</v>
      </c>
      <c r="JF2" s="5" t="s">
        <v>364</v>
      </c>
      <c r="JG2" s="5" t="s">
        <v>364</v>
      </c>
      <c r="JH2" s="5" t="s">
        <v>365</v>
      </c>
      <c r="JI2" s="5" t="s">
        <v>365</v>
      </c>
      <c r="JJ2" s="5" t="s">
        <v>365</v>
      </c>
      <c r="JK2" s="5" t="s">
        <v>365</v>
      </c>
      <c r="JL2" s="5" t="s">
        <v>365</v>
      </c>
      <c r="JM2" s="5" t="s">
        <v>365</v>
      </c>
      <c r="JN2" s="5" t="s">
        <v>366</v>
      </c>
      <c r="JO2" s="5" t="s">
        <v>366</v>
      </c>
      <c r="JP2" s="5" t="s">
        <v>367</v>
      </c>
      <c r="JQ2" s="5" t="s">
        <v>367</v>
      </c>
      <c r="JR2" s="5" t="s">
        <v>368</v>
      </c>
      <c r="JS2" s="5" t="s">
        <v>368</v>
      </c>
      <c r="JT2" s="5" t="s">
        <v>369</v>
      </c>
      <c r="JU2" s="5" t="s">
        <v>369</v>
      </c>
      <c r="JV2" s="5" t="s">
        <v>370</v>
      </c>
      <c r="JW2" s="5" t="s">
        <v>370</v>
      </c>
      <c r="JX2" s="5" t="s">
        <v>371</v>
      </c>
      <c r="JY2" s="5" t="s">
        <v>371</v>
      </c>
    </row>
    <row r="3" spans="1:285" s="52" customFormat="1" ht="63.75" x14ac:dyDescent="0.2">
      <c r="A3" s="48" t="s">
        <v>147</v>
      </c>
      <c r="B3" s="49" t="s">
        <v>148</v>
      </c>
      <c r="C3" s="50" t="s">
        <v>151</v>
      </c>
      <c r="D3" s="51" t="s">
        <v>284</v>
      </c>
      <c r="E3" s="755" t="s">
        <v>48</v>
      </c>
      <c r="F3" s="5" t="s">
        <v>372</v>
      </c>
      <c r="G3" s="5" t="s">
        <v>372</v>
      </c>
      <c r="H3" s="5" t="s">
        <v>373</v>
      </c>
      <c r="I3" s="5" t="s">
        <v>373</v>
      </c>
      <c r="J3" s="5" t="s">
        <v>373</v>
      </c>
      <c r="K3" s="5" t="s">
        <v>373</v>
      </c>
      <c r="L3" s="5" t="s">
        <v>373</v>
      </c>
      <c r="M3" s="5" t="s">
        <v>373</v>
      </c>
      <c r="N3" s="84" t="s">
        <v>374</v>
      </c>
      <c r="O3" s="5" t="s">
        <v>374</v>
      </c>
      <c r="P3" s="84" t="s">
        <v>374</v>
      </c>
      <c r="Q3" s="5" t="s">
        <v>374</v>
      </c>
      <c r="R3" s="5" t="s">
        <v>375</v>
      </c>
      <c r="S3" s="5" t="s">
        <v>375</v>
      </c>
      <c r="T3" s="5" t="s">
        <v>376</v>
      </c>
      <c r="U3" s="5" t="s">
        <v>376</v>
      </c>
      <c r="V3" s="5" t="s">
        <v>377</v>
      </c>
      <c r="W3" s="5" t="s">
        <v>377</v>
      </c>
      <c r="X3" s="5" t="s">
        <v>377</v>
      </c>
      <c r="Y3" s="5" t="s">
        <v>377</v>
      </c>
      <c r="Z3" s="5" t="s">
        <v>378</v>
      </c>
      <c r="AA3" s="5" t="s">
        <v>378</v>
      </c>
      <c r="AB3" s="5" t="s">
        <v>378</v>
      </c>
      <c r="AC3" s="5" t="s">
        <v>378</v>
      </c>
      <c r="AD3" s="5" t="s">
        <v>378</v>
      </c>
      <c r="AE3" s="5" t="s">
        <v>378</v>
      </c>
      <c r="AF3" s="5" t="s">
        <v>379</v>
      </c>
      <c r="AG3" s="5" t="s">
        <v>379</v>
      </c>
      <c r="AH3" s="5" t="s">
        <v>379</v>
      </c>
      <c r="AI3" s="5" t="s">
        <v>379</v>
      </c>
      <c r="AJ3" s="5" t="s">
        <v>380</v>
      </c>
      <c r="AK3" s="5" t="s">
        <v>380</v>
      </c>
      <c r="AL3" s="5" t="s">
        <v>381</v>
      </c>
      <c r="AM3" s="5" t="s">
        <v>381</v>
      </c>
      <c r="AN3" s="5" t="s">
        <v>382</v>
      </c>
      <c r="AO3" s="5" t="s">
        <v>382</v>
      </c>
      <c r="AP3" s="5" t="s">
        <v>382</v>
      </c>
      <c r="AQ3" s="5" t="s">
        <v>382</v>
      </c>
      <c r="AR3" s="5" t="s">
        <v>382</v>
      </c>
      <c r="AS3" s="5" t="s">
        <v>382</v>
      </c>
      <c r="AT3" s="5" t="s">
        <v>383</v>
      </c>
      <c r="AU3" s="5" t="s">
        <v>383</v>
      </c>
      <c r="AV3" s="5" t="s">
        <v>384</v>
      </c>
      <c r="AW3" s="5" t="s">
        <v>384</v>
      </c>
      <c r="AX3" s="5" t="s">
        <v>385</v>
      </c>
      <c r="AY3" s="5" t="s">
        <v>385</v>
      </c>
      <c r="AZ3" s="5" t="s">
        <v>385</v>
      </c>
      <c r="BA3" s="5" t="s">
        <v>385</v>
      </c>
      <c r="BB3" s="5" t="s">
        <v>385</v>
      </c>
      <c r="BC3" s="5" t="s">
        <v>385</v>
      </c>
      <c r="BD3" s="5" t="s">
        <v>386</v>
      </c>
      <c r="BE3" s="5" t="s">
        <v>386</v>
      </c>
      <c r="BF3" s="5" t="s">
        <v>386</v>
      </c>
      <c r="BG3" s="5" t="s">
        <v>386</v>
      </c>
      <c r="BH3" s="5" t="s">
        <v>387</v>
      </c>
      <c r="BI3" s="5" t="s">
        <v>387</v>
      </c>
      <c r="BJ3" s="5" t="s">
        <v>388</v>
      </c>
      <c r="BK3" s="5" t="s">
        <v>388</v>
      </c>
      <c r="BL3" s="5" t="s">
        <v>389</v>
      </c>
      <c r="BM3" s="5" t="s">
        <v>389</v>
      </c>
      <c r="BN3" s="5" t="s">
        <v>390</v>
      </c>
      <c r="BO3" s="5" t="s">
        <v>390</v>
      </c>
      <c r="BP3" s="5" t="s">
        <v>391</v>
      </c>
      <c r="BQ3" s="5" t="s">
        <v>391</v>
      </c>
      <c r="BR3" s="5" t="s">
        <v>392</v>
      </c>
      <c r="BS3" s="5" t="s">
        <v>392</v>
      </c>
      <c r="BT3" s="5" t="s">
        <v>393</v>
      </c>
      <c r="BU3" s="5" t="s">
        <v>393</v>
      </c>
      <c r="BV3" s="5" t="s">
        <v>393</v>
      </c>
      <c r="BW3" s="5" t="s">
        <v>393</v>
      </c>
      <c r="BX3" s="5" t="s">
        <v>394</v>
      </c>
      <c r="BY3" s="5" t="s">
        <v>394</v>
      </c>
      <c r="BZ3" s="5" t="s">
        <v>394</v>
      </c>
      <c r="CA3" s="5" t="s">
        <v>394</v>
      </c>
      <c r="CB3" s="5" t="s">
        <v>395</v>
      </c>
      <c r="CC3" s="5" t="s">
        <v>395</v>
      </c>
      <c r="CD3" s="5" t="s">
        <v>396</v>
      </c>
      <c r="CE3" s="5" t="s">
        <v>396</v>
      </c>
      <c r="CF3" s="5" t="s">
        <v>397</v>
      </c>
      <c r="CG3" s="5" t="s">
        <v>397</v>
      </c>
      <c r="CH3" s="5" t="s">
        <v>398</v>
      </c>
      <c r="CI3" s="5" t="s">
        <v>398</v>
      </c>
      <c r="CJ3" s="5" t="s">
        <v>398</v>
      </c>
      <c r="CK3" s="5" t="s">
        <v>398</v>
      </c>
      <c r="CL3" s="5" t="s">
        <v>399</v>
      </c>
      <c r="CM3" s="5" t="s">
        <v>399</v>
      </c>
      <c r="CN3" s="5" t="s">
        <v>400</v>
      </c>
      <c r="CO3" s="5" t="s">
        <v>400</v>
      </c>
      <c r="CP3" s="5" t="s">
        <v>400</v>
      </c>
      <c r="CQ3" s="5" t="s">
        <v>400</v>
      </c>
      <c r="CR3" s="5" t="s">
        <v>400</v>
      </c>
      <c r="CS3" s="5" t="s">
        <v>400</v>
      </c>
      <c r="CT3" s="5" t="s">
        <v>401</v>
      </c>
      <c r="CU3" s="5" t="s">
        <v>401</v>
      </c>
      <c r="CV3" s="5" t="s">
        <v>402</v>
      </c>
      <c r="CW3" s="5" t="s">
        <v>402</v>
      </c>
      <c r="CX3" s="5" t="s">
        <v>402</v>
      </c>
      <c r="CY3" s="5" t="s">
        <v>402</v>
      </c>
      <c r="CZ3" s="5" t="s">
        <v>402</v>
      </c>
      <c r="DA3" s="5" t="s">
        <v>402</v>
      </c>
      <c r="DB3" s="5" t="s">
        <v>402</v>
      </c>
      <c r="DC3" s="5" t="s">
        <v>402</v>
      </c>
      <c r="DD3" s="5" t="s">
        <v>403</v>
      </c>
      <c r="DE3" s="5" t="s">
        <v>403</v>
      </c>
      <c r="DF3" s="5" t="s">
        <v>404</v>
      </c>
      <c r="DG3" s="5" t="s">
        <v>404</v>
      </c>
      <c r="DH3" s="5" t="s">
        <v>405</v>
      </c>
      <c r="DI3" s="5" t="s">
        <v>405</v>
      </c>
      <c r="DJ3" s="5" t="s">
        <v>405</v>
      </c>
      <c r="DK3" s="5" t="s">
        <v>405</v>
      </c>
      <c r="DL3" s="5" t="s">
        <v>405</v>
      </c>
      <c r="DM3" s="5" t="s">
        <v>405</v>
      </c>
      <c r="DN3" s="5" t="s">
        <v>406</v>
      </c>
      <c r="DO3" s="5" t="s">
        <v>406</v>
      </c>
      <c r="DP3" s="5" t="s">
        <v>406</v>
      </c>
      <c r="DQ3" s="5" t="s">
        <v>406</v>
      </c>
      <c r="DR3" s="5" t="s">
        <v>406</v>
      </c>
      <c r="DS3" s="5" t="s">
        <v>406</v>
      </c>
      <c r="DT3" s="5" t="s">
        <v>407</v>
      </c>
      <c r="DU3" s="5" t="s">
        <v>407</v>
      </c>
      <c r="DV3" s="5" t="s">
        <v>408</v>
      </c>
      <c r="DW3" s="5" t="s">
        <v>408</v>
      </c>
      <c r="DX3" s="5" t="s">
        <v>408</v>
      </c>
      <c r="DY3" s="5" t="s">
        <v>408</v>
      </c>
      <c r="DZ3" s="5" t="s">
        <v>409</v>
      </c>
      <c r="EA3" s="5" t="s">
        <v>409</v>
      </c>
      <c r="EB3" s="5" t="s">
        <v>409</v>
      </c>
      <c r="EC3" s="5" t="s">
        <v>409</v>
      </c>
      <c r="ED3" s="5" t="s">
        <v>410</v>
      </c>
      <c r="EE3" s="5" t="s">
        <v>410</v>
      </c>
      <c r="EF3" s="5" t="s">
        <v>411</v>
      </c>
      <c r="EG3" s="5" t="s">
        <v>411</v>
      </c>
      <c r="EH3" s="5" t="s">
        <v>411</v>
      </c>
      <c r="EI3" s="5" t="s">
        <v>411</v>
      </c>
      <c r="EJ3" s="5" t="s">
        <v>412</v>
      </c>
      <c r="EK3" s="5" t="s">
        <v>412</v>
      </c>
      <c r="EL3" s="5" t="s">
        <v>413</v>
      </c>
      <c r="EM3" s="5" t="s">
        <v>413</v>
      </c>
      <c r="EN3" s="5" t="s">
        <v>414</v>
      </c>
      <c r="EO3" s="5" t="s">
        <v>414</v>
      </c>
      <c r="EP3" s="5" t="s">
        <v>415</v>
      </c>
      <c r="EQ3" s="5" t="s">
        <v>415</v>
      </c>
      <c r="ER3" s="5" t="s">
        <v>416</v>
      </c>
      <c r="ES3" s="5" t="s">
        <v>416</v>
      </c>
      <c r="ET3" s="5" t="s">
        <v>417</v>
      </c>
      <c r="EU3" s="5" t="s">
        <v>417</v>
      </c>
      <c r="EV3" s="5" t="s">
        <v>417</v>
      </c>
      <c r="EW3" s="5" t="s">
        <v>417</v>
      </c>
      <c r="EX3" s="5" t="s">
        <v>418</v>
      </c>
      <c r="EY3" s="5" t="s">
        <v>418</v>
      </c>
      <c r="EZ3" s="5" t="s">
        <v>418</v>
      </c>
      <c r="FA3" s="5" t="s">
        <v>418</v>
      </c>
      <c r="FB3" s="5" t="s">
        <v>418</v>
      </c>
      <c r="FC3" s="5" t="s">
        <v>418</v>
      </c>
      <c r="FD3" s="5" t="s">
        <v>418</v>
      </c>
      <c r="FE3" s="5" t="s">
        <v>418</v>
      </c>
      <c r="FF3" s="5" t="s">
        <v>418</v>
      </c>
      <c r="FG3" s="5" t="s">
        <v>418</v>
      </c>
      <c r="FH3" s="5" t="s">
        <v>418</v>
      </c>
      <c r="FI3" s="5" t="s">
        <v>418</v>
      </c>
      <c r="FJ3" s="5" t="s">
        <v>418</v>
      </c>
      <c r="FK3" s="5" t="s">
        <v>418</v>
      </c>
      <c r="FL3" s="5" t="s">
        <v>419</v>
      </c>
      <c r="FM3" s="5" t="s">
        <v>419</v>
      </c>
      <c r="FN3" s="5" t="s">
        <v>420</v>
      </c>
      <c r="FO3" s="5" t="s">
        <v>420</v>
      </c>
      <c r="FP3" s="5" t="s">
        <v>421</v>
      </c>
      <c r="FQ3" s="5" t="s">
        <v>421</v>
      </c>
      <c r="FR3" s="5" t="s">
        <v>422</v>
      </c>
      <c r="FS3" s="5" t="s">
        <v>422</v>
      </c>
      <c r="FT3" s="5" t="s">
        <v>422</v>
      </c>
      <c r="FU3" s="5" t="s">
        <v>422</v>
      </c>
      <c r="FV3" s="5" t="s">
        <v>423</v>
      </c>
      <c r="FW3" s="5" t="s">
        <v>423</v>
      </c>
      <c r="FX3" s="5" t="s">
        <v>424</v>
      </c>
      <c r="FY3" s="5" t="s">
        <v>424</v>
      </c>
      <c r="FZ3" s="5" t="s">
        <v>425</v>
      </c>
      <c r="GA3" s="5" t="s">
        <v>425</v>
      </c>
      <c r="GB3" s="5" t="s">
        <v>426</v>
      </c>
      <c r="GC3" s="5" t="s">
        <v>426</v>
      </c>
      <c r="GD3" s="5" t="s">
        <v>427</v>
      </c>
      <c r="GE3" s="5" t="s">
        <v>427</v>
      </c>
      <c r="GF3" s="5" t="s">
        <v>428</v>
      </c>
      <c r="GG3" s="5" t="s">
        <v>428</v>
      </c>
      <c r="GH3" s="5" t="s">
        <v>428</v>
      </c>
      <c r="GI3" s="5" t="s">
        <v>428</v>
      </c>
      <c r="GJ3" s="5" t="s">
        <v>429</v>
      </c>
      <c r="GK3" s="5" t="s">
        <v>429</v>
      </c>
      <c r="GL3" s="5" t="s">
        <v>430</v>
      </c>
      <c r="GM3" s="5" t="s">
        <v>430</v>
      </c>
      <c r="GN3" s="5" t="s">
        <v>430</v>
      </c>
      <c r="GO3" s="5" t="s">
        <v>430</v>
      </c>
      <c r="GP3" s="5" t="s">
        <v>430</v>
      </c>
      <c r="GQ3" s="5" t="s">
        <v>430</v>
      </c>
      <c r="GR3" s="5" t="s">
        <v>431</v>
      </c>
      <c r="GS3" s="5" t="s">
        <v>431</v>
      </c>
      <c r="GT3" s="5" t="s">
        <v>432</v>
      </c>
      <c r="GU3" s="5" t="s">
        <v>432</v>
      </c>
      <c r="GV3" s="5" t="s">
        <v>433</v>
      </c>
      <c r="GW3" s="5" t="s">
        <v>433</v>
      </c>
      <c r="GX3" s="5" t="s">
        <v>433</v>
      </c>
      <c r="GY3" s="5" t="s">
        <v>433</v>
      </c>
      <c r="GZ3" s="5" t="s">
        <v>433</v>
      </c>
      <c r="HA3" s="5" t="s">
        <v>433</v>
      </c>
      <c r="HB3" s="5" t="s">
        <v>434</v>
      </c>
      <c r="HC3" s="5" t="s">
        <v>434</v>
      </c>
      <c r="HD3" s="5" t="s">
        <v>434</v>
      </c>
      <c r="HE3" s="5" t="s">
        <v>434</v>
      </c>
      <c r="HF3" s="5" t="s">
        <v>434</v>
      </c>
      <c r="HG3" s="5" t="s">
        <v>434</v>
      </c>
      <c r="HH3" s="5" t="s">
        <v>435</v>
      </c>
      <c r="HI3" s="5" t="s">
        <v>435</v>
      </c>
      <c r="HJ3" s="5" t="s">
        <v>436</v>
      </c>
      <c r="HK3" s="5" t="s">
        <v>436</v>
      </c>
      <c r="HL3" s="5" t="s">
        <v>437</v>
      </c>
      <c r="HM3" s="5" t="s">
        <v>437</v>
      </c>
      <c r="HN3" s="5" t="s">
        <v>438</v>
      </c>
      <c r="HO3" s="5" t="s">
        <v>438</v>
      </c>
      <c r="HP3" s="5" t="s">
        <v>439</v>
      </c>
      <c r="HQ3" s="5" t="s">
        <v>439</v>
      </c>
      <c r="HR3" s="5" t="s">
        <v>439</v>
      </c>
      <c r="HS3" s="5" t="s">
        <v>439</v>
      </c>
      <c r="HT3" s="5" t="s">
        <v>439</v>
      </c>
      <c r="HU3" s="5" t="s">
        <v>439</v>
      </c>
      <c r="HV3" s="5" t="s">
        <v>439</v>
      </c>
      <c r="HW3" s="5" t="s">
        <v>439</v>
      </c>
      <c r="HX3" s="5" t="s">
        <v>440</v>
      </c>
      <c r="HY3" s="5" t="s">
        <v>440</v>
      </c>
      <c r="HZ3" s="5" t="s">
        <v>440</v>
      </c>
      <c r="IA3" s="5" t="s">
        <v>440</v>
      </c>
      <c r="IB3" s="5" t="s">
        <v>440</v>
      </c>
      <c r="IC3" s="5" t="s">
        <v>440</v>
      </c>
      <c r="ID3" s="5" t="s">
        <v>441</v>
      </c>
      <c r="IE3" s="5" t="s">
        <v>441</v>
      </c>
      <c r="IF3" s="5" t="s">
        <v>442</v>
      </c>
      <c r="IG3" s="5" t="s">
        <v>442</v>
      </c>
      <c r="IH3" s="5" t="s">
        <v>443</v>
      </c>
      <c r="II3" s="5" t="s">
        <v>443</v>
      </c>
      <c r="IJ3" s="5" t="s">
        <v>444</v>
      </c>
      <c r="IK3" s="5" t="s">
        <v>444</v>
      </c>
      <c r="IL3" s="5" t="s">
        <v>445</v>
      </c>
      <c r="IM3" s="5" t="s">
        <v>445</v>
      </c>
      <c r="IN3" s="5" t="s">
        <v>445</v>
      </c>
      <c r="IO3" s="5" t="s">
        <v>445</v>
      </c>
      <c r="IP3" s="5" t="s">
        <v>446</v>
      </c>
      <c r="IQ3" s="5" t="s">
        <v>446</v>
      </c>
      <c r="IR3" s="5" t="s">
        <v>446</v>
      </c>
      <c r="IS3" s="5" t="s">
        <v>446</v>
      </c>
      <c r="IT3" s="5" t="s">
        <v>447</v>
      </c>
      <c r="IU3" s="5" t="s">
        <v>447</v>
      </c>
      <c r="IV3" s="5" t="s">
        <v>447</v>
      </c>
      <c r="IW3" s="5" t="s">
        <v>447</v>
      </c>
      <c r="IX3" s="5" t="s">
        <v>447</v>
      </c>
      <c r="IY3" s="5" t="s">
        <v>447</v>
      </c>
      <c r="IZ3" s="5" t="s">
        <v>448</v>
      </c>
      <c r="JA3" s="5" t="s">
        <v>448</v>
      </c>
      <c r="JB3" s="5" t="s">
        <v>448</v>
      </c>
      <c r="JC3" s="5" t="s">
        <v>448</v>
      </c>
      <c r="JD3" s="5" t="s">
        <v>448</v>
      </c>
      <c r="JE3" s="5" t="s">
        <v>448</v>
      </c>
      <c r="JF3" s="5" t="s">
        <v>449</v>
      </c>
      <c r="JG3" s="5" t="s">
        <v>449</v>
      </c>
      <c r="JH3" s="5" t="s">
        <v>450</v>
      </c>
      <c r="JI3" s="5" t="s">
        <v>450</v>
      </c>
      <c r="JJ3" s="5" t="s">
        <v>450</v>
      </c>
      <c r="JK3" s="5" t="s">
        <v>450</v>
      </c>
      <c r="JL3" s="5" t="s">
        <v>450</v>
      </c>
      <c r="JM3" s="5" t="s">
        <v>450</v>
      </c>
      <c r="JN3" s="5" t="s">
        <v>451</v>
      </c>
      <c r="JO3" s="5" t="s">
        <v>451</v>
      </c>
      <c r="JP3" s="5" t="s">
        <v>452</v>
      </c>
      <c r="JQ3" s="5" t="s">
        <v>452</v>
      </c>
      <c r="JR3" s="5" t="s">
        <v>453</v>
      </c>
      <c r="JS3" s="5" t="s">
        <v>453</v>
      </c>
      <c r="JT3" s="5" t="s">
        <v>454</v>
      </c>
      <c r="JU3" s="5" t="s">
        <v>454</v>
      </c>
      <c r="JV3" s="5" t="s">
        <v>455</v>
      </c>
      <c r="JW3" s="5" t="s">
        <v>455</v>
      </c>
      <c r="JX3" s="5" t="s">
        <v>456</v>
      </c>
      <c r="JY3" s="5" t="s">
        <v>456</v>
      </c>
    </row>
    <row r="4" spans="1:285" s="52" customFormat="1" ht="29.1" customHeight="1" thickBot="1" x14ac:dyDescent="0.25">
      <c r="A4" s="48"/>
      <c r="B4" s="49"/>
      <c r="C4" s="53" t="s">
        <v>2556</v>
      </c>
      <c r="D4" s="54" t="s">
        <v>2550</v>
      </c>
      <c r="E4" s="755" t="s">
        <v>48</v>
      </c>
      <c r="F4" s="5"/>
      <c r="G4" s="5"/>
      <c r="H4" s="5"/>
      <c r="I4" s="5"/>
      <c r="J4" s="5"/>
      <c r="K4" s="5"/>
      <c r="L4" s="5"/>
      <c r="M4" s="5"/>
      <c r="N4" s="84"/>
      <c r="O4" s="5"/>
      <c r="P4" s="84"/>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row>
    <row r="5" spans="1:285" ht="132" customHeight="1" x14ac:dyDescent="0.2">
      <c r="A5" s="1564" t="s">
        <v>1</v>
      </c>
      <c r="B5" s="1566" t="s">
        <v>2576</v>
      </c>
      <c r="C5" s="55" t="s">
        <v>71</v>
      </c>
      <c r="D5" s="56" t="s">
        <v>5</v>
      </c>
      <c r="E5" s="755" t="s">
        <v>48</v>
      </c>
      <c r="F5" s="9" t="s">
        <v>1642</v>
      </c>
      <c r="G5" s="756"/>
      <c r="H5" s="9" t="s">
        <v>2241</v>
      </c>
      <c r="I5" s="644"/>
      <c r="J5" s="9" t="s">
        <v>2259</v>
      </c>
      <c r="K5" s="644"/>
      <c r="L5" s="9" t="s">
        <v>2278</v>
      </c>
      <c r="M5" s="644"/>
      <c r="N5" s="757" t="s">
        <v>457</v>
      </c>
      <c r="O5" s="644"/>
      <c r="P5" s="84" t="s">
        <v>490</v>
      </c>
      <c r="Q5" s="644"/>
      <c r="R5" s="5" t="s">
        <v>512</v>
      </c>
      <c r="S5" s="644"/>
      <c r="T5" s="644"/>
      <c r="U5" s="644"/>
      <c r="V5" s="644"/>
      <c r="W5" s="644"/>
      <c r="X5" s="644"/>
      <c r="Y5" s="644"/>
      <c r="Z5" s="5" t="s">
        <v>2290</v>
      </c>
      <c r="AA5" s="644"/>
      <c r="AB5" s="5" t="s">
        <v>2318</v>
      </c>
      <c r="AC5" s="644"/>
      <c r="AD5" s="631" t="s">
        <v>2337</v>
      </c>
      <c r="AE5" s="644"/>
      <c r="AF5" s="644"/>
      <c r="AG5" s="644"/>
      <c r="AH5" s="644"/>
      <c r="AI5" s="644"/>
      <c r="AJ5" s="84" t="s">
        <v>640</v>
      </c>
      <c r="AK5" s="644"/>
      <c r="AL5" s="9" t="s">
        <v>2353</v>
      </c>
      <c r="AM5" s="644"/>
      <c r="AN5" s="5" t="s">
        <v>959</v>
      </c>
      <c r="AO5" s="644"/>
      <c r="AP5" s="9" t="s">
        <v>988</v>
      </c>
      <c r="AQ5" s="644"/>
      <c r="AR5" s="9" t="s">
        <v>1005</v>
      </c>
      <c r="AS5" s="644"/>
      <c r="AT5" s="9" t="s">
        <v>589</v>
      </c>
      <c r="AU5" s="644"/>
      <c r="AV5" s="757" t="s">
        <v>569</v>
      </c>
      <c r="AW5" s="644"/>
      <c r="AX5" s="5" t="s">
        <v>528</v>
      </c>
      <c r="AY5" s="644"/>
      <c r="AZ5" s="5" t="s">
        <v>551</v>
      </c>
      <c r="BA5" s="644"/>
      <c r="BB5" s="644"/>
      <c r="BC5" s="644"/>
      <c r="BD5" s="5" t="s">
        <v>2375</v>
      </c>
      <c r="BE5" s="644"/>
      <c r="BF5" s="9" t="s">
        <v>2384</v>
      </c>
      <c r="BG5" s="644"/>
      <c r="BH5" s="644"/>
      <c r="BI5" s="644"/>
      <c r="BJ5" s="9" t="s">
        <v>784</v>
      </c>
      <c r="BK5" s="644"/>
      <c r="BL5" s="9" t="s">
        <v>1018</v>
      </c>
      <c r="BM5" s="644"/>
      <c r="BN5" s="9" t="s">
        <v>2174</v>
      </c>
      <c r="BO5" s="644"/>
      <c r="BP5" s="632" t="s">
        <v>1967</v>
      </c>
      <c r="BQ5" s="644"/>
      <c r="BR5" s="9" t="s">
        <v>959</v>
      </c>
      <c r="BS5" s="644"/>
      <c r="BT5" s="9" t="s">
        <v>918</v>
      </c>
      <c r="BU5" s="644"/>
      <c r="BV5" s="9" t="s">
        <v>918</v>
      </c>
      <c r="BW5" s="644"/>
      <c r="BX5" s="9" t="s">
        <v>2144</v>
      </c>
      <c r="BY5" s="644"/>
      <c r="BZ5" s="9" t="s">
        <v>2161</v>
      </c>
      <c r="CA5" s="644"/>
      <c r="CB5" s="9" t="s">
        <v>890</v>
      </c>
      <c r="CC5" s="644"/>
      <c r="CD5" s="644"/>
      <c r="CE5" s="644"/>
      <c r="CF5" s="644"/>
      <c r="CG5" s="644"/>
      <c r="CH5" s="632" t="s">
        <v>2102</v>
      </c>
      <c r="CI5" s="9"/>
      <c r="CJ5" s="9" t="s">
        <v>2126</v>
      </c>
      <c r="CK5" s="9"/>
      <c r="CL5" s="5" t="s">
        <v>609</v>
      </c>
      <c r="CM5" s="644"/>
      <c r="CN5" s="5" t="s">
        <v>2397</v>
      </c>
      <c r="CO5" s="644"/>
      <c r="CP5" s="5" t="s">
        <v>569</v>
      </c>
      <c r="CQ5" s="644"/>
      <c r="CR5" s="9" t="s">
        <v>2046</v>
      </c>
      <c r="CS5" s="644"/>
      <c r="CT5" s="9" t="s">
        <v>569</v>
      </c>
      <c r="CU5" s="644"/>
      <c r="CV5" s="9" t="s">
        <v>819</v>
      </c>
      <c r="CW5" s="644"/>
      <c r="CX5" s="9" t="s">
        <v>830</v>
      </c>
      <c r="CY5" s="644"/>
      <c r="CZ5" s="9" t="s">
        <v>830</v>
      </c>
      <c r="DA5" s="644"/>
      <c r="DB5" s="9" t="s">
        <v>857</v>
      </c>
      <c r="DC5" s="644"/>
      <c r="DD5" s="5" t="s">
        <v>2465</v>
      </c>
      <c r="DE5" s="644"/>
      <c r="DF5" s="644"/>
      <c r="DG5" s="644"/>
      <c r="DH5" s="5" t="s">
        <v>867</v>
      </c>
      <c r="DI5" s="644"/>
      <c r="DJ5" s="758" t="s">
        <v>730</v>
      </c>
      <c r="DK5" s="644"/>
      <c r="DL5" s="644"/>
      <c r="DM5" s="644"/>
      <c r="DN5" s="9" t="s">
        <v>1136</v>
      </c>
      <c r="DO5" s="644"/>
      <c r="DP5" s="644"/>
      <c r="DQ5" s="644"/>
      <c r="DR5" s="644"/>
      <c r="DS5" s="644"/>
      <c r="DT5" s="644"/>
      <c r="DU5" s="644"/>
      <c r="DV5" s="9" t="s">
        <v>1156</v>
      </c>
      <c r="DW5" s="644"/>
      <c r="DX5" s="9" t="s">
        <v>1156</v>
      </c>
      <c r="DY5" s="644"/>
      <c r="DZ5" s="9" t="s">
        <v>2520</v>
      </c>
      <c r="EA5" s="644"/>
      <c r="EB5" s="644"/>
      <c r="EC5" s="644"/>
      <c r="ED5" s="644"/>
      <c r="EE5" s="644"/>
      <c r="EF5" s="9" t="s">
        <v>2023</v>
      </c>
      <c r="EG5" s="644"/>
      <c r="EH5" s="759" t="s">
        <v>2045</v>
      </c>
      <c r="EI5" s="644"/>
      <c r="EJ5" s="644"/>
      <c r="EK5" s="644"/>
      <c r="EL5" s="644"/>
      <c r="EM5" s="644"/>
      <c r="EN5" s="9" t="s">
        <v>1035</v>
      </c>
      <c r="EO5" s="644"/>
      <c r="EP5" s="9" t="s">
        <v>1196</v>
      </c>
      <c r="EQ5" s="644"/>
      <c r="ER5" s="644"/>
      <c r="ES5" s="644"/>
      <c r="ET5" s="9" t="s">
        <v>1439</v>
      </c>
      <c r="EU5" s="644"/>
      <c r="EV5" s="9" t="s">
        <v>1459</v>
      </c>
      <c r="EW5" s="644"/>
      <c r="EX5" s="9" t="s">
        <v>1477</v>
      </c>
      <c r="EY5" s="644"/>
      <c r="EZ5" s="9" t="s">
        <v>1507</v>
      </c>
      <c r="FA5" s="644"/>
      <c r="FB5" s="9" t="s">
        <v>1508</v>
      </c>
      <c r="FC5" s="644"/>
      <c r="FD5" s="9" t="s">
        <v>1515</v>
      </c>
      <c r="FE5" s="644"/>
      <c r="FF5" s="9" t="s">
        <v>1536</v>
      </c>
      <c r="FG5" s="644"/>
      <c r="FH5" s="5" t="s">
        <v>1561</v>
      </c>
      <c r="FI5" s="644"/>
      <c r="FJ5" s="9" t="s">
        <v>867</v>
      </c>
      <c r="FK5" s="644"/>
      <c r="FL5" s="760" t="s">
        <v>1591</v>
      </c>
      <c r="FM5" s="644"/>
      <c r="FN5" s="9" t="s">
        <v>1612</v>
      </c>
      <c r="FO5" s="644"/>
      <c r="FP5" s="9" t="s">
        <v>660</v>
      </c>
      <c r="FQ5" s="644"/>
      <c r="FR5" s="644"/>
      <c r="FS5" s="644"/>
      <c r="FT5" s="644"/>
      <c r="FU5" s="644"/>
      <c r="FV5" s="644"/>
      <c r="FW5" s="644"/>
      <c r="FX5" s="5" t="s">
        <v>1859</v>
      </c>
      <c r="FY5" s="644"/>
      <c r="FZ5" s="644"/>
      <c r="GA5" s="644"/>
      <c r="GB5" s="9" t="s">
        <v>1627</v>
      </c>
      <c r="GC5" s="644"/>
      <c r="GD5" s="9" t="s">
        <v>2495</v>
      </c>
      <c r="GE5" s="644"/>
      <c r="GF5" s="5" t="s">
        <v>1982</v>
      </c>
      <c r="GG5" s="644"/>
      <c r="GH5" s="9" t="s">
        <v>2003</v>
      </c>
      <c r="GI5" s="644"/>
      <c r="GJ5" s="760" t="s">
        <v>1665</v>
      </c>
      <c r="GK5" s="644"/>
      <c r="GL5" s="9" t="s">
        <v>1698</v>
      </c>
      <c r="GM5" s="644"/>
      <c r="GN5" s="5" t="s">
        <v>1711</v>
      </c>
      <c r="GO5" s="644"/>
      <c r="GP5" s="9" t="s">
        <v>1735</v>
      </c>
      <c r="GQ5" s="644"/>
      <c r="GR5" s="9" t="s">
        <v>1937</v>
      </c>
      <c r="GS5" s="644"/>
      <c r="GT5" s="9" t="s">
        <v>2074</v>
      </c>
      <c r="GU5" s="644"/>
      <c r="GV5" s="5" t="s">
        <v>1881</v>
      </c>
      <c r="GW5" s="644"/>
      <c r="GX5" s="5" t="s">
        <v>1901</v>
      </c>
      <c r="GY5" s="644"/>
      <c r="GZ5" s="5" t="s">
        <v>1915</v>
      </c>
      <c r="HA5" s="644"/>
      <c r="HB5" s="5" t="s">
        <v>1792</v>
      </c>
      <c r="HC5" s="644"/>
      <c r="HD5" s="9" t="s">
        <v>959</v>
      </c>
      <c r="HE5" s="644"/>
      <c r="HF5" s="9" t="s">
        <v>1850</v>
      </c>
      <c r="HG5" s="644"/>
      <c r="HH5" s="9" t="s">
        <v>1924</v>
      </c>
      <c r="HI5" s="644"/>
      <c r="HJ5" s="644"/>
      <c r="HK5" s="644"/>
      <c r="HL5" s="5" t="s">
        <v>1748</v>
      </c>
      <c r="HM5" s="644"/>
      <c r="HN5" s="5" t="s">
        <v>1766</v>
      </c>
      <c r="HO5" s="644"/>
      <c r="HP5" s="9" t="s">
        <v>730</v>
      </c>
      <c r="HQ5" s="644"/>
      <c r="HR5" s="9" t="s">
        <v>1286</v>
      </c>
      <c r="HS5" s="644"/>
      <c r="HT5" s="633" t="s">
        <v>1297</v>
      </c>
      <c r="HU5" s="644"/>
      <c r="HV5" s="9" t="s">
        <v>1312</v>
      </c>
      <c r="HW5" s="644"/>
      <c r="HX5" s="9" t="s">
        <v>2174</v>
      </c>
      <c r="HY5" s="644"/>
      <c r="HZ5" s="9" t="s">
        <v>2189</v>
      </c>
      <c r="IA5" s="644"/>
      <c r="IB5" s="644"/>
      <c r="IC5" s="644"/>
      <c r="ID5" s="9" t="s">
        <v>1216</v>
      </c>
      <c r="IE5" s="644"/>
      <c r="IF5" s="5" t="s">
        <v>1241</v>
      </c>
      <c r="IG5" s="756"/>
      <c r="IH5" s="9" t="s">
        <v>1316</v>
      </c>
      <c r="II5" s="644"/>
      <c r="IJ5" s="644"/>
      <c r="IK5" s="644"/>
      <c r="IL5" s="651" t="s">
        <v>1337</v>
      </c>
      <c r="IM5" s="644"/>
      <c r="IN5" s="634" t="s">
        <v>867</v>
      </c>
      <c r="IO5" s="644"/>
      <c r="IP5" s="5" t="s">
        <v>732</v>
      </c>
      <c r="IQ5" s="644"/>
      <c r="IR5" s="5" t="s">
        <v>761</v>
      </c>
      <c r="IS5" s="644"/>
      <c r="IT5" s="20" t="s">
        <v>1087</v>
      </c>
      <c r="IU5" s="644"/>
      <c r="IV5" s="9"/>
      <c r="IW5" s="644"/>
      <c r="IX5" s="632" t="s">
        <v>1100</v>
      </c>
      <c r="IY5" s="644"/>
      <c r="IZ5" s="9" t="s">
        <v>1366</v>
      </c>
      <c r="JA5" s="644"/>
      <c r="JB5" s="9" t="s">
        <v>1391</v>
      </c>
      <c r="JC5" s="644"/>
      <c r="JD5" s="9" t="s">
        <v>1404</v>
      </c>
      <c r="JE5" s="644"/>
      <c r="JF5" s="644"/>
      <c r="JG5" s="644"/>
      <c r="JH5" s="9" t="s">
        <v>800</v>
      </c>
      <c r="JI5" s="644"/>
      <c r="JJ5" s="644"/>
      <c r="JK5" s="644"/>
      <c r="JL5" s="644"/>
      <c r="JM5" s="644"/>
      <c r="JN5" s="9" t="s">
        <v>2480</v>
      </c>
      <c r="JO5" s="644"/>
      <c r="JP5" s="644"/>
      <c r="JQ5" s="644"/>
      <c r="JR5" s="9" t="s">
        <v>732</v>
      </c>
      <c r="JS5" s="644"/>
      <c r="JT5" s="9" t="s">
        <v>1117</v>
      </c>
      <c r="JU5" s="644"/>
      <c r="JV5" s="5" t="s">
        <v>2534</v>
      </c>
      <c r="JW5" s="644"/>
      <c r="JX5" s="9" t="s">
        <v>696</v>
      </c>
      <c r="JY5" s="644"/>
    </row>
    <row r="6" spans="1:285" ht="54.95" customHeight="1" thickBot="1" x14ac:dyDescent="0.25">
      <c r="A6" s="1568"/>
      <c r="B6" s="1569"/>
      <c r="C6" s="58" t="s">
        <v>72</v>
      </c>
      <c r="D6" s="59" t="s">
        <v>6</v>
      </c>
      <c r="E6" s="755" t="s">
        <v>48</v>
      </c>
      <c r="F6" s="9" t="s">
        <v>1643</v>
      </c>
      <c r="G6" s="756"/>
      <c r="H6" s="9" t="s">
        <v>2241</v>
      </c>
      <c r="I6" s="644"/>
      <c r="J6" s="9" t="s">
        <v>2260</v>
      </c>
      <c r="K6" s="644"/>
      <c r="L6" s="9" t="s">
        <v>730</v>
      </c>
      <c r="M6" s="644"/>
      <c r="N6" s="757" t="s">
        <v>458</v>
      </c>
      <c r="O6" s="644"/>
      <c r="P6" s="84" t="s">
        <v>491</v>
      </c>
      <c r="Q6" s="644"/>
      <c r="R6" s="5" t="s">
        <v>513</v>
      </c>
      <c r="S6" s="644"/>
      <c r="T6" s="644"/>
      <c r="U6" s="644"/>
      <c r="V6" s="644"/>
      <c r="W6" s="644"/>
      <c r="X6" s="644"/>
      <c r="Y6" s="644"/>
      <c r="Z6" s="5" t="s">
        <v>2103</v>
      </c>
      <c r="AA6" s="644"/>
      <c r="AB6" s="5" t="s">
        <v>1733</v>
      </c>
      <c r="AC6" s="644"/>
      <c r="AD6" s="5" t="s">
        <v>1734</v>
      </c>
      <c r="AE6" s="644"/>
      <c r="AF6" s="644"/>
      <c r="AG6" s="644"/>
      <c r="AH6" s="644"/>
      <c r="AI6" s="644"/>
      <c r="AJ6" s="84" t="s">
        <v>640</v>
      </c>
      <c r="AK6" s="644"/>
      <c r="AL6" s="9" t="s">
        <v>2354</v>
      </c>
      <c r="AM6" s="644"/>
      <c r="AN6" s="5" t="s">
        <v>959</v>
      </c>
      <c r="AO6" s="644"/>
      <c r="AP6" s="9" t="s">
        <v>479</v>
      </c>
      <c r="AQ6" s="644"/>
      <c r="AR6" s="9" t="s">
        <v>731</v>
      </c>
      <c r="AS6" s="644"/>
      <c r="AT6" s="9" t="s">
        <v>590</v>
      </c>
      <c r="AU6" s="644"/>
      <c r="AV6" s="757" t="s">
        <v>569</v>
      </c>
      <c r="AW6" s="644"/>
      <c r="AX6" s="5" t="s">
        <v>529</v>
      </c>
      <c r="AY6" s="644"/>
      <c r="AZ6" s="5" t="s">
        <v>552</v>
      </c>
      <c r="BA6" s="644"/>
      <c r="BB6" s="644"/>
      <c r="BC6" s="644"/>
      <c r="BD6" s="5" t="s">
        <v>2376</v>
      </c>
      <c r="BE6" s="644"/>
      <c r="BF6" s="9" t="s">
        <v>2385</v>
      </c>
      <c r="BG6" s="644"/>
      <c r="BH6" s="644"/>
      <c r="BI6" s="644"/>
      <c r="BJ6" s="9" t="s">
        <v>784</v>
      </c>
      <c r="BK6" s="644"/>
      <c r="BL6" s="9" t="s">
        <v>1019</v>
      </c>
      <c r="BM6" s="644"/>
      <c r="BN6" s="9" t="s">
        <v>2174</v>
      </c>
      <c r="BO6" s="644"/>
      <c r="BP6" s="632" t="s">
        <v>1968</v>
      </c>
      <c r="BQ6" s="644"/>
      <c r="BR6" s="9" t="s">
        <v>465</v>
      </c>
      <c r="BS6" s="644"/>
      <c r="BT6" s="9" t="s">
        <v>919</v>
      </c>
      <c r="BU6" s="644"/>
      <c r="BV6" s="9" t="s">
        <v>867</v>
      </c>
      <c r="BW6" s="644"/>
      <c r="BX6" s="9" t="s">
        <v>730</v>
      </c>
      <c r="BY6" s="644"/>
      <c r="BZ6" s="9" t="s">
        <v>2162</v>
      </c>
      <c r="CA6" s="644"/>
      <c r="CB6" s="5" t="s">
        <v>891</v>
      </c>
      <c r="CC6" s="644"/>
      <c r="CD6" s="644"/>
      <c r="CE6" s="644"/>
      <c r="CF6" s="644"/>
      <c r="CG6" s="644"/>
      <c r="CH6" s="632" t="s">
        <v>2103</v>
      </c>
      <c r="CI6" s="9"/>
      <c r="CJ6" s="9" t="s">
        <v>2127</v>
      </c>
      <c r="CK6" s="9"/>
      <c r="CL6" s="5" t="s">
        <v>610</v>
      </c>
      <c r="CM6" s="644"/>
      <c r="CN6" s="5" t="s">
        <v>2398</v>
      </c>
      <c r="CO6" s="644"/>
      <c r="CP6" s="5" t="s">
        <v>694</v>
      </c>
      <c r="CQ6" s="644"/>
      <c r="CR6" s="9" t="s">
        <v>692</v>
      </c>
      <c r="CS6" s="644"/>
      <c r="CT6" s="9" t="s">
        <v>2208</v>
      </c>
      <c r="CU6" s="644"/>
      <c r="CV6" s="9" t="s">
        <v>730</v>
      </c>
      <c r="CW6" s="644"/>
      <c r="CX6" s="9" t="s">
        <v>728</v>
      </c>
      <c r="CY6" s="644"/>
      <c r="CZ6" s="9" t="s">
        <v>729</v>
      </c>
      <c r="DA6" s="644"/>
      <c r="DB6" s="9" t="s">
        <v>858</v>
      </c>
      <c r="DC6" s="644"/>
      <c r="DD6" s="5" t="s">
        <v>2465</v>
      </c>
      <c r="DE6" s="644"/>
      <c r="DF6" s="644"/>
      <c r="DG6" s="644"/>
      <c r="DH6" s="5" t="s">
        <v>868</v>
      </c>
      <c r="DI6" s="644"/>
      <c r="DJ6" s="758" t="s">
        <v>504</v>
      </c>
      <c r="DK6" s="644"/>
      <c r="DL6" s="644"/>
      <c r="DM6" s="644"/>
      <c r="DN6" s="9" t="s">
        <v>1137</v>
      </c>
      <c r="DO6" s="644"/>
      <c r="DP6" s="644"/>
      <c r="DQ6" s="644"/>
      <c r="DR6" s="644"/>
      <c r="DS6" s="644"/>
      <c r="DT6" s="644"/>
      <c r="DU6" s="644"/>
      <c r="DV6" s="9" t="s">
        <v>1157</v>
      </c>
      <c r="DW6" s="644"/>
      <c r="DX6" s="9" t="s">
        <v>1157</v>
      </c>
      <c r="DY6" s="644"/>
      <c r="DZ6" s="9" t="s">
        <v>2521</v>
      </c>
      <c r="EA6" s="644"/>
      <c r="EB6" s="644"/>
      <c r="EC6" s="644"/>
      <c r="ED6" s="644"/>
      <c r="EE6" s="644"/>
      <c r="EF6" s="9" t="s">
        <v>797</v>
      </c>
      <c r="EG6" s="644"/>
      <c r="EH6" s="759" t="s">
        <v>2046</v>
      </c>
      <c r="EI6" s="644"/>
      <c r="EJ6" s="644"/>
      <c r="EK6" s="644"/>
      <c r="EL6" s="644"/>
      <c r="EM6" s="644"/>
      <c r="EN6" s="9" t="s">
        <v>694</v>
      </c>
      <c r="EO6" s="644"/>
      <c r="EP6" s="9" t="s">
        <v>1197</v>
      </c>
      <c r="EQ6" s="644"/>
      <c r="ER6" s="644"/>
      <c r="ES6" s="644"/>
      <c r="ET6" s="9" t="s">
        <v>1440</v>
      </c>
      <c r="EU6" s="644"/>
      <c r="EV6" s="9" t="s">
        <v>1459</v>
      </c>
      <c r="EW6" s="644"/>
      <c r="EX6" s="9" t="s">
        <v>1478</v>
      </c>
      <c r="EY6" s="644"/>
      <c r="EZ6" s="9"/>
      <c r="FA6" s="644"/>
      <c r="FB6" s="9"/>
      <c r="FC6" s="644"/>
      <c r="FD6" s="9" t="s">
        <v>1316</v>
      </c>
      <c r="FE6" s="644"/>
      <c r="FF6" s="9" t="s">
        <v>1537</v>
      </c>
      <c r="FG6" s="644"/>
      <c r="FH6" s="5" t="s">
        <v>1562</v>
      </c>
      <c r="FI6" s="644"/>
      <c r="FJ6" s="9" t="s">
        <v>867</v>
      </c>
      <c r="FK6" s="644"/>
      <c r="FL6" s="760" t="s">
        <v>1592</v>
      </c>
      <c r="FM6" s="644"/>
      <c r="FN6" s="9" t="s">
        <v>504</v>
      </c>
      <c r="FO6" s="644"/>
      <c r="FP6" s="9" t="s">
        <v>661</v>
      </c>
      <c r="FQ6" s="644"/>
      <c r="FR6" s="644"/>
      <c r="FS6" s="644"/>
      <c r="FT6" s="644"/>
      <c r="FU6" s="644"/>
      <c r="FV6" s="644"/>
      <c r="FW6" s="644"/>
      <c r="FX6" s="5" t="s">
        <v>1860</v>
      </c>
      <c r="FY6" s="644"/>
      <c r="FZ6" s="644"/>
      <c r="GA6" s="644"/>
      <c r="GB6" s="9"/>
      <c r="GC6" s="644"/>
      <c r="GD6" s="9" t="s">
        <v>2496</v>
      </c>
      <c r="GE6" s="644"/>
      <c r="GF6" s="5" t="s">
        <v>1982</v>
      </c>
      <c r="GG6" s="644"/>
      <c r="GH6" s="9" t="s">
        <v>2004</v>
      </c>
      <c r="GI6" s="644"/>
      <c r="GJ6" s="760" t="s">
        <v>1666</v>
      </c>
      <c r="GK6" s="644"/>
      <c r="GL6" s="9" t="s">
        <v>1699</v>
      </c>
      <c r="GM6" s="644"/>
      <c r="GN6" s="635" t="s">
        <v>1712</v>
      </c>
      <c r="GO6" s="644"/>
      <c r="GP6" s="635" t="s">
        <v>1736</v>
      </c>
      <c r="GQ6" s="644"/>
      <c r="GR6" s="9" t="s">
        <v>1938</v>
      </c>
      <c r="GS6" s="644"/>
      <c r="GT6" s="9" t="s">
        <v>2075</v>
      </c>
      <c r="GU6" s="644"/>
      <c r="GV6" s="5" t="s">
        <v>1882</v>
      </c>
      <c r="GW6" s="644"/>
      <c r="GX6" s="5" t="s">
        <v>1902</v>
      </c>
      <c r="GY6" s="644"/>
      <c r="GZ6" s="5" t="s">
        <v>1916</v>
      </c>
      <c r="HA6" s="644"/>
      <c r="HB6" s="5" t="s">
        <v>1793</v>
      </c>
      <c r="HC6" s="644"/>
      <c r="HD6" s="9"/>
      <c r="HE6" s="644"/>
      <c r="HF6" s="9"/>
      <c r="HG6" s="644"/>
      <c r="HH6" s="9" t="s">
        <v>465</v>
      </c>
      <c r="HI6" s="644"/>
      <c r="HJ6" s="644"/>
      <c r="HK6" s="644"/>
      <c r="HL6" s="9" t="s">
        <v>504</v>
      </c>
      <c r="HM6" s="644"/>
      <c r="HN6" s="5" t="s">
        <v>1767</v>
      </c>
      <c r="HO6" s="644"/>
      <c r="HP6" s="9" t="s">
        <v>504</v>
      </c>
      <c r="HQ6" s="644"/>
      <c r="HR6" s="9" t="s">
        <v>701</v>
      </c>
      <c r="HS6" s="644"/>
      <c r="HT6" s="633" t="s">
        <v>798</v>
      </c>
      <c r="HU6" s="644"/>
      <c r="HV6" s="9" t="s">
        <v>504</v>
      </c>
      <c r="HW6" s="644"/>
      <c r="HX6" s="9" t="s">
        <v>2174</v>
      </c>
      <c r="HY6" s="644"/>
      <c r="HZ6" s="9" t="s">
        <v>2190</v>
      </c>
      <c r="IA6" s="644"/>
      <c r="IB6" s="644"/>
      <c r="IC6" s="644"/>
      <c r="ID6" s="9" t="s">
        <v>1217</v>
      </c>
      <c r="IE6" s="644"/>
      <c r="IF6" s="5" t="s">
        <v>1242</v>
      </c>
      <c r="IG6" s="756"/>
      <c r="IH6" s="9" t="s">
        <v>1316</v>
      </c>
      <c r="II6" s="644"/>
      <c r="IJ6" s="644"/>
      <c r="IK6" s="644"/>
      <c r="IL6" s="633" t="s">
        <v>465</v>
      </c>
      <c r="IM6" s="644"/>
      <c r="IN6" s="634" t="s">
        <v>465</v>
      </c>
      <c r="IO6" s="644"/>
      <c r="IP6" s="5" t="s">
        <v>733</v>
      </c>
      <c r="IQ6" s="644"/>
      <c r="IR6" s="5" t="s">
        <v>762</v>
      </c>
      <c r="IS6" s="644"/>
      <c r="IT6" s="20" t="s">
        <v>1061</v>
      </c>
      <c r="IU6" s="644"/>
      <c r="IV6" s="9"/>
      <c r="IW6" s="644"/>
      <c r="IX6" s="9" t="s">
        <v>1101</v>
      </c>
      <c r="IY6" s="644"/>
      <c r="IZ6" s="9" t="s">
        <v>1367</v>
      </c>
      <c r="JA6" s="644"/>
      <c r="JB6" s="9" t="s">
        <v>1392</v>
      </c>
      <c r="JC6" s="644"/>
      <c r="JD6" s="9" t="s">
        <v>465</v>
      </c>
      <c r="JE6" s="644"/>
      <c r="JF6" s="644"/>
      <c r="JG6" s="644"/>
      <c r="JH6" s="9" t="s">
        <v>702</v>
      </c>
      <c r="JI6" s="644"/>
      <c r="JJ6" s="644"/>
      <c r="JK6" s="644"/>
      <c r="JL6" s="644"/>
      <c r="JM6" s="644"/>
      <c r="JN6" s="9" t="s">
        <v>2481</v>
      </c>
      <c r="JO6" s="644"/>
      <c r="JP6" s="644"/>
      <c r="JQ6" s="644"/>
      <c r="JR6" s="20" t="s">
        <v>1035</v>
      </c>
      <c r="JS6" s="644"/>
      <c r="JT6" s="9" t="s">
        <v>1117</v>
      </c>
      <c r="JU6" s="644"/>
      <c r="JV6" s="5" t="s">
        <v>2535</v>
      </c>
      <c r="JW6" s="644"/>
      <c r="JX6" s="9" t="s">
        <v>697</v>
      </c>
      <c r="JY6" s="644"/>
    </row>
    <row r="7" spans="1:285" ht="39.75" customHeight="1" thickBot="1" x14ac:dyDescent="0.25">
      <c r="A7" s="43" t="s">
        <v>2</v>
      </c>
      <c r="B7" s="60" t="s">
        <v>7</v>
      </c>
      <c r="C7" s="58" t="s">
        <v>73</v>
      </c>
      <c r="D7" s="59" t="s">
        <v>167</v>
      </c>
      <c r="E7" s="755" t="s">
        <v>49</v>
      </c>
      <c r="F7" s="18">
        <v>2018</v>
      </c>
      <c r="G7" s="756"/>
      <c r="H7" s="18">
        <v>2018</v>
      </c>
      <c r="I7" s="644"/>
      <c r="J7" s="6">
        <v>2017</v>
      </c>
      <c r="K7" s="644"/>
      <c r="L7" s="18">
        <v>2020</v>
      </c>
      <c r="M7" s="644"/>
      <c r="N7" s="761">
        <v>2017</v>
      </c>
      <c r="O7" s="644"/>
      <c r="P7" s="636">
        <v>2020</v>
      </c>
      <c r="Q7" s="644"/>
      <c r="R7" s="6">
        <v>2018</v>
      </c>
      <c r="S7" s="644"/>
      <c r="T7" s="644"/>
      <c r="U7" s="644"/>
      <c r="V7" s="644"/>
      <c r="W7" s="644"/>
      <c r="X7" s="644"/>
      <c r="Y7" s="644"/>
      <c r="Z7" s="18">
        <v>2014</v>
      </c>
      <c r="AA7" s="644"/>
      <c r="AB7" s="6">
        <v>2015</v>
      </c>
      <c r="AC7" s="644"/>
      <c r="AD7" s="6">
        <v>2017</v>
      </c>
      <c r="AE7" s="644"/>
      <c r="AF7" s="644"/>
      <c r="AG7" s="644"/>
      <c r="AH7" s="644"/>
      <c r="AI7" s="644"/>
      <c r="AJ7" s="636">
        <v>2018</v>
      </c>
      <c r="AK7" s="644"/>
      <c r="AL7" s="18">
        <v>2013</v>
      </c>
      <c r="AM7" s="644"/>
      <c r="AN7" s="6">
        <v>2017</v>
      </c>
      <c r="AO7" s="644"/>
      <c r="AP7" s="18">
        <v>2015</v>
      </c>
      <c r="AQ7" s="644"/>
      <c r="AR7" s="18">
        <v>2013</v>
      </c>
      <c r="AS7" s="644"/>
      <c r="AT7" s="18">
        <v>2019</v>
      </c>
      <c r="AU7" s="644"/>
      <c r="AV7" s="761">
        <v>2015</v>
      </c>
      <c r="AW7" s="644"/>
      <c r="AX7" s="18">
        <v>2018</v>
      </c>
      <c r="AY7" s="644"/>
      <c r="AZ7" s="6">
        <v>2020</v>
      </c>
      <c r="BA7" s="644"/>
      <c r="BB7" s="644"/>
      <c r="BC7" s="644"/>
      <c r="BD7" s="5">
        <v>2019</v>
      </c>
      <c r="BE7" s="644"/>
      <c r="BF7" s="18">
        <v>2018</v>
      </c>
      <c r="BG7" s="644"/>
      <c r="BH7" s="644"/>
      <c r="BI7" s="644"/>
      <c r="BJ7" s="18">
        <v>2020</v>
      </c>
      <c r="BK7" s="644"/>
      <c r="BL7" s="18">
        <v>2019</v>
      </c>
      <c r="BM7" s="644"/>
      <c r="BN7" s="18">
        <v>2019</v>
      </c>
      <c r="BO7" s="644"/>
      <c r="BP7" s="637">
        <v>2011</v>
      </c>
      <c r="BQ7" s="644"/>
      <c r="BR7" s="18">
        <v>2020</v>
      </c>
      <c r="BS7" s="644"/>
      <c r="BT7" s="18">
        <v>2011</v>
      </c>
      <c r="BU7" s="644"/>
      <c r="BV7" s="18">
        <v>2017</v>
      </c>
      <c r="BW7" s="644"/>
      <c r="BX7" s="18">
        <v>2020</v>
      </c>
      <c r="BY7" s="644"/>
      <c r="BZ7" s="18">
        <v>2019</v>
      </c>
      <c r="CA7" s="644"/>
      <c r="CB7" s="738">
        <v>2017</v>
      </c>
      <c r="CC7" s="644"/>
      <c r="CD7" s="644"/>
      <c r="CE7" s="644"/>
      <c r="CF7" s="644"/>
      <c r="CG7" s="644"/>
      <c r="CH7" s="637">
        <v>2014</v>
      </c>
      <c r="CI7" s="18"/>
      <c r="CJ7" s="18">
        <v>2018</v>
      </c>
      <c r="CK7" s="18"/>
      <c r="CL7" s="6">
        <v>2019</v>
      </c>
      <c r="CM7" s="644"/>
      <c r="CN7" s="6">
        <v>2010</v>
      </c>
      <c r="CO7" s="644"/>
      <c r="CP7" s="6">
        <v>2014</v>
      </c>
      <c r="CQ7" s="644"/>
      <c r="CR7" s="18">
        <v>2010</v>
      </c>
      <c r="CS7" s="644"/>
      <c r="CT7" s="18">
        <v>2017</v>
      </c>
      <c r="CU7" s="644"/>
      <c r="CV7" s="18">
        <v>2020</v>
      </c>
      <c r="CW7" s="644"/>
      <c r="CX7" s="18">
        <v>2015</v>
      </c>
      <c r="CY7" s="644"/>
      <c r="CZ7" s="18">
        <v>2017</v>
      </c>
      <c r="DA7" s="644"/>
      <c r="DB7" s="18">
        <v>2017</v>
      </c>
      <c r="DC7" s="644"/>
      <c r="DD7" s="5">
        <v>2020</v>
      </c>
      <c r="DE7" s="644"/>
      <c r="DF7" s="644"/>
      <c r="DG7" s="644"/>
      <c r="DH7" s="18">
        <v>2017</v>
      </c>
      <c r="DI7" s="644"/>
      <c r="DJ7" s="762">
        <v>2020</v>
      </c>
      <c r="DK7" s="644"/>
      <c r="DL7" s="644"/>
      <c r="DM7" s="644"/>
      <c r="DN7" s="18">
        <v>2017</v>
      </c>
      <c r="DO7" s="644"/>
      <c r="DP7" s="644"/>
      <c r="DQ7" s="644"/>
      <c r="DR7" s="644"/>
      <c r="DS7" s="644"/>
      <c r="DT7" s="644"/>
      <c r="DU7" s="644"/>
      <c r="DV7" s="18">
        <v>2013</v>
      </c>
      <c r="DW7" s="644"/>
      <c r="DX7" s="18">
        <v>2016</v>
      </c>
      <c r="DY7" s="644"/>
      <c r="DZ7" s="18">
        <v>2018</v>
      </c>
      <c r="EA7" s="644"/>
      <c r="EB7" s="644"/>
      <c r="EC7" s="644"/>
      <c r="ED7" s="644"/>
      <c r="EE7" s="644"/>
      <c r="EF7" s="18">
        <v>2020</v>
      </c>
      <c r="EG7" s="644"/>
      <c r="EH7" s="763">
        <v>2014</v>
      </c>
      <c r="EI7" s="644"/>
      <c r="EJ7" s="644"/>
      <c r="EK7" s="644"/>
      <c r="EL7" s="644"/>
      <c r="EM7" s="644"/>
      <c r="EN7" s="18">
        <v>2020</v>
      </c>
      <c r="EO7" s="644"/>
      <c r="EP7" s="18">
        <v>2017</v>
      </c>
      <c r="EQ7" s="644"/>
      <c r="ER7" s="644"/>
      <c r="ES7" s="644"/>
      <c r="ET7" s="18">
        <v>2020</v>
      </c>
      <c r="EU7" s="644"/>
      <c r="EV7" s="18">
        <v>2013</v>
      </c>
      <c r="EW7" s="644"/>
      <c r="EX7" s="18">
        <v>2019</v>
      </c>
      <c r="EY7" s="644"/>
      <c r="EZ7" s="18">
        <v>2020</v>
      </c>
      <c r="FA7" s="644"/>
      <c r="FB7" s="18">
        <v>2020</v>
      </c>
      <c r="FC7" s="644"/>
      <c r="FD7" s="18">
        <v>2019</v>
      </c>
      <c r="FE7" s="644"/>
      <c r="FF7" s="18">
        <v>2018</v>
      </c>
      <c r="FG7" s="644"/>
      <c r="FH7" s="6">
        <v>2016</v>
      </c>
      <c r="FI7" s="644"/>
      <c r="FJ7" s="18">
        <v>2017</v>
      </c>
      <c r="FK7" s="644"/>
      <c r="FL7" s="764">
        <v>2017</v>
      </c>
      <c r="FM7" s="644"/>
      <c r="FN7" s="18">
        <v>2018</v>
      </c>
      <c r="FO7" s="644"/>
      <c r="FP7" s="18">
        <v>2017</v>
      </c>
      <c r="FQ7" s="644"/>
      <c r="FR7" s="644"/>
      <c r="FS7" s="644"/>
      <c r="FT7" s="644"/>
      <c r="FU7" s="644"/>
      <c r="FV7" s="644"/>
      <c r="FW7" s="644"/>
      <c r="FX7" s="6">
        <v>2017</v>
      </c>
      <c r="FY7" s="644"/>
      <c r="FZ7" s="644"/>
      <c r="GA7" s="644"/>
      <c r="GB7" s="18">
        <v>2019</v>
      </c>
      <c r="GC7" s="644"/>
      <c r="GD7" s="18">
        <v>2019</v>
      </c>
      <c r="GE7" s="644"/>
      <c r="GF7" s="6">
        <v>2017</v>
      </c>
      <c r="GG7" s="644"/>
      <c r="GH7" s="18">
        <v>2017</v>
      </c>
      <c r="GI7" s="644"/>
      <c r="GJ7" s="765">
        <v>2017</v>
      </c>
      <c r="GK7" s="644"/>
      <c r="GL7" s="18">
        <v>2019</v>
      </c>
      <c r="GM7" s="644"/>
      <c r="GN7" s="6">
        <v>2016</v>
      </c>
      <c r="GO7" s="644"/>
      <c r="GP7" s="18">
        <v>2019</v>
      </c>
      <c r="GQ7" s="644"/>
      <c r="GR7" s="18">
        <v>2017</v>
      </c>
      <c r="GS7" s="644"/>
      <c r="GT7" s="18">
        <v>2017</v>
      </c>
      <c r="GU7" s="644"/>
      <c r="GV7" s="18">
        <v>2017</v>
      </c>
      <c r="GW7" s="644"/>
      <c r="GX7" s="18">
        <v>2019</v>
      </c>
      <c r="GY7" s="644"/>
      <c r="GZ7" s="5">
        <v>2018</v>
      </c>
      <c r="HA7" s="644"/>
      <c r="HB7" s="6">
        <v>2017</v>
      </c>
      <c r="HC7" s="644"/>
      <c r="HD7" s="18">
        <v>2017</v>
      </c>
      <c r="HE7" s="644"/>
      <c r="HF7" s="18">
        <v>2020</v>
      </c>
      <c r="HG7" s="644"/>
      <c r="HH7" s="18">
        <v>2017</v>
      </c>
      <c r="HI7" s="644"/>
      <c r="HJ7" s="644"/>
      <c r="HK7" s="644"/>
      <c r="HL7" s="18">
        <v>2018</v>
      </c>
      <c r="HM7" s="644"/>
      <c r="HN7" s="6">
        <v>2007</v>
      </c>
      <c r="HO7" s="644"/>
      <c r="HP7" s="18">
        <v>2020</v>
      </c>
      <c r="HQ7" s="644"/>
      <c r="HR7" s="18">
        <v>2017</v>
      </c>
      <c r="HS7" s="644"/>
      <c r="HT7" s="638">
        <v>2012</v>
      </c>
      <c r="HU7" s="644"/>
      <c r="HV7" s="18">
        <v>2020</v>
      </c>
      <c r="HW7" s="644"/>
      <c r="HX7" s="18">
        <v>2019</v>
      </c>
      <c r="HY7" s="644"/>
      <c r="HZ7" s="18">
        <v>2010</v>
      </c>
      <c r="IA7" s="644"/>
      <c r="IB7" s="644"/>
      <c r="IC7" s="644"/>
      <c r="ID7" s="18">
        <v>2013</v>
      </c>
      <c r="IE7" s="644"/>
      <c r="IF7" s="6">
        <v>2018</v>
      </c>
      <c r="IG7" s="756"/>
      <c r="IH7" s="18">
        <v>2011</v>
      </c>
      <c r="II7" s="644"/>
      <c r="IJ7" s="644"/>
      <c r="IK7" s="644"/>
      <c r="IL7" s="638">
        <v>2020</v>
      </c>
      <c r="IM7" s="644"/>
      <c r="IN7" s="639">
        <v>2019</v>
      </c>
      <c r="IO7" s="644"/>
      <c r="IP7" s="6">
        <v>2019</v>
      </c>
      <c r="IQ7" s="644"/>
      <c r="IR7" s="6">
        <v>2020</v>
      </c>
      <c r="IS7" s="644"/>
      <c r="IT7" s="18">
        <v>2015</v>
      </c>
      <c r="IU7" s="644"/>
      <c r="IV7" s="25" t="s">
        <v>1099</v>
      </c>
      <c r="IW7" s="644"/>
      <c r="IX7" s="18">
        <v>2017</v>
      </c>
      <c r="IY7" s="644"/>
      <c r="IZ7" s="18">
        <v>2016</v>
      </c>
      <c r="JA7" s="644"/>
      <c r="JB7" s="18">
        <v>2019</v>
      </c>
      <c r="JC7" s="644"/>
      <c r="JD7" s="18">
        <v>2014</v>
      </c>
      <c r="JE7" s="644"/>
      <c r="JF7" s="644"/>
      <c r="JG7" s="644"/>
      <c r="JH7" s="18">
        <v>2019</v>
      </c>
      <c r="JI7" s="644"/>
      <c r="JJ7" s="644"/>
      <c r="JK7" s="644"/>
      <c r="JL7" s="644"/>
      <c r="JM7" s="644"/>
      <c r="JN7" s="18">
        <v>2015</v>
      </c>
      <c r="JO7" s="644"/>
      <c r="JP7" s="644"/>
      <c r="JQ7" s="644"/>
      <c r="JR7" s="640">
        <v>2017</v>
      </c>
      <c r="JS7" s="644"/>
      <c r="JT7" s="18">
        <v>2019</v>
      </c>
      <c r="JU7" s="644"/>
      <c r="JV7" s="6">
        <v>2018</v>
      </c>
      <c r="JW7" s="644"/>
      <c r="JX7" s="18">
        <v>2017</v>
      </c>
      <c r="JY7" s="644"/>
    </row>
    <row r="8" spans="1:285" ht="27.75" customHeight="1" x14ac:dyDescent="0.2">
      <c r="A8" s="1564" t="s">
        <v>3</v>
      </c>
      <c r="B8" s="1578" t="s">
        <v>8</v>
      </c>
      <c r="C8" s="1575" t="s">
        <v>74</v>
      </c>
      <c r="D8" s="1554" t="s">
        <v>260</v>
      </c>
      <c r="E8" s="755" t="s">
        <v>170</v>
      </c>
      <c r="F8" s="7" t="s">
        <v>1644</v>
      </c>
      <c r="G8" s="756"/>
      <c r="H8" s="7" t="s">
        <v>2242</v>
      </c>
      <c r="I8" s="644"/>
      <c r="J8" s="641" t="s">
        <v>2261</v>
      </c>
      <c r="K8" s="644"/>
      <c r="L8" s="7">
        <v>43878</v>
      </c>
      <c r="M8" s="644"/>
      <c r="N8" s="766" t="s">
        <v>459</v>
      </c>
      <c r="O8" s="644"/>
      <c r="P8" s="642">
        <v>43709</v>
      </c>
      <c r="Q8" s="644"/>
      <c r="R8" s="641">
        <v>43617</v>
      </c>
      <c r="S8" s="644"/>
      <c r="T8" s="644"/>
      <c r="U8" s="644"/>
      <c r="V8" s="644"/>
      <c r="W8" s="644"/>
      <c r="X8" s="644"/>
      <c r="Y8" s="644"/>
      <c r="Z8" s="7" t="s">
        <v>2291</v>
      </c>
      <c r="AA8" s="644"/>
      <c r="AB8" s="641" t="s">
        <v>1185</v>
      </c>
      <c r="AC8" s="644"/>
      <c r="AD8" s="641" t="s">
        <v>2338</v>
      </c>
      <c r="AE8" s="644"/>
      <c r="AF8" s="644"/>
      <c r="AG8" s="644"/>
      <c r="AH8" s="644"/>
      <c r="AI8" s="644"/>
      <c r="AJ8" s="642" t="s">
        <v>641</v>
      </c>
      <c r="AK8" s="644"/>
      <c r="AL8" s="7">
        <v>43738</v>
      </c>
      <c r="AM8" s="644"/>
      <c r="AN8" s="641">
        <v>43831</v>
      </c>
      <c r="AO8" s="644"/>
      <c r="AP8" s="7">
        <v>43841</v>
      </c>
      <c r="AQ8" s="644"/>
      <c r="AR8" s="7" t="s">
        <v>1006</v>
      </c>
      <c r="AS8" s="644"/>
      <c r="AT8" s="7">
        <v>43906</v>
      </c>
      <c r="AU8" s="644"/>
      <c r="AV8" s="766" t="s">
        <v>570</v>
      </c>
      <c r="AW8" s="644"/>
      <c r="AX8" s="7">
        <v>43720</v>
      </c>
      <c r="AY8" s="644"/>
      <c r="AZ8" s="641">
        <v>43557</v>
      </c>
      <c r="BA8" s="644"/>
      <c r="BB8" s="644"/>
      <c r="BC8" s="644"/>
      <c r="BD8" s="643">
        <v>44012</v>
      </c>
      <c r="BE8" s="644"/>
      <c r="BF8" s="7">
        <v>43831</v>
      </c>
      <c r="BG8" s="644"/>
      <c r="BH8" s="644"/>
      <c r="BI8" s="644"/>
      <c r="BJ8" s="7" t="s">
        <v>785</v>
      </c>
      <c r="BK8" s="644"/>
      <c r="BL8" s="7">
        <v>43906</v>
      </c>
      <c r="BM8" s="644"/>
      <c r="BN8" s="7" t="s">
        <v>2175</v>
      </c>
      <c r="BO8" s="644"/>
      <c r="BP8" s="377">
        <v>43896</v>
      </c>
      <c r="BQ8" s="644"/>
      <c r="BR8" s="7">
        <v>43831</v>
      </c>
      <c r="BS8" s="644"/>
      <c r="BT8" s="7">
        <v>43831</v>
      </c>
      <c r="BU8" s="644"/>
      <c r="BV8" s="7">
        <v>43831</v>
      </c>
      <c r="BW8" s="644"/>
      <c r="BX8" s="7">
        <v>43800</v>
      </c>
      <c r="BY8" s="644"/>
      <c r="BZ8" s="7">
        <v>43774</v>
      </c>
      <c r="CA8" s="644"/>
      <c r="CB8" s="767">
        <v>43617</v>
      </c>
      <c r="CC8" s="644"/>
      <c r="CD8" s="644"/>
      <c r="CE8" s="644"/>
      <c r="CF8" s="644"/>
      <c r="CG8" s="644"/>
      <c r="CH8" s="377">
        <v>43861</v>
      </c>
      <c r="CI8" s="7"/>
      <c r="CJ8" s="7" t="s">
        <v>2128</v>
      </c>
      <c r="CK8" s="7"/>
      <c r="CL8" s="7" t="s">
        <v>611</v>
      </c>
      <c r="CM8" s="644"/>
      <c r="CN8" s="644" t="s">
        <v>2419</v>
      </c>
      <c r="CO8" s="641" t="s">
        <v>2399</v>
      </c>
      <c r="CP8" s="641">
        <v>43633</v>
      </c>
      <c r="CQ8" s="644"/>
      <c r="CR8" s="7">
        <v>43252</v>
      </c>
      <c r="CS8" s="644"/>
      <c r="CT8" s="5" t="s">
        <v>2239</v>
      </c>
      <c r="CU8" s="644"/>
      <c r="CV8" s="7">
        <v>43831</v>
      </c>
      <c r="CW8" s="644"/>
      <c r="CX8" s="7">
        <v>43831</v>
      </c>
      <c r="CY8" s="644"/>
      <c r="CZ8" s="7">
        <v>44069</v>
      </c>
      <c r="DA8" s="644"/>
      <c r="DB8" s="7">
        <v>43831</v>
      </c>
      <c r="DC8" s="644"/>
      <c r="DD8" s="641">
        <v>43978</v>
      </c>
      <c r="DE8" s="644"/>
      <c r="DF8" s="644"/>
      <c r="DG8" s="644"/>
      <c r="DH8" s="7">
        <v>43831</v>
      </c>
      <c r="DI8" s="644"/>
      <c r="DJ8" s="768">
        <v>43617</v>
      </c>
      <c r="DK8" s="644"/>
      <c r="DL8" s="644"/>
      <c r="DM8" s="644"/>
      <c r="DN8" s="7" t="s">
        <v>1138</v>
      </c>
      <c r="DO8" s="644"/>
      <c r="DP8" s="644"/>
      <c r="DQ8" s="644"/>
      <c r="DR8" s="644"/>
      <c r="DS8" s="644"/>
      <c r="DT8" s="644"/>
      <c r="DU8" s="644"/>
      <c r="DV8" s="7">
        <v>43839</v>
      </c>
      <c r="DW8" s="644"/>
      <c r="DX8" s="7" t="s">
        <v>1185</v>
      </c>
      <c r="DY8" s="644"/>
      <c r="DZ8" s="7">
        <v>43831</v>
      </c>
      <c r="EA8" s="644"/>
      <c r="EB8" s="644"/>
      <c r="EC8" s="644"/>
      <c r="ED8" s="644"/>
      <c r="EE8" s="644"/>
      <c r="EF8" s="7">
        <v>43630</v>
      </c>
      <c r="EG8" s="644"/>
      <c r="EH8" s="769" t="s">
        <v>2047</v>
      </c>
      <c r="EI8" s="644"/>
      <c r="EJ8" s="644"/>
      <c r="EK8" s="644"/>
      <c r="EL8" s="644"/>
      <c r="EM8" s="644"/>
      <c r="EN8" s="7">
        <v>43964</v>
      </c>
      <c r="EO8" s="644"/>
      <c r="EP8" s="7">
        <v>43831</v>
      </c>
      <c r="EQ8" s="644"/>
      <c r="ER8" s="644"/>
      <c r="ES8" s="644"/>
      <c r="ET8" s="645">
        <v>43709</v>
      </c>
      <c r="EU8" s="644"/>
      <c r="EV8" s="645">
        <v>43796</v>
      </c>
      <c r="EW8" s="644"/>
      <c r="EX8" s="7" t="s">
        <v>1479</v>
      </c>
      <c r="EY8" s="644"/>
      <c r="EZ8" s="7">
        <v>43466</v>
      </c>
      <c r="FA8" s="644"/>
      <c r="FB8" s="7">
        <v>43466</v>
      </c>
      <c r="FC8" s="644"/>
      <c r="FD8" s="7">
        <v>43631</v>
      </c>
      <c r="FE8" s="644"/>
      <c r="FF8" s="7">
        <v>43684</v>
      </c>
      <c r="FG8" s="644"/>
      <c r="FH8" s="7" t="s">
        <v>1563</v>
      </c>
      <c r="FI8" s="644"/>
      <c r="FJ8" s="7" t="s">
        <v>1405</v>
      </c>
      <c r="FK8" s="644"/>
      <c r="FL8" s="770" t="s">
        <v>1593</v>
      </c>
      <c r="FM8" s="644"/>
      <c r="FN8" s="7" t="s">
        <v>1613</v>
      </c>
      <c r="FO8" s="644"/>
      <c r="FP8" s="7" t="s">
        <v>662</v>
      </c>
      <c r="FQ8" s="644"/>
      <c r="FR8" s="644"/>
      <c r="FS8" s="644"/>
      <c r="FT8" s="644"/>
      <c r="FU8" s="644"/>
      <c r="FV8" s="644"/>
      <c r="FW8" s="644"/>
      <c r="FX8" s="641">
        <v>43723</v>
      </c>
      <c r="FY8" s="644"/>
      <c r="FZ8" s="644"/>
      <c r="GA8" s="644"/>
      <c r="GB8" s="7">
        <v>43891</v>
      </c>
      <c r="GC8" s="644"/>
      <c r="GD8" s="7" t="s">
        <v>2497</v>
      </c>
      <c r="GE8" s="644"/>
      <c r="GF8" s="641">
        <v>43845</v>
      </c>
      <c r="GG8" s="644"/>
      <c r="GH8" s="7">
        <v>43843</v>
      </c>
      <c r="GI8" s="644"/>
      <c r="GJ8" s="771" t="s">
        <v>1667</v>
      </c>
      <c r="GK8" s="644"/>
      <c r="GL8" s="7">
        <v>43635</v>
      </c>
      <c r="GM8" s="644"/>
      <c r="GN8" s="7">
        <v>43480</v>
      </c>
      <c r="GO8" s="644"/>
      <c r="GP8" s="7">
        <v>43709</v>
      </c>
      <c r="GQ8" s="644"/>
      <c r="GR8" s="7">
        <v>43860</v>
      </c>
      <c r="GS8" s="644"/>
      <c r="GT8" s="7" t="s">
        <v>1006</v>
      </c>
      <c r="GU8" s="644"/>
      <c r="GV8" s="7">
        <v>43647</v>
      </c>
      <c r="GW8" s="644"/>
      <c r="GX8" s="7">
        <v>43132</v>
      </c>
      <c r="GY8" s="644"/>
      <c r="GZ8" s="7">
        <v>43739</v>
      </c>
      <c r="HA8" s="644"/>
      <c r="HB8" s="7">
        <v>43887</v>
      </c>
      <c r="HC8" s="772" t="s">
        <v>1819</v>
      </c>
      <c r="HD8" s="7">
        <v>43831</v>
      </c>
      <c r="HE8" s="644"/>
      <c r="HF8" s="7">
        <v>43843</v>
      </c>
      <c r="HG8" s="644"/>
      <c r="HH8" s="7">
        <v>43654</v>
      </c>
      <c r="HI8" s="644"/>
      <c r="HJ8" s="644"/>
      <c r="HK8" s="644"/>
      <c r="HL8" s="7" t="s">
        <v>1749</v>
      </c>
      <c r="HM8" s="644"/>
      <c r="HN8" s="641">
        <v>43556</v>
      </c>
      <c r="HO8" s="644"/>
      <c r="HP8" s="7">
        <v>43831</v>
      </c>
      <c r="HQ8" s="644"/>
      <c r="HR8" s="7">
        <v>43831</v>
      </c>
      <c r="HS8" s="644"/>
      <c r="HT8" s="646">
        <v>43927</v>
      </c>
      <c r="HU8" s="644"/>
      <c r="HV8" s="7">
        <v>43831</v>
      </c>
      <c r="HW8" s="644"/>
      <c r="HX8" s="7" t="s">
        <v>2175</v>
      </c>
      <c r="HY8" s="644"/>
      <c r="HZ8" s="7" t="s">
        <v>2191</v>
      </c>
      <c r="IA8" s="644"/>
      <c r="IB8" s="644"/>
      <c r="IC8" s="644"/>
      <c r="ID8" s="7">
        <v>43770</v>
      </c>
      <c r="IE8" s="644"/>
      <c r="IF8" s="7" t="s">
        <v>1243</v>
      </c>
      <c r="IG8" s="773"/>
      <c r="IH8" s="7">
        <v>43474</v>
      </c>
      <c r="II8" s="644"/>
      <c r="IJ8" s="644"/>
      <c r="IK8" s="644"/>
      <c r="IL8" s="646">
        <v>43810</v>
      </c>
      <c r="IM8" s="644"/>
      <c r="IN8" s="647">
        <v>43831</v>
      </c>
      <c r="IO8" s="644"/>
      <c r="IP8" s="7">
        <v>43676</v>
      </c>
      <c r="IQ8" s="644"/>
      <c r="IR8" s="7">
        <v>43848</v>
      </c>
      <c r="IS8" s="644"/>
      <c r="IT8" s="7" t="s">
        <v>1062</v>
      </c>
      <c r="IU8" s="644"/>
      <c r="IV8" s="7">
        <v>43831</v>
      </c>
      <c r="IW8" s="644"/>
      <c r="IX8" s="7">
        <v>43831</v>
      </c>
      <c r="IY8" s="644"/>
      <c r="IZ8" s="7" t="s">
        <v>1389</v>
      </c>
      <c r="JA8" s="644"/>
      <c r="JB8" s="7">
        <v>43801</v>
      </c>
      <c r="JC8" s="644"/>
      <c r="JD8" s="7" t="s">
        <v>1405</v>
      </c>
      <c r="JE8" s="644"/>
      <c r="JF8" s="644"/>
      <c r="JG8" s="644"/>
      <c r="JH8" s="7">
        <v>43727</v>
      </c>
      <c r="JI8" s="644"/>
      <c r="JJ8" s="644"/>
      <c r="JK8" s="644"/>
      <c r="JL8" s="644"/>
      <c r="JM8" s="644"/>
      <c r="JN8" s="7" t="s">
        <v>2482</v>
      </c>
      <c r="JO8" s="644"/>
      <c r="JP8" s="644"/>
      <c r="JQ8" s="644"/>
      <c r="JR8" s="648">
        <v>43831</v>
      </c>
      <c r="JS8" s="644"/>
      <c r="JT8" s="7" t="s">
        <v>1118</v>
      </c>
      <c r="JU8" s="644"/>
      <c r="JV8" s="641">
        <v>43831</v>
      </c>
      <c r="JW8" s="644"/>
      <c r="JX8" s="7">
        <v>43754</v>
      </c>
      <c r="JY8" s="644"/>
    </row>
    <row r="9" spans="1:285" ht="21" customHeight="1" thickBot="1" x14ac:dyDescent="0.25">
      <c r="A9" s="1568"/>
      <c r="B9" s="1579"/>
      <c r="C9" s="1576"/>
      <c r="D9" s="1549"/>
      <c r="E9" s="755" t="s">
        <v>259</v>
      </c>
      <c r="F9" s="7" t="s">
        <v>1645</v>
      </c>
      <c r="G9" s="756"/>
      <c r="H9" s="7" t="s">
        <v>1186</v>
      </c>
      <c r="I9" s="644"/>
      <c r="J9" s="641" t="s">
        <v>1186</v>
      </c>
      <c r="K9" s="644"/>
      <c r="L9" s="7">
        <v>44196</v>
      </c>
      <c r="M9" s="644"/>
      <c r="N9" s="766" t="s">
        <v>460</v>
      </c>
      <c r="O9" s="644"/>
      <c r="P9" s="642">
        <v>44105</v>
      </c>
      <c r="Q9" s="644"/>
      <c r="R9" s="641">
        <v>43830</v>
      </c>
      <c r="S9" s="644"/>
      <c r="T9" s="644"/>
      <c r="U9" s="644"/>
      <c r="V9" s="644"/>
      <c r="W9" s="644"/>
      <c r="X9" s="644"/>
      <c r="Y9" s="644"/>
      <c r="Z9" s="7" t="s">
        <v>1186</v>
      </c>
      <c r="AA9" s="644"/>
      <c r="AB9" s="641" t="s">
        <v>1186</v>
      </c>
      <c r="AC9" s="644"/>
      <c r="AD9" s="641" t="s">
        <v>1186</v>
      </c>
      <c r="AE9" s="644"/>
      <c r="AF9" s="644"/>
      <c r="AG9" s="644"/>
      <c r="AH9" s="644"/>
      <c r="AI9" s="644"/>
      <c r="AJ9" s="642" t="s">
        <v>642</v>
      </c>
      <c r="AK9" s="644"/>
      <c r="AL9" s="7">
        <v>44104</v>
      </c>
      <c r="AM9" s="644"/>
      <c r="AN9" s="641">
        <v>44196</v>
      </c>
      <c r="AO9" s="644"/>
      <c r="AP9" s="7">
        <v>44187</v>
      </c>
      <c r="AQ9" s="644"/>
      <c r="AR9" s="7" t="s">
        <v>1007</v>
      </c>
      <c r="AS9" s="644"/>
      <c r="AT9" s="7">
        <v>44166</v>
      </c>
      <c r="AU9" s="644"/>
      <c r="AV9" s="766" t="s">
        <v>460</v>
      </c>
      <c r="AW9" s="644"/>
      <c r="AX9" s="7">
        <v>44190</v>
      </c>
      <c r="AY9" s="644"/>
      <c r="AZ9" s="641">
        <v>44190</v>
      </c>
      <c r="BA9" s="644"/>
      <c r="BB9" s="644"/>
      <c r="BC9" s="644"/>
      <c r="BD9" s="643">
        <v>44190</v>
      </c>
      <c r="BE9" s="644"/>
      <c r="BF9" s="7">
        <v>45657</v>
      </c>
      <c r="BG9" s="644"/>
      <c r="BH9" s="644"/>
      <c r="BI9" s="644"/>
      <c r="BJ9" s="7" t="s">
        <v>786</v>
      </c>
      <c r="BK9" s="644"/>
      <c r="BL9" s="7">
        <v>44166</v>
      </c>
      <c r="BM9" s="644"/>
      <c r="BN9" s="7" t="s">
        <v>2176</v>
      </c>
      <c r="BO9" s="644"/>
      <c r="BP9" s="377" t="s">
        <v>1969</v>
      </c>
      <c r="BQ9" s="644"/>
      <c r="BR9" s="7">
        <v>44196</v>
      </c>
      <c r="BS9" s="644"/>
      <c r="BT9" s="7">
        <v>44196</v>
      </c>
      <c r="BU9" s="644"/>
      <c r="BV9" s="7">
        <v>44196</v>
      </c>
      <c r="BW9" s="644"/>
      <c r="BX9" s="7">
        <v>43814</v>
      </c>
      <c r="BY9" s="644"/>
      <c r="BZ9" s="7">
        <v>43798</v>
      </c>
      <c r="CA9" s="644"/>
      <c r="CB9" s="767">
        <v>44191</v>
      </c>
      <c r="CC9" s="644"/>
      <c r="CD9" s="644"/>
      <c r="CE9" s="644"/>
      <c r="CF9" s="644"/>
      <c r="CG9" s="644"/>
      <c r="CH9" s="377">
        <v>44196</v>
      </c>
      <c r="CI9" s="7"/>
      <c r="CJ9" s="7">
        <v>44196</v>
      </c>
      <c r="CK9" s="7"/>
      <c r="CL9" s="7" t="s">
        <v>612</v>
      </c>
      <c r="CM9" s="644"/>
      <c r="CN9" s="641">
        <v>44196</v>
      </c>
      <c r="CO9" s="644"/>
      <c r="CP9" s="641">
        <v>44196</v>
      </c>
      <c r="CQ9" s="644"/>
      <c r="CR9" s="7">
        <v>44196</v>
      </c>
      <c r="CS9" s="644"/>
      <c r="CT9" s="5" t="s">
        <v>2240</v>
      </c>
      <c r="CU9" s="644"/>
      <c r="CV9" s="7">
        <v>44196</v>
      </c>
      <c r="CW9" s="644"/>
      <c r="CX9" s="7">
        <v>44180</v>
      </c>
      <c r="CY9" s="644"/>
      <c r="CZ9" s="7">
        <v>44115</v>
      </c>
      <c r="DA9" s="644"/>
      <c r="DB9" s="7">
        <v>44196</v>
      </c>
      <c r="DC9" s="644"/>
      <c r="DD9" s="641" t="s">
        <v>1969</v>
      </c>
      <c r="DE9" s="644"/>
      <c r="DF9" s="644"/>
      <c r="DG9" s="644"/>
      <c r="DH9" s="7">
        <v>44196</v>
      </c>
      <c r="DI9" s="644"/>
      <c r="DJ9" s="768">
        <v>44196</v>
      </c>
      <c r="DK9" s="644"/>
      <c r="DL9" s="644"/>
      <c r="DM9" s="644"/>
      <c r="DN9" s="7" t="s">
        <v>1119</v>
      </c>
      <c r="DO9" s="644"/>
      <c r="DP9" s="644"/>
      <c r="DQ9" s="644"/>
      <c r="DR9" s="644"/>
      <c r="DS9" s="644"/>
      <c r="DT9" s="644"/>
      <c r="DU9" s="644"/>
      <c r="DV9" s="7">
        <v>44196</v>
      </c>
      <c r="DW9" s="644"/>
      <c r="DX9" s="7" t="s">
        <v>1186</v>
      </c>
      <c r="DY9" s="644"/>
      <c r="DZ9" s="7">
        <v>44196</v>
      </c>
      <c r="EA9" s="644"/>
      <c r="EB9" s="644"/>
      <c r="EC9" s="644"/>
      <c r="ED9" s="644"/>
      <c r="EE9" s="644"/>
      <c r="EF9" s="7">
        <v>44196</v>
      </c>
      <c r="EG9" s="644"/>
      <c r="EH9" s="769" t="s">
        <v>2048</v>
      </c>
      <c r="EI9" s="644"/>
      <c r="EJ9" s="644"/>
      <c r="EK9" s="644"/>
      <c r="EL9" s="644"/>
      <c r="EM9" s="644"/>
      <c r="EN9" s="7">
        <v>44190</v>
      </c>
      <c r="EO9" s="644"/>
      <c r="EP9" s="7">
        <v>44196</v>
      </c>
      <c r="EQ9" s="644"/>
      <c r="ER9" s="644"/>
      <c r="ES9" s="644"/>
      <c r="ET9" s="645">
        <v>44196</v>
      </c>
      <c r="EU9" s="644"/>
      <c r="EV9" s="645">
        <v>44190</v>
      </c>
      <c r="EW9" s="644"/>
      <c r="EX9" s="7" t="s">
        <v>460</v>
      </c>
      <c r="EY9" s="644"/>
      <c r="EZ9" s="7">
        <v>44196</v>
      </c>
      <c r="FA9" s="644"/>
      <c r="FB9" s="7">
        <v>44196</v>
      </c>
      <c r="FC9" s="644"/>
      <c r="FD9" s="7">
        <v>44190</v>
      </c>
      <c r="FE9" s="644"/>
      <c r="FF9" s="7">
        <v>44190</v>
      </c>
      <c r="FG9" s="644"/>
      <c r="FH9" s="7" t="s">
        <v>642</v>
      </c>
      <c r="FI9" s="644"/>
      <c r="FJ9" s="7">
        <v>44196</v>
      </c>
      <c r="FK9" s="644"/>
      <c r="FL9" s="770" t="s">
        <v>460</v>
      </c>
      <c r="FM9" s="644"/>
      <c r="FN9" s="7" t="s">
        <v>1186</v>
      </c>
      <c r="FO9" s="644"/>
      <c r="FP9" s="7" t="s">
        <v>663</v>
      </c>
      <c r="FQ9" s="644"/>
      <c r="FR9" s="644"/>
      <c r="FS9" s="644"/>
      <c r="FT9" s="644"/>
      <c r="FU9" s="644"/>
      <c r="FV9" s="644"/>
      <c r="FW9" s="644"/>
      <c r="FX9" s="641">
        <v>44196</v>
      </c>
      <c r="FY9" s="644"/>
      <c r="FZ9" s="644"/>
      <c r="GA9" s="644"/>
      <c r="GB9" s="7">
        <v>44104</v>
      </c>
      <c r="GC9" s="644"/>
      <c r="GD9" s="7" t="s">
        <v>2498</v>
      </c>
      <c r="GE9" s="644"/>
      <c r="GF9" s="641">
        <v>44196</v>
      </c>
      <c r="GG9" s="644"/>
      <c r="GH9" s="7">
        <v>44195</v>
      </c>
      <c r="GI9" s="644"/>
      <c r="GJ9" s="771" t="s">
        <v>460</v>
      </c>
      <c r="GK9" s="644"/>
      <c r="GL9" s="7" t="s">
        <v>460</v>
      </c>
      <c r="GM9" s="644"/>
      <c r="GN9" s="7" t="s">
        <v>460</v>
      </c>
      <c r="GO9" s="644"/>
      <c r="GP9" s="7" t="s">
        <v>460</v>
      </c>
      <c r="GQ9" s="644"/>
      <c r="GR9" s="7">
        <v>44190</v>
      </c>
      <c r="GS9" s="644"/>
      <c r="GT9" s="7" t="s">
        <v>1119</v>
      </c>
      <c r="GU9" s="644"/>
      <c r="GV9" s="7">
        <v>44196</v>
      </c>
      <c r="GW9" s="644"/>
      <c r="GX9" s="7">
        <v>44561</v>
      </c>
      <c r="GY9" s="644"/>
      <c r="GZ9" s="7">
        <v>44196</v>
      </c>
      <c r="HA9" s="644"/>
      <c r="HB9" s="641">
        <v>44196</v>
      </c>
      <c r="HC9" s="644"/>
      <c r="HD9" s="7">
        <v>44196</v>
      </c>
      <c r="HE9" s="644"/>
      <c r="HF9" s="7">
        <v>44074</v>
      </c>
      <c r="HG9" s="644"/>
      <c r="HH9" s="7" t="s">
        <v>1925</v>
      </c>
      <c r="HI9" s="644"/>
      <c r="HJ9" s="644"/>
      <c r="HK9" s="644"/>
      <c r="HL9" s="7" t="s">
        <v>1119</v>
      </c>
      <c r="HM9" s="644"/>
      <c r="HN9" s="641">
        <v>44196</v>
      </c>
      <c r="HO9" s="644"/>
      <c r="HP9" s="7">
        <v>44196</v>
      </c>
      <c r="HQ9" s="644"/>
      <c r="HR9" s="7">
        <v>44075</v>
      </c>
      <c r="HS9" s="644"/>
      <c r="HT9" s="646">
        <v>44189</v>
      </c>
      <c r="HU9" s="644"/>
      <c r="HV9" s="7">
        <v>44196</v>
      </c>
      <c r="HW9" s="644"/>
      <c r="HX9" s="7" t="s">
        <v>2176</v>
      </c>
      <c r="HY9" s="644"/>
      <c r="HZ9" s="7" t="s">
        <v>2192</v>
      </c>
      <c r="IA9" s="644"/>
      <c r="IB9" s="644"/>
      <c r="IC9" s="644"/>
      <c r="ID9" s="7">
        <v>44196</v>
      </c>
      <c r="IE9" s="644"/>
      <c r="IF9" s="641">
        <v>44196</v>
      </c>
      <c r="IG9" s="773"/>
      <c r="IH9" s="7">
        <v>44196</v>
      </c>
      <c r="II9" s="644"/>
      <c r="IJ9" s="644"/>
      <c r="IK9" s="644"/>
      <c r="IL9" s="646">
        <v>44196</v>
      </c>
      <c r="IM9" s="644"/>
      <c r="IN9" s="647">
        <v>44196</v>
      </c>
      <c r="IO9" s="644"/>
      <c r="IP9" s="7">
        <v>44196</v>
      </c>
      <c r="IQ9" s="644"/>
      <c r="IR9" s="7">
        <v>44196</v>
      </c>
      <c r="IS9" s="644"/>
      <c r="IT9" s="7" t="s">
        <v>1063</v>
      </c>
      <c r="IU9" s="644"/>
      <c r="IV9" s="7">
        <v>44196</v>
      </c>
      <c r="IW9" s="644"/>
      <c r="IX9" s="7">
        <v>44196</v>
      </c>
      <c r="IY9" s="644"/>
      <c r="IZ9" s="7" t="s">
        <v>1390</v>
      </c>
      <c r="JA9" s="644"/>
      <c r="JB9" s="7">
        <v>44188</v>
      </c>
      <c r="JC9" s="644"/>
      <c r="JD9" s="7" t="s">
        <v>460</v>
      </c>
      <c r="JE9" s="644"/>
      <c r="JF9" s="644"/>
      <c r="JG9" s="644"/>
      <c r="JH9" s="7">
        <v>44196</v>
      </c>
      <c r="JI9" s="644"/>
      <c r="JJ9" s="644"/>
      <c r="JK9" s="644"/>
      <c r="JL9" s="644"/>
      <c r="JM9" s="644"/>
      <c r="JN9" s="7">
        <v>44196</v>
      </c>
      <c r="JO9" s="644"/>
      <c r="JP9" s="644"/>
      <c r="JQ9" s="644"/>
      <c r="JR9" s="648">
        <v>44196</v>
      </c>
      <c r="JS9" s="644"/>
      <c r="JT9" s="7" t="s">
        <v>1119</v>
      </c>
      <c r="JU9" s="644"/>
      <c r="JV9" s="641">
        <v>44196</v>
      </c>
      <c r="JW9" s="644"/>
      <c r="JX9" s="7">
        <v>44165</v>
      </c>
      <c r="JY9" s="644"/>
    </row>
    <row r="10" spans="1:285" ht="143.1" customHeight="1" thickBot="1" x14ac:dyDescent="0.25">
      <c r="A10" s="1564" t="s">
        <v>4</v>
      </c>
      <c r="B10" s="1578" t="s">
        <v>163</v>
      </c>
      <c r="C10" s="61" t="s">
        <v>75</v>
      </c>
      <c r="D10" s="62" t="s">
        <v>161</v>
      </c>
      <c r="E10" s="755" t="s">
        <v>48</v>
      </c>
      <c r="F10" s="9" t="s">
        <v>504</v>
      </c>
      <c r="G10" s="756"/>
      <c r="H10" s="9" t="s">
        <v>2243</v>
      </c>
      <c r="I10" s="644"/>
      <c r="J10" s="5" t="s">
        <v>2262</v>
      </c>
      <c r="K10" s="644"/>
      <c r="L10" s="9" t="s">
        <v>2279</v>
      </c>
      <c r="M10" s="644"/>
      <c r="N10" s="757" t="s">
        <v>461</v>
      </c>
      <c r="O10" s="644"/>
      <c r="P10" s="84" t="s">
        <v>492</v>
      </c>
      <c r="Q10" s="644"/>
      <c r="R10" s="5" t="s">
        <v>514</v>
      </c>
      <c r="S10" s="644"/>
      <c r="T10" s="644"/>
      <c r="U10" s="644"/>
      <c r="V10" s="644"/>
      <c r="W10" s="644"/>
      <c r="X10" s="644"/>
      <c r="Y10" s="644"/>
      <c r="Z10" s="9" t="s">
        <v>2292</v>
      </c>
      <c r="AA10" s="644"/>
      <c r="AB10" s="9" t="s">
        <v>2319</v>
      </c>
      <c r="AC10" s="644"/>
      <c r="AD10" s="9" t="s">
        <v>2339</v>
      </c>
      <c r="AE10" s="644"/>
      <c r="AF10" s="644"/>
      <c r="AG10" s="644"/>
      <c r="AH10" s="644"/>
      <c r="AI10" s="644"/>
      <c r="AJ10" s="84" t="s">
        <v>643</v>
      </c>
      <c r="AK10" s="644"/>
      <c r="AL10" s="9" t="s">
        <v>2355</v>
      </c>
      <c r="AM10" s="644"/>
      <c r="AN10" s="9" t="s">
        <v>973</v>
      </c>
      <c r="AO10" s="644"/>
      <c r="AP10" s="9" t="s">
        <v>989</v>
      </c>
      <c r="AQ10" s="644"/>
      <c r="AR10" s="9" t="s">
        <v>1008</v>
      </c>
      <c r="AS10" s="644"/>
      <c r="AT10" s="9" t="s">
        <v>591</v>
      </c>
      <c r="AU10" s="644"/>
      <c r="AV10" s="757" t="s">
        <v>571</v>
      </c>
      <c r="AW10" s="644"/>
      <c r="AX10" s="9" t="s">
        <v>530</v>
      </c>
      <c r="AY10" s="644"/>
      <c r="AZ10" s="5" t="s">
        <v>568</v>
      </c>
      <c r="BA10" s="644"/>
      <c r="BB10" s="644"/>
      <c r="BC10" s="644"/>
      <c r="BD10" s="5"/>
      <c r="BE10" s="644"/>
      <c r="BF10" s="20" t="s">
        <v>2386</v>
      </c>
      <c r="BG10" s="644"/>
      <c r="BH10" s="644"/>
      <c r="BI10" s="644"/>
      <c r="BJ10" s="9" t="s">
        <v>784</v>
      </c>
      <c r="BK10" s="644"/>
      <c r="BL10" s="20" t="s">
        <v>1020</v>
      </c>
      <c r="BM10" s="644"/>
      <c r="BN10" s="9" t="s">
        <v>2177</v>
      </c>
      <c r="BO10" s="644"/>
      <c r="BP10" s="632" t="s">
        <v>1970</v>
      </c>
      <c r="BQ10" s="644"/>
      <c r="BR10" s="9" t="s">
        <v>960</v>
      </c>
      <c r="BS10" s="644"/>
      <c r="BT10" s="9" t="s">
        <v>920</v>
      </c>
      <c r="BU10" s="644"/>
      <c r="BV10" s="5" t="s">
        <v>941</v>
      </c>
      <c r="BW10" s="644"/>
      <c r="BX10" s="9" t="s">
        <v>2145</v>
      </c>
      <c r="BY10" s="644"/>
      <c r="BZ10" s="9" t="s">
        <v>2163</v>
      </c>
      <c r="CA10" s="644"/>
      <c r="CB10" s="9" t="s">
        <v>892</v>
      </c>
      <c r="CC10" s="644"/>
      <c r="CD10" s="644"/>
      <c r="CE10" s="644"/>
      <c r="CF10" s="644"/>
      <c r="CG10" s="644"/>
      <c r="CH10" s="632" t="s">
        <v>2104</v>
      </c>
      <c r="CI10" s="9"/>
      <c r="CJ10" s="9" t="s">
        <v>2104</v>
      </c>
      <c r="CK10" s="9"/>
      <c r="CL10" s="5" t="s">
        <v>613</v>
      </c>
      <c r="CM10" s="644"/>
      <c r="CN10" s="5" t="s">
        <v>2400</v>
      </c>
      <c r="CO10" s="644"/>
      <c r="CP10" s="5" t="s">
        <v>2421</v>
      </c>
      <c r="CQ10" s="644"/>
      <c r="CR10" s="9" t="s">
        <v>2444</v>
      </c>
      <c r="CS10" s="644"/>
      <c r="CT10" s="5" t="s">
        <v>2209</v>
      </c>
      <c r="CU10" s="644"/>
      <c r="CV10" s="9" t="s">
        <v>820</v>
      </c>
      <c r="CW10" s="644"/>
      <c r="CX10" s="5" t="s">
        <v>831</v>
      </c>
      <c r="CY10" s="644"/>
      <c r="CZ10" s="9" t="s">
        <v>847</v>
      </c>
      <c r="DA10" s="644"/>
      <c r="DB10" s="9" t="s">
        <v>859</v>
      </c>
      <c r="DC10" s="644"/>
      <c r="DD10" s="5" t="s">
        <v>2466</v>
      </c>
      <c r="DE10" s="644"/>
      <c r="DF10" s="644"/>
      <c r="DG10" s="644"/>
      <c r="DH10" s="5" t="s">
        <v>868</v>
      </c>
      <c r="DI10" s="644"/>
      <c r="DJ10" s="758" t="s">
        <v>882</v>
      </c>
      <c r="DK10" s="644"/>
      <c r="DL10" s="644"/>
      <c r="DM10" s="644"/>
      <c r="DN10" s="9" t="s">
        <v>504</v>
      </c>
      <c r="DO10" s="644"/>
      <c r="DP10" s="644"/>
      <c r="DQ10" s="644"/>
      <c r="DR10" s="644"/>
      <c r="DS10" s="644"/>
      <c r="DT10" s="644"/>
      <c r="DU10" s="644"/>
      <c r="DV10" s="9" t="s">
        <v>1158</v>
      </c>
      <c r="DW10" s="644"/>
      <c r="DX10" s="9" t="s">
        <v>1158</v>
      </c>
      <c r="DY10" s="644"/>
      <c r="DZ10" s="9" t="s">
        <v>2522</v>
      </c>
      <c r="EA10" s="644"/>
      <c r="EB10" s="644"/>
      <c r="EC10" s="644"/>
      <c r="ED10" s="644"/>
      <c r="EE10" s="644"/>
      <c r="EF10" s="9" t="s">
        <v>2024</v>
      </c>
      <c r="EG10" s="644"/>
      <c r="EH10" s="759" t="s">
        <v>2049</v>
      </c>
      <c r="EI10" s="644"/>
      <c r="EJ10" s="644"/>
      <c r="EK10" s="644"/>
      <c r="EL10" s="644"/>
      <c r="EM10" s="644"/>
      <c r="EN10" s="9" t="s">
        <v>1424</v>
      </c>
      <c r="EO10" s="644"/>
      <c r="EP10" s="9" t="s">
        <v>1198</v>
      </c>
      <c r="EQ10" s="644"/>
      <c r="ER10" s="644"/>
      <c r="ES10" s="644"/>
      <c r="ET10" s="9" t="s">
        <v>1441</v>
      </c>
      <c r="EU10" s="644"/>
      <c r="EV10" s="9" t="s">
        <v>465</v>
      </c>
      <c r="EW10" s="644"/>
      <c r="EX10" s="5" t="s">
        <v>1480</v>
      </c>
      <c r="EY10" s="644"/>
      <c r="EZ10" s="9" t="s">
        <v>1496</v>
      </c>
      <c r="FA10" s="644"/>
      <c r="FB10" s="9" t="s">
        <v>1496</v>
      </c>
      <c r="FC10" s="644"/>
      <c r="FD10" s="9" t="s">
        <v>1516</v>
      </c>
      <c r="FE10" s="644"/>
      <c r="FF10" s="9" t="s">
        <v>1538</v>
      </c>
      <c r="FG10" s="644"/>
      <c r="FH10" s="9" t="s">
        <v>1564</v>
      </c>
      <c r="FI10" s="644"/>
      <c r="FJ10" s="9" t="s">
        <v>1581</v>
      </c>
      <c r="FK10" s="644"/>
      <c r="FL10" s="760" t="s">
        <v>2557</v>
      </c>
      <c r="FM10" s="644"/>
      <c r="FN10" s="9" t="s">
        <v>1614</v>
      </c>
      <c r="FO10" s="644"/>
      <c r="FP10" s="9" t="s">
        <v>690</v>
      </c>
      <c r="FQ10" s="644"/>
      <c r="FR10" s="644"/>
      <c r="FS10" s="644"/>
      <c r="FT10" s="644"/>
      <c r="FU10" s="644"/>
      <c r="FV10" s="644"/>
      <c r="FW10" s="644"/>
      <c r="FX10" s="5" t="s">
        <v>1861</v>
      </c>
      <c r="FY10" s="644"/>
      <c r="FZ10" s="644"/>
      <c r="GA10" s="644"/>
      <c r="GB10" s="5" t="s">
        <v>1629</v>
      </c>
      <c r="GC10" s="644"/>
      <c r="GD10" s="9" t="s">
        <v>2499</v>
      </c>
      <c r="GE10" s="644"/>
      <c r="GF10" s="5" t="s">
        <v>1983</v>
      </c>
      <c r="GG10" s="644"/>
      <c r="GH10" s="9" t="s">
        <v>2005</v>
      </c>
      <c r="GI10" s="644"/>
      <c r="GJ10" s="760" t="s">
        <v>1665</v>
      </c>
      <c r="GK10" s="644"/>
      <c r="GL10" s="9" t="s">
        <v>1700</v>
      </c>
      <c r="GM10" s="644"/>
      <c r="GN10" s="9" t="s">
        <v>1700</v>
      </c>
      <c r="GO10" s="644"/>
      <c r="GP10" s="9" t="s">
        <v>504</v>
      </c>
      <c r="GQ10" s="644"/>
      <c r="GR10" s="9" t="s">
        <v>1939</v>
      </c>
      <c r="GS10" s="644"/>
      <c r="GT10" s="9" t="s">
        <v>2076</v>
      </c>
      <c r="GU10" s="644"/>
      <c r="GV10" s="5" t="s">
        <v>1883</v>
      </c>
      <c r="GW10" s="644"/>
      <c r="GX10" s="5" t="s">
        <v>1883</v>
      </c>
      <c r="GY10" s="644"/>
      <c r="GZ10" s="5" t="s">
        <v>1917</v>
      </c>
      <c r="HA10" s="644"/>
      <c r="HB10" s="5" t="s">
        <v>1794</v>
      </c>
      <c r="HC10" s="644"/>
      <c r="HD10" s="9" t="s">
        <v>1820</v>
      </c>
      <c r="HE10" s="644"/>
      <c r="HF10" s="9" t="s">
        <v>1851</v>
      </c>
      <c r="HG10" s="644"/>
      <c r="HH10" s="9" t="s">
        <v>1926</v>
      </c>
      <c r="HI10" s="644"/>
      <c r="HJ10" s="644"/>
      <c r="HK10" s="644"/>
      <c r="HL10" s="5" t="s">
        <v>1750</v>
      </c>
      <c r="HM10" s="644"/>
      <c r="HN10" s="5" t="s">
        <v>1768</v>
      </c>
      <c r="HO10" s="644"/>
      <c r="HP10" s="9" t="s">
        <v>1274</v>
      </c>
      <c r="HQ10" s="644"/>
      <c r="HR10" s="9" t="s">
        <v>1287</v>
      </c>
      <c r="HS10" s="644"/>
      <c r="HT10" s="633" t="s">
        <v>1298</v>
      </c>
      <c r="HU10" s="644"/>
      <c r="HV10" s="9" t="s">
        <v>1274</v>
      </c>
      <c r="HW10" s="644"/>
      <c r="HX10" s="9" t="s">
        <v>2177</v>
      </c>
      <c r="HY10" s="644"/>
      <c r="HZ10" s="9" t="s">
        <v>2193</v>
      </c>
      <c r="IA10" s="644"/>
      <c r="IB10" s="644"/>
      <c r="IC10" s="644"/>
      <c r="ID10" s="9" t="s">
        <v>1218</v>
      </c>
      <c r="IE10" s="644"/>
      <c r="IF10" s="5" t="s">
        <v>1244</v>
      </c>
      <c r="IG10" s="756"/>
      <c r="IH10" s="9"/>
      <c r="II10" s="644"/>
      <c r="IJ10" s="644"/>
      <c r="IK10" s="644"/>
      <c r="IL10" s="651" t="s">
        <v>1338</v>
      </c>
      <c r="IM10" s="644"/>
      <c r="IN10" s="634" t="s">
        <v>1350</v>
      </c>
      <c r="IO10" s="644"/>
      <c r="IP10" s="5" t="s">
        <v>734</v>
      </c>
      <c r="IQ10" s="644"/>
      <c r="IR10" s="5" t="s">
        <v>734</v>
      </c>
      <c r="IS10" s="644"/>
      <c r="IT10" s="20" t="s">
        <v>1064</v>
      </c>
      <c r="IU10" s="644"/>
      <c r="IV10" s="9" t="s">
        <v>1090</v>
      </c>
      <c r="IW10" s="644"/>
      <c r="IX10" s="9" t="s">
        <v>1102</v>
      </c>
      <c r="IY10" s="644"/>
      <c r="IZ10" s="9" t="s">
        <v>1368</v>
      </c>
      <c r="JA10" s="644"/>
      <c r="JB10" s="9" t="s">
        <v>1393</v>
      </c>
      <c r="JC10" s="644"/>
      <c r="JD10" s="9" t="s">
        <v>1406</v>
      </c>
      <c r="JE10" s="644"/>
      <c r="JF10" s="644"/>
      <c r="JG10" s="644"/>
      <c r="JH10" s="9" t="s">
        <v>801</v>
      </c>
      <c r="JI10" s="644"/>
      <c r="JJ10" s="644"/>
      <c r="JK10" s="644"/>
      <c r="JL10" s="644"/>
      <c r="JM10" s="644"/>
      <c r="JN10" s="9" t="s">
        <v>504</v>
      </c>
      <c r="JO10" s="644"/>
      <c r="JP10" s="644"/>
      <c r="JQ10" s="644"/>
      <c r="JR10" s="20" t="s">
        <v>1036</v>
      </c>
      <c r="JS10" s="644"/>
      <c r="JT10" s="9" t="s">
        <v>1120</v>
      </c>
      <c r="JU10" s="644"/>
      <c r="JV10" s="5" t="s">
        <v>2536</v>
      </c>
      <c r="JW10" s="644"/>
      <c r="JX10" s="19" t="s">
        <v>698</v>
      </c>
      <c r="JY10" s="644"/>
    </row>
    <row r="11" spans="1:285" ht="84" customHeight="1" x14ac:dyDescent="0.2">
      <c r="A11" s="1565"/>
      <c r="B11" s="1580"/>
      <c r="C11" s="1575" t="s">
        <v>76</v>
      </c>
      <c r="D11" s="1554" t="s">
        <v>227</v>
      </c>
      <c r="E11" s="755" t="s">
        <v>48</v>
      </c>
      <c r="F11" s="9" t="s">
        <v>504</v>
      </c>
      <c r="G11" s="756"/>
      <c r="H11" s="9" t="s">
        <v>2244</v>
      </c>
      <c r="I11" s="644"/>
      <c r="J11" s="5" t="s">
        <v>2263</v>
      </c>
      <c r="K11" s="644"/>
      <c r="L11" s="9" t="s">
        <v>2280</v>
      </c>
      <c r="M11" s="644"/>
      <c r="N11" s="757" t="s">
        <v>462</v>
      </c>
      <c r="O11" s="644"/>
      <c r="P11" s="84" t="s">
        <v>493</v>
      </c>
      <c r="Q11" s="644"/>
      <c r="R11" s="5" t="s">
        <v>515</v>
      </c>
      <c r="S11" s="644"/>
      <c r="T11" s="644"/>
      <c r="U11" s="644"/>
      <c r="V11" s="644"/>
      <c r="W11" s="644"/>
      <c r="X11" s="644"/>
      <c r="Y11" s="644"/>
      <c r="Z11" s="9" t="s">
        <v>2293</v>
      </c>
      <c r="AA11" s="644"/>
      <c r="AB11" s="9" t="s">
        <v>2320</v>
      </c>
      <c r="AC11" s="644"/>
      <c r="AD11" s="9" t="s">
        <v>2340</v>
      </c>
      <c r="AE11" s="644"/>
      <c r="AF11" s="644"/>
      <c r="AG11" s="644"/>
      <c r="AH11" s="644"/>
      <c r="AI11" s="644"/>
      <c r="AJ11" s="84" t="s">
        <v>644</v>
      </c>
      <c r="AK11" s="644"/>
      <c r="AL11" s="9" t="s">
        <v>2356</v>
      </c>
      <c r="AM11" s="644"/>
      <c r="AN11" s="9" t="s">
        <v>974</v>
      </c>
      <c r="AO11" s="644"/>
      <c r="AP11" s="9" t="s">
        <v>990</v>
      </c>
      <c r="AQ11" s="644"/>
      <c r="AR11" s="9" t="s">
        <v>1009</v>
      </c>
      <c r="AS11" s="644"/>
      <c r="AT11" s="9" t="s">
        <v>592</v>
      </c>
      <c r="AU11" s="644"/>
      <c r="AV11" s="757" t="s">
        <v>572</v>
      </c>
      <c r="AW11" s="644"/>
      <c r="AX11" s="5" t="s">
        <v>531</v>
      </c>
      <c r="AY11" s="644"/>
      <c r="AZ11" s="5" t="s">
        <v>553</v>
      </c>
      <c r="BA11" s="644"/>
      <c r="BB11" s="644"/>
      <c r="BC11" s="644"/>
      <c r="BD11" s="5"/>
      <c r="BE11" s="644"/>
      <c r="BF11" s="9" t="s">
        <v>2387</v>
      </c>
      <c r="BG11" s="644"/>
      <c r="BH11" s="644"/>
      <c r="BI11" s="644"/>
      <c r="BJ11" s="9" t="s">
        <v>787</v>
      </c>
      <c r="BK11" s="644"/>
      <c r="BL11" s="9" t="s">
        <v>1021</v>
      </c>
      <c r="BM11" s="644"/>
      <c r="BN11" s="9" t="s">
        <v>2178</v>
      </c>
      <c r="BO11" s="644"/>
      <c r="BP11" s="632" t="s">
        <v>1971</v>
      </c>
      <c r="BQ11" s="644"/>
      <c r="BR11" s="9" t="s">
        <v>961</v>
      </c>
      <c r="BS11" s="644"/>
      <c r="BT11" s="5" t="s">
        <v>921</v>
      </c>
      <c r="BU11" s="644"/>
      <c r="BV11" s="5" t="s">
        <v>942</v>
      </c>
      <c r="BW11" s="644"/>
      <c r="BX11" s="9" t="s">
        <v>2146</v>
      </c>
      <c r="BY11" s="644"/>
      <c r="BZ11" s="9" t="s">
        <v>2164</v>
      </c>
      <c r="CA11" s="644"/>
      <c r="CB11" s="5" t="s">
        <v>893</v>
      </c>
      <c r="CC11" s="644"/>
      <c r="CD11" s="644"/>
      <c r="CE11" s="644"/>
      <c r="CF11" s="644"/>
      <c r="CG11" s="644"/>
      <c r="CH11" s="632" t="s">
        <v>2105</v>
      </c>
      <c r="CI11" s="9"/>
      <c r="CJ11" s="9" t="s">
        <v>2129</v>
      </c>
      <c r="CK11" s="9"/>
      <c r="CL11" s="5" t="s">
        <v>614</v>
      </c>
      <c r="CM11" s="644"/>
      <c r="CN11" s="9" t="s">
        <v>2401</v>
      </c>
      <c r="CO11" s="644"/>
      <c r="CP11" s="9" t="s">
        <v>2422</v>
      </c>
      <c r="CQ11" s="644"/>
      <c r="CR11" s="9" t="s">
        <v>2445</v>
      </c>
      <c r="CS11" s="644"/>
      <c r="CT11" s="9" t="s">
        <v>2210</v>
      </c>
      <c r="CU11" s="644"/>
      <c r="CV11" s="20" t="s">
        <v>820</v>
      </c>
      <c r="CW11" s="644"/>
      <c r="CX11" s="5" t="s">
        <v>832</v>
      </c>
      <c r="CY11" s="644"/>
      <c r="CZ11" s="9" t="s">
        <v>848</v>
      </c>
      <c r="DA11" s="644"/>
      <c r="DB11" s="9" t="s">
        <v>859</v>
      </c>
      <c r="DC11" s="644"/>
      <c r="DD11" s="20" t="s">
        <v>2467</v>
      </c>
      <c r="DE11" s="644"/>
      <c r="DF11" s="644"/>
      <c r="DG11" s="644"/>
      <c r="DH11" s="5" t="s">
        <v>869</v>
      </c>
      <c r="DI11" s="644"/>
      <c r="DJ11" s="758" t="s">
        <v>883</v>
      </c>
      <c r="DK11" s="644"/>
      <c r="DL11" s="644"/>
      <c r="DM11" s="644"/>
      <c r="DN11" s="9" t="s">
        <v>504</v>
      </c>
      <c r="DO11" s="644"/>
      <c r="DP11" s="644"/>
      <c r="DQ11" s="644"/>
      <c r="DR11" s="644"/>
      <c r="DS11" s="644"/>
      <c r="DT11" s="644"/>
      <c r="DU11" s="644"/>
      <c r="DV11" s="9" t="s">
        <v>1159</v>
      </c>
      <c r="DW11" s="644"/>
      <c r="DX11" s="9" t="s">
        <v>1159</v>
      </c>
      <c r="DY11" s="644"/>
      <c r="DZ11" s="9" t="s">
        <v>2523</v>
      </c>
      <c r="EA11" s="644"/>
      <c r="EB11" s="644"/>
      <c r="EC11" s="644"/>
      <c r="ED11" s="644"/>
      <c r="EE11" s="644"/>
      <c r="EF11" s="9" t="s">
        <v>2025</v>
      </c>
      <c r="EG11" s="644"/>
      <c r="EH11" s="759" t="s">
        <v>2050</v>
      </c>
      <c r="EI11" s="644"/>
      <c r="EJ11" s="644"/>
      <c r="EK11" s="644"/>
      <c r="EL11" s="644"/>
      <c r="EM11" s="644"/>
      <c r="EN11" s="9" t="s">
        <v>1425</v>
      </c>
      <c r="EO11" s="644"/>
      <c r="EP11" s="649" t="s">
        <v>1199</v>
      </c>
      <c r="EQ11" s="644"/>
      <c r="ER11" s="644"/>
      <c r="ES11" s="644"/>
      <c r="ET11" s="9" t="s">
        <v>1442</v>
      </c>
      <c r="EU11" s="644"/>
      <c r="EV11" s="9" t="s">
        <v>465</v>
      </c>
      <c r="EW11" s="644"/>
      <c r="EX11" s="5" t="s">
        <v>1481</v>
      </c>
      <c r="EY11" s="644"/>
      <c r="EZ11" s="9" t="s">
        <v>1497</v>
      </c>
      <c r="FA11" s="644"/>
      <c r="FB11" s="9" t="s">
        <v>1497</v>
      </c>
      <c r="FC11" s="644"/>
      <c r="FD11" s="9" t="s">
        <v>1517</v>
      </c>
      <c r="FE11" s="644"/>
      <c r="FF11" s="9" t="s">
        <v>1539</v>
      </c>
      <c r="FG11" s="644"/>
      <c r="FH11" s="5" t="s">
        <v>2558</v>
      </c>
      <c r="FI11" s="644"/>
      <c r="FJ11" s="774" t="s">
        <v>1582</v>
      </c>
      <c r="FK11" s="644"/>
      <c r="FL11" s="760" t="s">
        <v>1594</v>
      </c>
      <c r="FM11" s="644"/>
      <c r="FN11" s="9" t="s">
        <v>1615</v>
      </c>
      <c r="FO11" s="644"/>
      <c r="FP11" s="9" t="s">
        <v>664</v>
      </c>
      <c r="FQ11" s="644"/>
      <c r="FR11" s="644"/>
      <c r="FS11" s="644"/>
      <c r="FT11" s="644"/>
      <c r="FU11" s="644"/>
      <c r="FV11" s="644"/>
      <c r="FW11" s="644"/>
      <c r="FX11" s="9" t="s">
        <v>1862</v>
      </c>
      <c r="FY11" s="644"/>
      <c r="FZ11" s="644"/>
      <c r="GA11" s="644"/>
      <c r="GB11" s="5" t="s">
        <v>1630</v>
      </c>
      <c r="GC11" s="644"/>
      <c r="GD11" s="9" t="s">
        <v>2499</v>
      </c>
      <c r="GE11" s="644"/>
      <c r="GF11" s="5" t="s">
        <v>1984</v>
      </c>
      <c r="GG11" s="644"/>
      <c r="GH11" s="9" t="s">
        <v>2006</v>
      </c>
      <c r="GI11" s="644"/>
      <c r="GJ11" s="760" t="s">
        <v>1668</v>
      </c>
      <c r="GK11" s="644"/>
      <c r="GL11" s="9" t="s">
        <v>1701</v>
      </c>
      <c r="GM11" s="644"/>
      <c r="GN11" s="5" t="s">
        <v>1701</v>
      </c>
      <c r="GO11" s="644"/>
      <c r="GP11" s="9"/>
      <c r="GQ11" s="644"/>
      <c r="GR11" s="9" t="s">
        <v>1940</v>
      </c>
      <c r="GS11" s="644"/>
      <c r="GT11" s="9" t="s">
        <v>2076</v>
      </c>
      <c r="GU11" s="644"/>
      <c r="GV11" s="5" t="s">
        <v>1884</v>
      </c>
      <c r="GW11" s="644"/>
      <c r="GX11" s="5" t="s">
        <v>1903</v>
      </c>
      <c r="GY11" s="644"/>
      <c r="GZ11" s="5" t="s">
        <v>1918</v>
      </c>
      <c r="HA11" s="644"/>
      <c r="HB11" s="5" t="s">
        <v>1795</v>
      </c>
      <c r="HC11" s="644"/>
      <c r="HD11" s="9" t="s">
        <v>1821</v>
      </c>
      <c r="HE11" s="644"/>
      <c r="HF11" s="9" t="s">
        <v>1852</v>
      </c>
      <c r="HG11" s="644"/>
      <c r="HH11" s="9" t="s">
        <v>465</v>
      </c>
      <c r="HI11" s="644"/>
      <c r="HJ11" s="644"/>
      <c r="HK11" s="644"/>
      <c r="HL11" s="21" t="s">
        <v>1751</v>
      </c>
      <c r="HM11" s="644"/>
      <c r="HN11" s="5" t="s">
        <v>1769</v>
      </c>
      <c r="HO11" s="644"/>
      <c r="HP11" s="9" t="s">
        <v>1275</v>
      </c>
      <c r="HQ11" s="644"/>
      <c r="HR11" s="633" t="s">
        <v>1288</v>
      </c>
      <c r="HS11" s="644"/>
      <c r="HT11" s="633" t="s">
        <v>1288</v>
      </c>
      <c r="HU11" s="644"/>
      <c r="HV11" s="9" t="s">
        <v>1313</v>
      </c>
      <c r="HW11" s="644"/>
      <c r="HX11" s="9" t="s">
        <v>2178</v>
      </c>
      <c r="HY11" s="644"/>
      <c r="HZ11" s="9" t="s">
        <v>2194</v>
      </c>
      <c r="IA11" s="644"/>
      <c r="IB11" s="644"/>
      <c r="IC11" s="644"/>
      <c r="ID11" s="9" t="s">
        <v>1219</v>
      </c>
      <c r="IE11" s="644"/>
      <c r="IF11" s="9" t="s">
        <v>1245</v>
      </c>
      <c r="IG11" s="756" t="s">
        <v>1246</v>
      </c>
      <c r="IH11" s="9" t="s">
        <v>1317</v>
      </c>
      <c r="II11" s="644"/>
      <c r="IJ11" s="644"/>
      <c r="IK11" s="644"/>
      <c r="IL11" s="651" t="s">
        <v>1339</v>
      </c>
      <c r="IM11" s="644"/>
      <c r="IN11" s="634" t="s">
        <v>1351</v>
      </c>
      <c r="IO11" s="644"/>
      <c r="IP11" s="9" t="s">
        <v>735</v>
      </c>
      <c r="IQ11" s="644"/>
      <c r="IR11" s="9" t="s">
        <v>763</v>
      </c>
      <c r="IS11" s="644"/>
      <c r="IT11" s="20" t="s">
        <v>1065</v>
      </c>
      <c r="IU11" s="644"/>
      <c r="IV11" s="20" t="s">
        <v>1090</v>
      </c>
      <c r="IW11" s="644"/>
      <c r="IX11" s="9" t="s">
        <v>1100</v>
      </c>
      <c r="IY11" s="644"/>
      <c r="IZ11" s="9" t="s">
        <v>1369</v>
      </c>
      <c r="JA11" s="644"/>
      <c r="JB11" s="9" t="s">
        <v>1394</v>
      </c>
      <c r="JC11" s="644"/>
      <c r="JD11" s="9" t="s">
        <v>1407</v>
      </c>
      <c r="JE11" s="644"/>
      <c r="JF11" s="644"/>
      <c r="JG11" s="644"/>
      <c r="JH11" s="9" t="s">
        <v>802</v>
      </c>
      <c r="JI11" s="644"/>
      <c r="JJ11" s="644"/>
      <c r="JK11" s="644"/>
      <c r="JL11" s="644"/>
      <c r="JM11" s="644"/>
      <c r="JN11" s="9" t="s">
        <v>504</v>
      </c>
      <c r="JO11" s="644"/>
      <c r="JP11" s="644"/>
      <c r="JQ11" s="644"/>
      <c r="JR11" s="20" t="s">
        <v>1037</v>
      </c>
      <c r="JS11" s="644"/>
      <c r="JT11" s="9" t="s">
        <v>1121</v>
      </c>
      <c r="JU11" s="644"/>
      <c r="JV11" s="5" t="s">
        <v>2537</v>
      </c>
      <c r="JW11" s="644"/>
      <c r="JX11" s="22" t="s">
        <v>699</v>
      </c>
      <c r="JY11" s="644"/>
    </row>
    <row r="12" spans="1:285" ht="28.5" customHeight="1" thickBot="1" x14ac:dyDescent="0.25">
      <c r="A12" s="1565"/>
      <c r="B12" s="1580"/>
      <c r="C12" s="1577"/>
      <c r="D12" s="1548"/>
      <c r="E12" s="755" t="s">
        <v>50</v>
      </c>
      <c r="F12" s="9"/>
      <c r="G12" s="756"/>
      <c r="H12" s="23" t="s">
        <v>2245</v>
      </c>
      <c r="I12" s="644"/>
      <c r="J12" s="5" t="s">
        <v>2264</v>
      </c>
      <c r="K12" s="644"/>
      <c r="L12" s="9" t="s">
        <v>2281</v>
      </c>
      <c r="M12" s="644"/>
      <c r="N12" s="775" t="s">
        <v>489</v>
      </c>
      <c r="O12" s="644"/>
      <c r="P12" s="84" t="s">
        <v>494</v>
      </c>
      <c r="Q12" s="644"/>
      <c r="R12" s="9" t="s">
        <v>516</v>
      </c>
      <c r="S12" s="644"/>
      <c r="T12" s="644"/>
      <c r="U12" s="644"/>
      <c r="V12" s="644"/>
      <c r="W12" s="644"/>
      <c r="X12" s="644"/>
      <c r="Y12" s="644"/>
      <c r="Z12" s="9" t="s">
        <v>2294</v>
      </c>
      <c r="AA12" s="644"/>
      <c r="AB12" s="9" t="s">
        <v>2321</v>
      </c>
      <c r="AC12" s="644"/>
      <c r="AD12" s="23" t="s">
        <v>2341</v>
      </c>
      <c r="AE12" s="644"/>
      <c r="AF12" s="644"/>
      <c r="AG12" s="644"/>
      <c r="AH12" s="644"/>
      <c r="AI12" s="644"/>
      <c r="AJ12" s="84" t="s">
        <v>645</v>
      </c>
      <c r="AK12" s="644"/>
      <c r="AL12" s="9" t="s">
        <v>2357</v>
      </c>
      <c r="AM12" s="644"/>
      <c r="AN12" s="23" t="s">
        <v>975</v>
      </c>
      <c r="AO12" s="644"/>
      <c r="AP12" s="23" t="s">
        <v>991</v>
      </c>
      <c r="AQ12" s="644"/>
      <c r="AR12" s="650" t="s">
        <v>1010</v>
      </c>
      <c r="AS12" s="644"/>
      <c r="AT12" s="23" t="s">
        <v>593</v>
      </c>
      <c r="AU12" s="644"/>
      <c r="AV12" s="775" t="s">
        <v>573</v>
      </c>
      <c r="AW12" s="644"/>
      <c r="AX12" s="23" t="s">
        <v>532</v>
      </c>
      <c r="AY12" s="644"/>
      <c r="AZ12" s="23" t="s">
        <v>554</v>
      </c>
      <c r="BA12" s="644"/>
      <c r="BB12" s="644"/>
      <c r="BC12" s="644"/>
      <c r="BD12" s="5"/>
      <c r="BE12" s="644"/>
      <c r="BF12" s="9" t="s">
        <v>2388</v>
      </c>
      <c r="BG12" s="644"/>
      <c r="BH12" s="644"/>
      <c r="BI12" s="644"/>
      <c r="BJ12" s="9" t="s">
        <v>465</v>
      </c>
      <c r="BK12" s="644"/>
      <c r="BL12" s="9" t="s">
        <v>1022</v>
      </c>
      <c r="BM12" s="644"/>
      <c r="BN12" s="9" t="s">
        <v>2179</v>
      </c>
      <c r="BO12" s="644"/>
      <c r="BP12" s="9"/>
      <c r="BQ12" s="644"/>
      <c r="BR12" s="23" t="s">
        <v>962</v>
      </c>
      <c r="BS12" s="644"/>
      <c r="BT12" s="23" t="s">
        <v>922</v>
      </c>
      <c r="BU12" s="644"/>
      <c r="BV12" s="23" t="s">
        <v>943</v>
      </c>
      <c r="BW12" s="644"/>
      <c r="BX12" s="650" t="s">
        <v>2147</v>
      </c>
      <c r="BY12" s="644"/>
      <c r="BZ12" s="650" t="s">
        <v>2165</v>
      </c>
      <c r="CA12" s="644"/>
      <c r="CB12" s="34" t="s">
        <v>894</v>
      </c>
      <c r="CC12" s="644"/>
      <c r="CD12" s="644"/>
      <c r="CE12" s="644"/>
      <c r="CF12" s="644"/>
      <c r="CG12" s="644"/>
      <c r="CH12" s="632" t="s">
        <v>2106</v>
      </c>
      <c r="CI12" s="9"/>
      <c r="CJ12" s="9" t="s">
        <v>2130</v>
      </c>
      <c r="CK12" s="9"/>
      <c r="CL12" s="8" t="s">
        <v>615</v>
      </c>
      <c r="CM12" s="644"/>
      <c r="CN12" s="23" t="s">
        <v>2420</v>
      </c>
      <c r="CO12" s="644"/>
      <c r="CP12" s="23" t="s">
        <v>2443</v>
      </c>
      <c r="CQ12" s="644"/>
      <c r="CR12" s="34" t="s">
        <v>2446</v>
      </c>
      <c r="CS12" s="644"/>
      <c r="CT12" s="23" t="s">
        <v>2211</v>
      </c>
      <c r="CU12" s="644"/>
      <c r="CV12" s="23" t="s">
        <v>821</v>
      </c>
      <c r="CW12" s="644"/>
      <c r="CX12" s="24" t="s">
        <v>833</v>
      </c>
      <c r="CY12" s="644"/>
      <c r="CZ12" s="23" t="s">
        <v>849</v>
      </c>
      <c r="DA12" s="644"/>
      <c r="DB12" s="23" t="s">
        <v>860</v>
      </c>
      <c r="DC12" s="644"/>
      <c r="DD12" s="20" t="s">
        <v>2468</v>
      </c>
      <c r="DE12" s="644"/>
      <c r="DF12" s="644"/>
      <c r="DG12" s="644"/>
      <c r="DH12" s="5" t="s">
        <v>870</v>
      </c>
      <c r="DI12" s="644"/>
      <c r="DJ12" s="758"/>
      <c r="DK12" s="644"/>
      <c r="DL12" s="644"/>
      <c r="DM12" s="644"/>
      <c r="DN12" s="9" t="s">
        <v>504</v>
      </c>
      <c r="DO12" s="644"/>
      <c r="DP12" s="644"/>
      <c r="DQ12" s="644"/>
      <c r="DR12" s="644"/>
      <c r="DS12" s="644"/>
      <c r="DT12" s="644"/>
      <c r="DU12" s="644"/>
      <c r="DV12" s="8" t="s">
        <v>1160</v>
      </c>
      <c r="DW12" s="644"/>
      <c r="DX12" s="8" t="s">
        <v>1160</v>
      </c>
      <c r="DY12" s="644"/>
      <c r="DZ12" s="650" t="s">
        <v>2524</v>
      </c>
      <c r="EA12" s="644"/>
      <c r="EB12" s="644"/>
      <c r="EC12" s="644"/>
      <c r="ED12" s="644"/>
      <c r="EE12" s="644"/>
      <c r="EF12" s="23" t="s">
        <v>2026</v>
      </c>
      <c r="EG12" s="644"/>
      <c r="EH12" s="23" t="s">
        <v>2051</v>
      </c>
      <c r="EI12" s="644"/>
      <c r="EJ12" s="644"/>
      <c r="EK12" s="644"/>
      <c r="EL12" s="644"/>
      <c r="EM12" s="644"/>
      <c r="EN12" s="23" t="s">
        <v>1426</v>
      </c>
      <c r="EO12" s="644"/>
      <c r="EP12" s="9" t="s">
        <v>1200</v>
      </c>
      <c r="EQ12" s="644"/>
      <c r="ER12" s="644"/>
      <c r="ES12" s="644"/>
      <c r="ET12" s="23" t="s">
        <v>1443</v>
      </c>
      <c r="EU12" s="644"/>
      <c r="EV12" s="9" t="s">
        <v>465</v>
      </c>
      <c r="EW12" s="644"/>
      <c r="EX12" s="23" t="s">
        <v>1482</v>
      </c>
      <c r="EY12" s="644"/>
      <c r="EZ12" s="9" t="s">
        <v>1498</v>
      </c>
      <c r="FA12" s="644"/>
      <c r="FB12" s="9" t="s">
        <v>1498</v>
      </c>
      <c r="FC12" s="644"/>
      <c r="FD12" s="23" t="s">
        <v>1518</v>
      </c>
      <c r="FE12" s="644"/>
      <c r="FF12" s="23" t="s">
        <v>1540</v>
      </c>
      <c r="FG12" s="644"/>
      <c r="FH12" s="23" t="s">
        <v>1565</v>
      </c>
      <c r="FI12" s="644"/>
      <c r="FJ12" s="650" t="s">
        <v>1583</v>
      </c>
      <c r="FK12" s="644"/>
      <c r="FL12" s="776" t="s">
        <v>1595</v>
      </c>
      <c r="FM12" s="644"/>
      <c r="FN12" s="650" t="s">
        <v>1616</v>
      </c>
      <c r="FO12" s="644"/>
      <c r="FP12" s="23" t="s">
        <v>665</v>
      </c>
      <c r="FQ12" s="644"/>
      <c r="FR12" s="644"/>
      <c r="FS12" s="644"/>
      <c r="FT12" s="644"/>
      <c r="FU12" s="644"/>
      <c r="FV12" s="644"/>
      <c r="FW12" s="644"/>
      <c r="FX12" s="23" t="s">
        <v>1863</v>
      </c>
      <c r="FY12" s="644"/>
      <c r="FZ12" s="644"/>
      <c r="GA12" s="644"/>
      <c r="GB12" s="9" t="s">
        <v>1631</v>
      </c>
      <c r="GC12" s="644"/>
      <c r="GD12" s="9" t="s">
        <v>2499</v>
      </c>
      <c r="GE12" s="644"/>
      <c r="GF12" s="5" t="s">
        <v>1985</v>
      </c>
      <c r="GG12" s="644"/>
      <c r="GH12" s="654" t="s">
        <v>2007</v>
      </c>
      <c r="GI12" s="644"/>
      <c r="GJ12" s="776" t="s">
        <v>1669</v>
      </c>
      <c r="GK12" s="644"/>
      <c r="GL12" s="9" t="str">
        <f>'[1]практика субъекта'!$F$12</f>
        <v>http://gov.spb.ru/law?d&amp;nd=822403529&amp;nh=0</v>
      </c>
      <c r="GM12" s="644"/>
      <c r="GN12" s="23" t="s">
        <v>1713</v>
      </c>
      <c r="GO12" s="644"/>
      <c r="GP12" s="9"/>
      <c r="GQ12" s="644"/>
      <c r="GR12" s="8" t="s">
        <v>1941</v>
      </c>
      <c r="GS12" s="644"/>
      <c r="GT12" s="23" t="s">
        <v>2077</v>
      </c>
      <c r="GU12" s="644"/>
      <c r="GV12" s="23" t="s">
        <v>1885</v>
      </c>
      <c r="GW12" s="644"/>
      <c r="GX12" s="23" t="s">
        <v>1904</v>
      </c>
      <c r="GY12" s="644"/>
      <c r="GZ12" s="23" t="s">
        <v>1919</v>
      </c>
      <c r="HA12" s="644"/>
      <c r="HB12" s="650" t="s">
        <v>1796</v>
      </c>
      <c r="HC12" s="644"/>
      <c r="HD12" s="650" t="s">
        <v>1822</v>
      </c>
      <c r="HE12" s="644"/>
      <c r="HF12" s="650" t="s">
        <v>1853</v>
      </c>
      <c r="HG12" s="644"/>
      <c r="HH12" s="9" t="s">
        <v>465</v>
      </c>
      <c r="HI12" s="644"/>
      <c r="HJ12" s="644"/>
      <c r="HK12" s="644"/>
      <c r="HL12" s="5" t="s">
        <v>1752</v>
      </c>
      <c r="HM12" s="644"/>
      <c r="HN12" s="5" t="s">
        <v>1770</v>
      </c>
      <c r="HO12" s="644"/>
      <c r="HP12" s="650" t="s">
        <v>1276</v>
      </c>
      <c r="HQ12" s="644"/>
      <c r="HR12" s="651" t="s">
        <v>1289</v>
      </c>
      <c r="HS12" s="644"/>
      <c r="HT12" s="651" t="s">
        <v>1289</v>
      </c>
      <c r="HU12" s="644"/>
      <c r="HV12" s="650" t="s">
        <v>1276</v>
      </c>
      <c r="HW12" s="644"/>
      <c r="HX12" s="9" t="s">
        <v>2179</v>
      </c>
      <c r="HY12" s="644"/>
      <c r="HZ12" s="9" t="s">
        <v>2195</v>
      </c>
      <c r="IA12" s="644"/>
      <c r="IB12" s="644"/>
      <c r="IC12" s="644"/>
      <c r="ID12" s="9"/>
      <c r="IE12" s="644"/>
      <c r="IF12" s="650" t="s">
        <v>1247</v>
      </c>
      <c r="IG12" s="20" t="s">
        <v>2559</v>
      </c>
      <c r="IH12" s="9" t="s">
        <v>1318</v>
      </c>
      <c r="II12" s="644"/>
      <c r="IJ12" s="644"/>
      <c r="IK12" s="644"/>
      <c r="IL12" s="777" t="s">
        <v>1340</v>
      </c>
      <c r="IM12" s="644"/>
      <c r="IN12" s="652" t="s">
        <v>1352</v>
      </c>
      <c r="IO12" s="644"/>
      <c r="IP12" s="9" t="s">
        <v>736</v>
      </c>
      <c r="IQ12" s="644"/>
      <c r="IR12" s="9" t="s">
        <v>764</v>
      </c>
      <c r="IS12" s="644"/>
      <c r="IT12" s="778" t="s">
        <v>1066</v>
      </c>
      <c r="IU12" s="644"/>
      <c r="IV12" s="650" t="s">
        <v>1091</v>
      </c>
      <c r="IW12" s="644"/>
      <c r="IX12" s="653" t="s">
        <v>1103</v>
      </c>
      <c r="IY12" s="644"/>
      <c r="IZ12" s="9" t="s">
        <v>1370</v>
      </c>
      <c r="JA12" s="644"/>
      <c r="JB12" s="9" t="s">
        <v>1395</v>
      </c>
      <c r="JC12" s="644"/>
      <c r="JD12" s="8" t="s">
        <v>1408</v>
      </c>
      <c r="JE12" s="644"/>
      <c r="JF12" s="644"/>
      <c r="JG12" s="644"/>
      <c r="JH12" s="23" t="s">
        <v>803</v>
      </c>
      <c r="JI12" s="644"/>
      <c r="JJ12" s="644"/>
      <c r="JK12" s="644"/>
      <c r="JL12" s="644"/>
      <c r="JM12" s="644"/>
      <c r="JN12" s="9" t="s">
        <v>504</v>
      </c>
      <c r="JO12" s="644"/>
      <c r="JP12" s="644"/>
      <c r="JQ12" s="644"/>
      <c r="JR12" s="654" t="s">
        <v>1057</v>
      </c>
      <c r="JS12" s="644"/>
      <c r="JT12" s="9" t="s">
        <v>1122</v>
      </c>
      <c r="JU12" s="644"/>
      <c r="JV12" s="650" t="s">
        <v>2538</v>
      </c>
      <c r="JW12" s="644"/>
      <c r="JX12" s="23" t="s">
        <v>700</v>
      </c>
      <c r="JY12" s="644"/>
    </row>
    <row r="13" spans="1:285" ht="27.75" customHeight="1" x14ac:dyDescent="0.2">
      <c r="A13" s="1565"/>
      <c r="B13" s="1580"/>
      <c r="C13" s="1575" t="s">
        <v>77</v>
      </c>
      <c r="D13" s="1554" t="s">
        <v>192</v>
      </c>
      <c r="E13" s="755" t="s">
        <v>48</v>
      </c>
      <c r="F13" s="9" t="s">
        <v>1646</v>
      </c>
      <c r="G13" s="756"/>
      <c r="H13" s="9" t="s">
        <v>465</v>
      </c>
      <c r="I13" s="644"/>
      <c r="J13" s="9" t="s">
        <v>465</v>
      </c>
      <c r="K13" s="644"/>
      <c r="L13" s="9" t="s">
        <v>465</v>
      </c>
      <c r="M13" s="644"/>
      <c r="N13" s="757" t="s">
        <v>463</v>
      </c>
      <c r="O13" s="644"/>
      <c r="P13" s="84" t="s">
        <v>495</v>
      </c>
      <c r="Q13" s="644"/>
      <c r="R13" s="5"/>
      <c r="S13" s="644"/>
      <c r="T13" s="644"/>
      <c r="U13" s="644"/>
      <c r="V13" s="644"/>
      <c r="W13" s="644"/>
      <c r="X13" s="644"/>
      <c r="Y13" s="644"/>
      <c r="Z13" s="9" t="s">
        <v>465</v>
      </c>
      <c r="AA13" s="644"/>
      <c r="AB13" s="9" t="s">
        <v>465</v>
      </c>
      <c r="AC13" s="644"/>
      <c r="AD13" s="9" t="s">
        <v>465</v>
      </c>
      <c r="AE13" s="644"/>
      <c r="AF13" s="644"/>
      <c r="AG13" s="644"/>
      <c r="AH13" s="644"/>
      <c r="AI13" s="644"/>
      <c r="AJ13" s="84" t="s">
        <v>504</v>
      </c>
      <c r="AK13" s="644"/>
      <c r="AL13" s="9" t="s">
        <v>504</v>
      </c>
      <c r="AM13" s="644"/>
      <c r="AN13" s="9"/>
      <c r="AO13" s="644"/>
      <c r="AP13" s="9" t="s">
        <v>479</v>
      </c>
      <c r="AQ13" s="644"/>
      <c r="AR13" s="9"/>
      <c r="AS13" s="644"/>
      <c r="AT13" s="9"/>
      <c r="AU13" s="644"/>
      <c r="AV13" s="757"/>
      <c r="AW13" s="644"/>
      <c r="AX13" s="9"/>
      <c r="AY13" s="644"/>
      <c r="AZ13" s="9"/>
      <c r="BA13" s="644"/>
      <c r="BB13" s="644"/>
      <c r="BC13" s="644"/>
      <c r="BD13" s="5"/>
      <c r="BE13" s="644"/>
      <c r="BF13" s="9"/>
      <c r="BG13" s="644"/>
      <c r="BH13" s="644"/>
      <c r="BI13" s="644"/>
      <c r="BJ13" s="9" t="s">
        <v>465</v>
      </c>
      <c r="BK13" s="644"/>
      <c r="BL13" s="9"/>
      <c r="BM13" s="644"/>
      <c r="BN13" s="9"/>
      <c r="BO13" s="644"/>
      <c r="BP13" s="9"/>
      <c r="BQ13" s="644"/>
      <c r="BR13" s="9" t="s">
        <v>465</v>
      </c>
      <c r="BS13" s="644"/>
      <c r="BT13" s="9" t="s">
        <v>504</v>
      </c>
      <c r="BU13" s="644"/>
      <c r="BV13" s="9"/>
      <c r="BW13" s="644"/>
      <c r="BX13" s="9"/>
      <c r="BY13" s="644"/>
      <c r="BZ13" s="9"/>
      <c r="CA13" s="644"/>
      <c r="CB13" s="779" t="s">
        <v>895</v>
      </c>
      <c r="CC13" s="644"/>
      <c r="CD13" s="644"/>
      <c r="CE13" s="644"/>
      <c r="CF13" s="644"/>
      <c r="CG13" s="644"/>
      <c r="CH13" s="632" t="s">
        <v>2107</v>
      </c>
      <c r="CI13" s="9"/>
      <c r="CJ13" s="9" t="s">
        <v>2131</v>
      </c>
      <c r="CK13" s="9"/>
      <c r="CL13" s="9" t="s">
        <v>504</v>
      </c>
      <c r="CM13" s="644"/>
      <c r="CN13" s="9" t="s">
        <v>2402</v>
      </c>
      <c r="CO13" s="644"/>
      <c r="CP13" s="9"/>
      <c r="CQ13" s="644"/>
      <c r="CR13" s="9"/>
      <c r="CS13" s="644"/>
      <c r="CT13" s="9" t="s">
        <v>479</v>
      </c>
      <c r="CU13" s="644"/>
      <c r="CV13" s="9" t="s">
        <v>465</v>
      </c>
      <c r="CW13" s="644"/>
      <c r="CX13" s="9" t="s">
        <v>465</v>
      </c>
      <c r="CY13" s="644"/>
      <c r="CZ13" s="9" t="s">
        <v>465</v>
      </c>
      <c r="DA13" s="644"/>
      <c r="DB13" s="9" t="s">
        <v>465</v>
      </c>
      <c r="DC13" s="644"/>
      <c r="DD13" s="23"/>
      <c r="DE13" s="644"/>
      <c r="DF13" s="644"/>
      <c r="DG13" s="644"/>
      <c r="DH13" s="9"/>
      <c r="DI13" s="644"/>
      <c r="DJ13" s="758"/>
      <c r="DK13" s="644"/>
      <c r="DL13" s="644"/>
      <c r="DM13" s="644"/>
      <c r="DN13" s="9" t="s">
        <v>1139</v>
      </c>
      <c r="DO13" s="644"/>
      <c r="DP13" s="644"/>
      <c r="DQ13" s="644"/>
      <c r="DR13" s="644"/>
      <c r="DS13" s="644"/>
      <c r="DT13" s="644"/>
      <c r="DU13" s="644"/>
      <c r="DV13" s="9" t="s">
        <v>465</v>
      </c>
      <c r="DW13" s="644"/>
      <c r="DX13" s="9" t="s">
        <v>465</v>
      </c>
      <c r="DY13" s="644"/>
      <c r="DZ13" s="9" t="s">
        <v>2525</v>
      </c>
      <c r="EA13" s="644"/>
      <c r="EB13" s="644"/>
      <c r="EC13" s="644"/>
      <c r="ED13" s="644"/>
      <c r="EE13" s="644"/>
      <c r="EF13" s="9" t="s">
        <v>2027</v>
      </c>
      <c r="EG13" s="644"/>
      <c r="EH13" s="9" t="s">
        <v>2027</v>
      </c>
      <c r="EI13" s="644"/>
      <c r="EJ13" s="644"/>
      <c r="EK13" s="644"/>
      <c r="EL13" s="644"/>
      <c r="EM13" s="644"/>
      <c r="EN13" s="9" t="s">
        <v>504</v>
      </c>
      <c r="EO13" s="644"/>
      <c r="EP13" s="9" t="s">
        <v>504</v>
      </c>
      <c r="EQ13" s="644"/>
      <c r="ER13" s="644"/>
      <c r="ES13" s="644"/>
      <c r="ET13" s="9"/>
      <c r="EU13" s="644"/>
      <c r="EV13" s="9" t="s">
        <v>1460</v>
      </c>
      <c r="EW13" s="644"/>
      <c r="EX13" s="9" t="s">
        <v>504</v>
      </c>
      <c r="EY13" s="644"/>
      <c r="EZ13" s="5" t="s">
        <v>1499</v>
      </c>
      <c r="FA13" s="644"/>
      <c r="FB13" s="5" t="s">
        <v>1499</v>
      </c>
      <c r="FC13" s="644"/>
      <c r="FD13" s="9"/>
      <c r="FE13" s="644"/>
      <c r="FF13" s="9" t="s">
        <v>465</v>
      </c>
      <c r="FG13" s="644"/>
      <c r="FH13" s="9"/>
      <c r="FI13" s="644"/>
      <c r="FJ13" s="9"/>
      <c r="FK13" s="644"/>
      <c r="FL13" s="780" t="s">
        <v>504</v>
      </c>
      <c r="FM13" s="644"/>
      <c r="FN13" s="9" t="s">
        <v>504</v>
      </c>
      <c r="FO13" s="644"/>
      <c r="FP13" s="9"/>
      <c r="FQ13" s="644"/>
      <c r="FR13" s="644"/>
      <c r="FS13" s="644"/>
      <c r="FT13" s="644"/>
      <c r="FU13" s="644"/>
      <c r="FV13" s="644"/>
      <c r="FW13" s="644"/>
      <c r="FX13" s="9" t="s">
        <v>465</v>
      </c>
      <c r="FY13" s="644"/>
      <c r="FZ13" s="644"/>
      <c r="GA13" s="644"/>
      <c r="GB13" s="9"/>
      <c r="GC13" s="644"/>
      <c r="GD13" s="9" t="s">
        <v>2500</v>
      </c>
      <c r="GE13" s="644"/>
      <c r="GF13" s="5" t="s">
        <v>1986</v>
      </c>
      <c r="GG13" s="644"/>
      <c r="GH13" s="9" t="s">
        <v>2008</v>
      </c>
      <c r="GI13" s="644"/>
      <c r="GJ13" s="760" t="s">
        <v>1670</v>
      </c>
      <c r="GK13" s="644"/>
      <c r="GL13" s="9" t="s">
        <v>504</v>
      </c>
      <c r="GM13" s="644"/>
      <c r="GN13" s="9" t="s">
        <v>504</v>
      </c>
      <c r="GO13" s="644"/>
      <c r="GP13" s="9"/>
      <c r="GQ13" s="644"/>
      <c r="GR13" s="9"/>
      <c r="GS13" s="644"/>
      <c r="GT13" s="9" t="s">
        <v>2078</v>
      </c>
      <c r="GU13" s="644"/>
      <c r="GV13" s="9" t="s">
        <v>504</v>
      </c>
      <c r="GW13" s="644"/>
      <c r="GX13" s="9" t="s">
        <v>504</v>
      </c>
      <c r="GY13" s="644"/>
      <c r="GZ13" s="5" t="s">
        <v>504</v>
      </c>
      <c r="HA13" s="644"/>
      <c r="HB13" s="5" t="s">
        <v>1797</v>
      </c>
      <c r="HC13" s="644"/>
      <c r="HD13" s="9"/>
      <c r="HE13" s="644"/>
      <c r="HF13" s="9"/>
      <c r="HG13" s="644"/>
      <c r="HH13" s="9" t="s">
        <v>465</v>
      </c>
      <c r="HI13" s="644"/>
      <c r="HJ13" s="644"/>
      <c r="HK13" s="644"/>
      <c r="HL13" s="9" t="s">
        <v>504</v>
      </c>
      <c r="HM13" s="644"/>
      <c r="HN13" s="9" t="s">
        <v>465</v>
      </c>
      <c r="HO13" s="644"/>
      <c r="HP13" s="655"/>
      <c r="HQ13" s="644"/>
      <c r="HR13" s="9"/>
      <c r="HS13" s="644"/>
      <c r="HT13" s="656" t="s">
        <v>702</v>
      </c>
      <c r="HU13" s="644"/>
      <c r="HV13" s="9" t="s">
        <v>701</v>
      </c>
      <c r="HW13" s="644"/>
      <c r="HX13" s="9"/>
      <c r="HY13" s="644"/>
      <c r="HZ13" s="9"/>
      <c r="IA13" s="644"/>
      <c r="IB13" s="644"/>
      <c r="IC13" s="644"/>
      <c r="ID13" s="9"/>
      <c r="IE13" s="644"/>
      <c r="IF13" s="9" t="s">
        <v>504</v>
      </c>
      <c r="IG13" s="756"/>
      <c r="IH13" s="9"/>
      <c r="II13" s="644"/>
      <c r="IJ13" s="644"/>
      <c r="IK13" s="644"/>
      <c r="IL13" s="633" t="s">
        <v>465</v>
      </c>
      <c r="IM13" s="644"/>
      <c r="IN13" s="634" t="s">
        <v>465</v>
      </c>
      <c r="IO13" s="644"/>
      <c r="IP13" s="9"/>
      <c r="IQ13" s="644"/>
      <c r="IR13" s="9"/>
      <c r="IS13" s="644"/>
      <c r="IT13" s="20" t="s">
        <v>1067</v>
      </c>
      <c r="IU13" s="644"/>
      <c r="IV13" s="9" t="s">
        <v>465</v>
      </c>
      <c r="IW13" s="644"/>
      <c r="IX13" s="632" t="s">
        <v>1104</v>
      </c>
      <c r="IY13" s="644"/>
      <c r="IZ13" s="9" t="s">
        <v>504</v>
      </c>
      <c r="JA13" s="644"/>
      <c r="JB13" s="9"/>
      <c r="JC13" s="644"/>
      <c r="JD13" s="9" t="s">
        <v>465</v>
      </c>
      <c r="JE13" s="644"/>
      <c r="JF13" s="644"/>
      <c r="JG13" s="644"/>
      <c r="JH13" s="9" t="s">
        <v>504</v>
      </c>
      <c r="JI13" s="644"/>
      <c r="JJ13" s="644"/>
      <c r="JK13" s="644"/>
      <c r="JL13" s="644"/>
      <c r="JM13" s="644"/>
      <c r="JN13" s="9" t="s">
        <v>504</v>
      </c>
      <c r="JO13" s="644"/>
      <c r="JP13" s="644"/>
      <c r="JQ13" s="644"/>
      <c r="JR13" s="20" t="s">
        <v>1039</v>
      </c>
      <c r="JS13" s="644"/>
      <c r="JT13" s="9" t="s">
        <v>465</v>
      </c>
      <c r="JU13" s="644"/>
      <c r="JV13" s="9"/>
      <c r="JW13" s="644"/>
      <c r="JX13" s="9" t="s">
        <v>701</v>
      </c>
      <c r="JY13" s="644"/>
    </row>
    <row r="14" spans="1:285" ht="24.75" customHeight="1" thickBot="1" x14ac:dyDescent="0.25">
      <c r="A14" s="1565"/>
      <c r="B14" s="1580"/>
      <c r="C14" s="1546"/>
      <c r="D14" s="1549"/>
      <c r="E14" s="755" t="s">
        <v>50</v>
      </c>
      <c r="F14" s="9" t="s">
        <v>1647</v>
      </c>
      <c r="G14" s="756"/>
      <c r="H14" s="9" t="s">
        <v>465</v>
      </c>
      <c r="I14" s="644"/>
      <c r="J14" s="9" t="s">
        <v>465</v>
      </c>
      <c r="K14" s="644"/>
      <c r="L14" s="9" t="s">
        <v>465</v>
      </c>
      <c r="M14" s="644"/>
      <c r="N14" s="775" t="s">
        <v>464</v>
      </c>
      <c r="O14" s="644"/>
      <c r="P14" s="781" t="s">
        <v>464</v>
      </c>
      <c r="Q14" s="644"/>
      <c r="R14" s="9"/>
      <c r="S14" s="644"/>
      <c r="T14" s="644"/>
      <c r="U14" s="644"/>
      <c r="V14" s="644"/>
      <c r="W14" s="644"/>
      <c r="X14" s="644"/>
      <c r="Y14" s="644"/>
      <c r="Z14" s="9" t="s">
        <v>465</v>
      </c>
      <c r="AA14" s="644"/>
      <c r="AB14" s="9" t="s">
        <v>465</v>
      </c>
      <c r="AC14" s="644"/>
      <c r="AD14" s="9" t="s">
        <v>465</v>
      </c>
      <c r="AE14" s="644"/>
      <c r="AF14" s="644"/>
      <c r="AG14" s="644"/>
      <c r="AH14" s="644"/>
      <c r="AI14" s="644"/>
      <c r="AJ14" s="84"/>
      <c r="AK14" s="644"/>
      <c r="AL14" s="9"/>
      <c r="AM14" s="644"/>
      <c r="AN14" s="9"/>
      <c r="AO14" s="644"/>
      <c r="AP14" s="9"/>
      <c r="AQ14" s="644"/>
      <c r="AR14" s="9"/>
      <c r="AS14" s="644"/>
      <c r="AT14" s="9"/>
      <c r="AU14" s="644"/>
      <c r="AV14" s="757"/>
      <c r="AW14" s="644"/>
      <c r="AX14" s="9"/>
      <c r="AY14" s="644"/>
      <c r="AZ14" s="9"/>
      <c r="BA14" s="644"/>
      <c r="BB14" s="644"/>
      <c r="BC14" s="644"/>
      <c r="BD14" s="5"/>
      <c r="BE14" s="644"/>
      <c r="BF14" s="9"/>
      <c r="BG14" s="644"/>
      <c r="BH14" s="644"/>
      <c r="BI14" s="644"/>
      <c r="BJ14" s="9" t="s">
        <v>465</v>
      </c>
      <c r="BK14" s="644"/>
      <c r="BL14" s="9"/>
      <c r="BM14" s="644"/>
      <c r="BN14" s="9"/>
      <c r="BO14" s="644"/>
      <c r="BP14" s="9"/>
      <c r="BQ14" s="644"/>
      <c r="BR14" s="9"/>
      <c r="BS14" s="644"/>
      <c r="BT14" s="9"/>
      <c r="BU14" s="644"/>
      <c r="BV14" s="9"/>
      <c r="BW14" s="644"/>
      <c r="BX14" s="9"/>
      <c r="BY14" s="644"/>
      <c r="BZ14" s="9"/>
      <c r="CA14" s="644"/>
      <c r="CB14" s="34" t="s">
        <v>896</v>
      </c>
      <c r="CC14" s="644"/>
      <c r="CD14" s="644"/>
      <c r="CE14" s="644"/>
      <c r="CF14" s="644"/>
      <c r="CG14" s="644"/>
      <c r="CH14" s="657" t="s">
        <v>2108</v>
      </c>
      <c r="CI14" s="9"/>
      <c r="CJ14" s="658" t="s">
        <v>2132</v>
      </c>
      <c r="CK14" s="772"/>
      <c r="CL14" s="9" t="s">
        <v>504</v>
      </c>
      <c r="CM14" s="644"/>
      <c r="CN14" s="23" t="s">
        <v>2403</v>
      </c>
      <c r="CO14" s="644"/>
      <c r="CP14" s="23"/>
      <c r="CQ14" s="644"/>
      <c r="CR14" s="9"/>
      <c r="CS14" s="644"/>
      <c r="CT14" s="9"/>
      <c r="CU14" s="644"/>
      <c r="CV14" s="25" t="s">
        <v>465</v>
      </c>
      <c r="CW14" s="644"/>
      <c r="CX14" s="9" t="s">
        <v>465</v>
      </c>
      <c r="CY14" s="644"/>
      <c r="CZ14" s="9" t="s">
        <v>465</v>
      </c>
      <c r="DA14" s="644"/>
      <c r="DB14" s="9" t="s">
        <v>465</v>
      </c>
      <c r="DC14" s="644"/>
      <c r="DD14" s="9"/>
      <c r="DE14" s="644"/>
      <c r="DF14" s="644"/>
      <c r="DG14" s="644"/>
      <c r="DH14" s="9"/>
      <c r="DI14" s="644"/>
      <c r="DJ14" s="758"/>
      <c r="DK14" s="644"/>
      <c r="DL14" s="644"/>
      <c r="DM14" s="644"/>
      <c r="DN14" s="23" t="s">
        <v>1140</v>
      </c>
      <c r="DO14" s="644"/>
      <c r="DP14" s="644"/>
      <c r="DQ14" s="644"/>
      <c r="DR14" s="644"/>
      <c r="DS14" s="644"/>
      <c r="DT14" s="644"/>
      <c r="DU14" s="644"/>
      <c r="DV14" s="9" t="s">
        <v>465</v>
      </c>
      <c r="DW14" s="644"/>
      <c r="DX14" s="9" t="s">
        <v>465</v>
      </c>
      <c r="DY14" s="644"/>
      <c r="DZ14" s="5" t="s">
        <v>465</v>
      </c>
      <c r="EA14" s="644"/>
      <c r="EB14" s="644"/>
      <c r="EC14" s="644"/>
      <c r="ED14" s="644"/>
      <c r="EE14" s="644"/>
      <c r="EF14" s="9" t="s">
        <v>2028</v>
      </c>
      <c r="EG14" s="644"/>
      <c r="EH14" s="9" t="s">
        <v>2028</v>
      </c>
      <c r="EI14" s="644"/>
      <c r="EJ14" s="644"/>
      <c r="EK14" s="644"/>
      <c r="EL14" s="644"/>
      <c r="EM14" s="644"/>
      <c r="EN14" s="9"/>
      <c r="EO14" s="644"/>
      <c r="EP14" s="9" t="s">
        <v>219</v>
      </c>
      <c r="EQ14" s="644"/>
      <c r="ER14" s="644"/>
      <c r="ES14" s="644"/>
      <c r="ET14" s="9"/>
      <c r="EU14" s="644"/>
      <c r="EV14" s="23" t="s">
        <v>1461</v>
      </c>
      <c r="EW14" s="644"/>
      <c r="EX14" s="9"/>
      <c r="EY14" s="644"/>
      <c r="EZ14" s="9"/>
      <c r="FA14" s="644"/>
      <c r="FB14" s="9"/>
      <c r="FC14" s="644"/>
      <c r="FD14" s="9"/>
      <c r="FE14" s="644"/>
      <c r="FF14" s="9" t="s">
        <v>465</v>
      </c>
      <c r="FG14" s="644"/>
      <c r="FH14" s="9"/>
      <c r="FI14" s="644"/>
      <c r="FJ14" s="9"/>
      <c r="FK14" s="644"/>
      <c r="FL14" s="780" t="s">
        <v>504</v>
      </c>
      <c r="FM14" s="644"/>
      <c r="FN14" s="9"/>
      <c r="FO14" s="644"/>
      <c r="FP14" s="9"/>
      <c r="FQ14" s="644"/>
      <c r="FR14" s="644"/>
      <c r="FS14" s="644"/>
      <c r="FT14" s="644"/>
      <c r="FU14" s="644"/>
      <c r="FV14" s="644"/>
      <c r="FW14" s="644"/>
      <c r="FX14" s="9" t="s">
        <v>465</v>
      </c>
      <c r="FY14" s="644"/>
      <c r="FZ14" s="644"/>
      <c r="GA14" s="644"/>
      <c r="GB14" s="9"/>
      <c r="GC14" s="644"/>
      <c r="GD14" s="23" t="s">
        <v>2501</v>
      </c>
      <c r="GE14" s="644"/>
      <c r="GF14" s="34" t="s">
        <v>1987</v>
      </c>
      <c r="GG14" s="644"/>
      <c r="GH14" s="9" t="s">
        <v>2008</v>
      </c>
      <c r="GI14" s="644"/>
      <c r="GJ14" s="780" t="s">
        <v>1669</v>
      </c>
      <c r="GK14" s="644"/>
      <c r="GL14" s="9"/>
      <c r="GM14" s="644"/>
      <c r="GN14" s="9"/>
      <c r="GO14" s="644"/>
      <c r="GP14" s="9"/>
      <c r="GQ14" s="644"/>
      <c r="GR14" s="9"/>
      <c r="GS14" s="644"/>
      <c r="GT14" s="23" t="s">
        <v>2077</v>
      </c>
      <c r="GU14" s="644"/>
      <c r="GV14" s="9"/>
      <c r="GW14" s="644"/>
      <c r="GX14" s="9"/>
      <c r="GY14" s="644"/>
      <c r="GZ14" s="9"/>
      <c r="HA14" s="644"/>
      <c r="HB14" s="650" t="s">
        <v>1798</v>
      </c>
      <c r="HC14" s="644"/>
      <c r="HD14" s="9"/>
      <c r="HE14" s="644"/>
      <c r="HF14" s="9"/>
      <c r="HG14" s="644"/>
      <c r="HH14" s="9" t="s">
        <v>465</v>
      </c>
      <c r="HI14" s="644"/>
      <c r="HJ14" s="644"/>
      <c r="HK14" s="644"/>
      <c r="HL14" s="9"/>
      <c r="HM14" s="644"/>
      <c r="HN14" s="9" t="s">
        <v>465</v>
      </c>
      <c r="HO14" s="644"/>
      <c r="HP14" s="9"/>
      <c r="HQ14" s="644"/>
      <c r="HR14" s="9"/>
      <c r="HS14" s="644"/>
      <c r="HT14" s="656" t="s">
        <v>702</v>
      </c>
      <c r="HU14" s="644"/>
      <c r="HV14" s="9" t="s">
        <v>701</v>
      </c>
      <c r="HW14" s="644"/>
      <c r="HX14" s="9"/>
      <c r="HY14" s="644"/>
      <c r="HZ14" s="9"/>
      <c r="IA14" s="644"/>
      <c r="IB14" s="644"/>
      <c r="IC14" s="644"/>
      <c r="ID14" s="9"/>
      <c r="IE14" s="644"/>
      <c r="IF14" s="9"/>
      <c r="IG14" s="756"/>
      <c r="IH14" s="9"/>
      <c r="II14" s="644"/>
      <c r="IJ14" s="644"/>
      <c r="IK14" s="644"/>
      <c r="IL14" s="633" t="s">
        <v>465</v>
      </c>
      <c r="IM14" s="644"/>
      <c r="IN14" s="634" t="s">
        <v>465</v>
      </c>
      <c r="IO14" s="644"/>
      <c r="IP14" s="9"/>
      <c r="IQ14" s="644"/>
      <c r="IR14" s="9"/>
      <c r="IS14" s="644"/>
      <c r="IT14" s="9" t="s">
        <v>1068</v>
      </c>
      <c r="IU14" s="644"/>
      <c r="IV14" s="9" t="s">
        <v>465</v>
      </c>
      <c r="IW14" s="644"/>
      <c r="IX14" s="632" t="s">
        <v>1104</v>
      </c>
      <c r="IY14" s="644"/>
      <c r="IZ14" s="9" t="s">
        <v>504</v>
      </c>
      <c r="JA14" s="644"/>
      <c r="JB14" s="9"/>
      <c r="JC14" s="644"/>
      <c r="JD14" s="9" t="s">
        <v>465</v>
      </c>
      <c r="JE14" s="644"/>
      <c r="JF14" s="644"/>
      <c r="JG14" s="644"/>
      <c r="JH14" s="9"/>
      <c r="JI14" s="644"/>
      <c r="JJ14" s="644"/>
      <c r="JK14" s="644"/>
      <c r="JL14" s="644"/>
      <c r="JM14" s="644"/>
      <c r="JN14" s="9" t="s">
        <v>504</v>
      </c>
      <c r="JO14" s="644"/>
      <c r="JP14" s="644"/>
      <c r="JQ14" s="644"/>
      <c r="JR14" s="654" t="s">
        <v>1058</v>
      </c>
      <c r="JS14" s="644"/>
      <c r="JT14" s="9" t="s">
        <v>465</v>
      </c>
      <c r="JU14" s="644"/>
      <c r="JV14" s="9"/>
      <c r="JW14" s="644"/>
      <c r="JX14" s="9" t="s">
        <v>701</v>
      </c>
      <c r="JY14" s="644"/>
    </row>
    <row r="15" spans="1:285" ht="24" customHeight="1" x14ac:dyDescent="0.2">
      <c r="A15" s="1565"/>
      <c r="B15" s="1580"/>
      <c r="C15" s="1550" t="s">
        <v>78</v>
      </c>
      <c r="D15" s="1552" t="s">
        <v>258</v>
      </c>
      <c r="E15" s="755" t="s">
        <v>48</v>
      </c>
      <c r="F15" s="9" t="s">
        <v>504</v>
      </c>
      <c r="G15" s="756"/>
      <c r="H15" s="9" t="s">
        <v>465</v>
      </c>
      <c r="I15" s="644"/>
      <c r="J15" s="9" t="s">
        <v>465</v>
      </c>
      <c r="K15" s="644"/>
      <c r="L15" s="9" t="s">
        <v>465</v>
      </c>
      <c r="M15" s="644"/>
      <c r="N15" s="757" t="s">
        <v>465</v>
      </c>
      <c r="O15" s="644"/>
      <c r="P15" s="84" t="s">
        <v>465</v>
      </c>
      <c r="Q15" s="644"/>
      <c r="R15" s="9"/>
      <c r="S15" s="644"/>
      <c r="T15" s="644"/>
      <c r="U15" s="644"/>
      <c r="V15" s="644"/>
      <c r="W15" s="644"/>
      <c r="X15" s="644"/>
      <c r="Y15" s="644"/>
      <c r="Z15" s="9" t="s">
        <v>465</v>
      </c>
      <c r="AA15" s="644"/>
      <c r="AB15" s="9" t="s">
        <v>465</v>
      </c>
      <c r="AC15" s="644"/>
      <c r="AD15" s="9" t="s">
        <v>465</v>
      </c>
      <c r="AE15" s="644"/>
      <c r="AF15" s="644"/>
      <c r="AG15" s="644"/>
      <c r="AH15" s="644"/>
      <c r="AI15" s="644"/>
      <c r="AJ15" s="84" t="s">
        <v>504</v>
      </c>
      <c r="AK15" s="644"/>
      <c r="AL15" s="9" t="s">
        <v>2358</v>
      </c>
      <c r="AM15" s="644"/>
      <c r="AN15" s="9"/>
      <c r="AO15" s="644"/>
      <c r="AP15" s="9" t="s">
        <v>479</v>
      </c>
      <c r="AQ15" s="644"/>
      <c r="AR15" s="9"/>
      <c r="AS15" s="644"/>
      <c r="AT15" s="9"/>
      <c r="AU15" s="644"/>
      <c r="AV15" s="757"/>
      <c r="AW15" s="644"/>
      <c r="AX15" s="9"/>
      <c r="AY15" s="644"/>
      <c r="AZ15" s="9"/>
      <c r="BA15" s="644"/>
      <c r="BB15" s="644"/>
      <c r="BC15" s="644"/>
      <c r="BD15" s="5"/>
      <c r="BE15" s="644"/>
      <c r="BF15" s="9"/>
      <c r="BG15" s="644"/>
      <c r="BH15" s="644"/>
      <c r="BI15" s="644"/>
      <c r="BJ15" s="9" t="s">
        <v>465</v>
      </c>
      <c r="BK15" s="644"/>
      <c r="BL15" s="9"/>
      <c r="BM15" s="644"/>
      <c r="BN15" s="9"/>
      <c r="BO15" s="644"/>
      <c r="BP15" s="9"/>
      <c r="BQ15" s="644"/>
      <c r="BR15" s="9" t="s">
        <v>465</v>
      </c>
      <c r="BS15" s="644"/>
      <c r="BT15" s="9" t="s">
        <v>504</v>
      </c>
      <c r="BU15" s="644"/>
      <c r="BV15" s="9"/>
      <c r="BW15" s="644"/>
      <c r="BX15" s="9"/>
      <c r="BY15" s="644"/>
      <c r="BZ15" s="9"/>
      <c r="CA15" s="644"/>
      <c r="CB15" s="9"/>
      <c r="CC15" s="644"/>
      <c r="CD15" s="644"/>
      <c r="CE15" s="644"/>
      <c r="CF15" s="644"/>
      <c r="CG15" s="644"/>
      <c r="CH15" s="632" t="s">
        <v>2109</v>
      </c>
      <c r="CI15" s="9"/>
      <c r="CJ15" s="9" t="s">
        <v>2109</v>
      </c>
      <c r="CK15" s="9"/>
      <c r="CL15" s="5" t="s">
        <v>616</v>
      </c>
      <c r="CM15" s="644"/>
      <c r="CN15" s="9"/>
      <c r="CO15" s="644"/>
      <c r="CP15" s="9"/>
      <c r="CQ15" s="644"/>
      <c r="CR15" s="9"/>
      <c r="CS15" s="644"/>
      <c r="CT15" s="9" t="s">
        <v>479</v>
      </c>
      <c r="CU15" s="644"/>
      <c r="CV15" s="9" t="s">
        <v>465</v>
      </c>
      <c r="CW15" s="644"/>
      <c r="CX15" s="9" t="s">
        <v>465</v>
      </c>
      <c r="CY15" s="644"/>
      <c r="CZ15" s="9" t="s">
        <v>465</v>
      </c>
      <c r="DA15" s="644"/>
      <c r="DB15" s="9" t="s">
        <v>465</v>
      </c>
      <c r="DC15" s="644"/>
      <c r="DD15" s="9"/>
      <c r="DE15" s="644"/>
      <c r="DF15" s="644"/>
      <c r="DG15" s="644"/>
      <c r="DH15" s="9"/>
      <c r="DI15" s="644"/>
      <c r="DJ15" s="758"/>
      <c r="DK15" s="644"/>
      <c r="DL15" s="644"/>
      <c r="DM15" s="644"/>
      <c r="DN15" s="9" t="s">
        <v>504</v>
      </c>
      <c r="DO15" s="644"/>
      <c r="DP15" s="644"/>
      <c r="DQ15" s="644"/>
      <c r="DR15" s="644"/>
      <c r="DS15" s="644"/>
      <c r="DT15" s="644"/>
      <c r="DU15" s="644"/>
      <c r="DV15" s="9" t="s">
        <v>465</v>
      </c>
      <c r="DW15" s="644"/>
      <c r="DX15" s="9" t="s">
        <v>465</v>
      </c>
      <c r="DY15" s="644"/>
      <c r="DZ15" s="5" t="s">
        <v>465</v>
      </c>
      <c r="EA15" s="644"/>
      <c r="EB15" s="644"/>
      <c r="EC15" s="644"/>
      <c r="ED15" s="644"/>
      <c r="EE15" s="644"/>
      <c r="EF15" s="9" t="s">
        <v>504</v>
      </c>
      <c r="EG15" s="644"/>
      <c r="EH15" s="9" t="s">
        <v>504</v>
      </c>
      <c r="EI15" s="644"/>
      <c r="EJ15" s="644"/>
      <c r="EK15" s="644"/>
      <c r="EL15" s="644"/>
      <c r="EM15" s="644"/>
      <c r="EN15" s="9" t="s">
        <v>1427</v>
      </c>
      <c r="EO15" s="644"/>
      <c r="EP15" s="9" t="s">
        <v>504</v>
      </c>
      <c r="EQ15" s="644"/>
      <c r="ER15" s="644"/>
      <c r="ES15" s="644"/>
      <c r="ET15" s="9" t="s">
        <v>465</v>
      </c>
      <c r="EU15" s="644"/>
      <c r="EV15" s="9" t="s">
        <v>1462</v>
      </c>
      <c r="EW15" s="644"/>
      <c r="EX15" s="9"/>
      <c r="EY15" s="644"/>
      <c r="EZ15" s="9"/>
      <c r="FA15" s="644"/>
      <c r="FB15" s="9"/>
      <c r="FC15" s="644"/>
      <c r="FD15" s="9"/>
      <c r="FE15" s="644"/>
      <c r="FF15" s="9" t="s">
        <v>465</v>
      </c>
      <c r="FG15" s="644"/>
      <c r="FH15" s="9"/>
      <c r="FI15" s="644"/>
      <c r="FJ15" s="9"/>
      <c r="FK15" s="644"/>
      <c r="FL15" s="780" t="s">
        <v>504</v>
      </c>
      <c r="FM15" s="644"/>
      <c r="FN15" s="9" t="s">
        <v>504</v>
      </c>
      <c r="FO15" s="644"/>
      <c r="FP15" s="9"/>
      <c r="FQ15" s="644"/>
      <c r="FR15" s="644"/>
      <c r="FS15" s="644"/>
      <c r="FT15" s="644"/>
      <c r="FU15" s="644"/>
      <c r="FV15" s="644"/>
      <c r="FW15" s="644"/>
      <c r="FX15" s="5" t="s">
        <v>1864</v>
      </c>
      <c r="FY15" s="644"/>
      <c r="FZ15" s="644"/>
      <c r="GA15" s="644"/>
      <c r="GB15" s="9"/>
      <c r="GC15" s="644"/>
      <c r="GD15" s="9" t="s">
        <v>2502</v>
      </c>
      <c r="GE15" s="644"/>
      <c r="GF15" s="5" t="s">
        <v>504</v>
      </c>
      <c r="GG15" s="644"/>
      <c r="GH15" s="9" t="s">
        <v>2008</v>
      </c>
      <c r="GI15" s="644"/>
      <c r="GJ15" s="760" t="s">
        <v>1671</v>
      </c>
      <c r="GK15" s="644"/>
      <c r="GL15" s="9" t="s">
        <v>504</v>
      </c>
      <c r="GM15" s="644"/>
      <c r="GN15" s="9" t="s">
        <v>504</v>
      </c>
      <c r="GO15" s="644"/>
      <c r="GP15" s="9"/>
      <c r="GQ15" s="644"/>
      <c r="GR15" s="9"/>
      <c r="GS15" s="644"/>
      <c r="GT15" s="9"/>
      <c r="GU15" s="644"/>
      <c r="GV15" s="9" t="s">
        <v>504</v>
      </c>
      <c r="GW15" s="644"/>
      <c r="GX15" s="9" t="s">
        <v>504</v>
      </c>
      <c r="GY15" s="644"/>
      <c r="GZ15" s="9" t="s">
        <v>504</v>
      </c>
      <c r="HA15" s="644"/>
      <c r="HB15" s="5" t="s">
        <v>465</v>
      </c>
      <c r="HC15" s="644"/>
      <c r="HD15" s="9"/>
      <c r="HE15" s="644"/>
      <c r="HF15" s="9"/>
      <c r="HG15" s="644"/>
      <c r="HH15" s="9" t="s">
        <v>465</v>
      </c>
      <c r="HI15" s="644"/>
      <c r="HJ15" s="644"/>
      <c r="HK15" s="644"/>
      <c r="HL15" s="9" t="s">
        <v>504</v>
      </c>
      <c r="HM15" s="644"/>
      <c r="HN15" s="9" t="s">
        <v>1771</v>
      </c>
      <c r="HO15" s="644"/>
      <c r="HP15" s="9" t="s">
        <v>1277</v>
      </c>
      <c r="HQ15" s="644"/>
      <c r="HR15" s="9" t="s">
        <v>1277</v>
      </c>
      <c r="HS15" s="644"/>
      <c r="HT15" s="633" t="s">
        <v>1277</v>
      </c>
      <c r="HU15" s="644"/>
      <c r="HV15" s="9" t="s">
        <v>1277</v>
      </c>
      <c r="HW15" s="644"/>
      <c r="HX15" s="9"/>
      <c r="HY15" s="644"/>
      <c r="HZ15" s="9"/>
      <c r="IA15" s="644"/>
      <c r="IB15" s="644"/>
      <c r="IC15" s="644"/>
      <c r="ID15" s="9" t="s">
        <v>1220</v>
      </c>
      <c r="IE15" s="644"/>
      <c r="IF15" s="9" t="s">
        <v>504</v>
      </c>
      <c r="IG15" s="756"/>
      <c r="IH15" s="9" t="s">
        <v>1319</v>
      </c>
      <c r="II15" s="644"/>
      <c r="IJ15" s="644"/>
      <c r="IK15" s="644"/>
      <c r="IL15" s="633" t="s">
        <v>465</v>
      </c>
      <c r="IM15" s="644"/>
      <c r="IN15" s="634" t="s">
        <v>465</v>
      </c>
      <c r="IO15" s="644"/>
      <c r="IP15" s="9"/>
      <c r="IQ15" s="644"/>
      <c r="IR15" s="9"/>
      <c r="IS15" s="644"/>
      <c r="IT15" s="9" t="s">
        <v>504</v>
      </c>
      <c r="IU15" s="644"/>
      <c r="IV15" s="9" t="s">
        <v>465</v>
      </c>
      <c r="IW15" s="644"/>
      <c r="IX15" s="632" t="s">
        <v>1104</v>
      </c>
      <c r="IY15" s="644"/>
      <c r="IZ15" s="9" t="s">
        <v>504</v>
      </c>
      <c r="JA15" s="644"/>
      <c r="JB15" s="9"/>
      <c r="JC15" s="644"/>
      <c r="JD15" s="9" t="s">
        <v>465</v>
      </c>
      <c r="JE15" s="644"/>
      <c r="JF15" s="644"/>
      <c r="JG15" s="644"/>
      <c r="JH15" s="9" t="s">
        <v>504</v>
      </c>
      <c r="JI15" s="644"/>
      <c r="JJ15" s="644"/>
      <c r="JK15" s="644"/>
      <c r="JL15" s="644"/>
      <c r="JM15" s="644"/>
      <c r="JN15" s="9" t="s">
        <v>2483</v>
      </c>
      <c r="JO15" s="644"/>
      <c r="JP15" s="644"/>
      <c r="JQ15" s="644"/>
      <c r="JR15" s="20" t="s">
        <v>1040</v>
      </c>
      <c r="JS15" s="644"/>
      <c r="JT15" s="9" t="s">
        <v>465</v>
      </c>
      <c r="JU15" s="644"/>
      <c r="JV15" s="9"/>
      <c r="JW15" s="644"/>
      <c r="JX15" s="9" t="s">
        <v>702</v>
      </c>
      <c r="JY15" s="644"/>
    </row>
    <row r="16" spans="1:285" ht="21" customHeight="1" thickBot="1" x14ac:dyDescent="0.25">
      <c r="A16" s="1565"/>
      <c r="B16" s="1580"/>
      <c r="C16" s="1551"/>
      <c r="D16" s="1560"/>
      <c r="E16" s="755" t="s">
        <v>50</v>
      </c>
      <c r="F16" s="9"/>
      <c r="G16" s="756"/>
      <c r="H16" s="9" t="s">
        <v>465</v>
      </c>
      <c r="I16" s="644"/>
      <c r="J16" s="9" t="s">
        <v>465</v>
      </c>
      <c r="K16" s="644"/>
      <c r="L16" s="9" t="s">
        <v>465</v>
      </c>
      <c r="M16" s="644"/>
      <c r="N16" s="757" t="s">
        <v>465</v>
      </c>
      <c r="O16" s="644"/>
      <c r="P16" s="84" t="s">
        <v>465</v>
      </c>
      <c r="Q16" s="644"/>
      <c r="R16" s="9"/>
      <c r="S16" s="644"/>
      <c r="T16" s="644"/>
      <c r="U16" s="644"/>
      <c r="V16" s="644"/>
      <c r="W16" s="644"/>
      <c r="X16" s="644"/>
      <c r="Y16" s="644"/>
      <c r="Z16" s="9" t="s">
        <v>465</v>
      </c>
      <c r="AA16" s="644"/>
      <c r="AB16" s="9" t="s">
        <v>465</v>
      </c>
      <c r="AC16" s="644"/>
      <c r="AD16" s="9" t="s">
        <v>465</v>
      </c>
      <c r="AE16" s="644"/>
      <c r="AF16" s="644"/>
      <c r="AG16" s="644"/>
      <c r="AH16" s="644"/>
      <c r="AI16" s="644"/>
      <c r="AJ16" s="84"/>
      <c r="AK16" s="644"/>
      <c r="AL16" s="9" t="s">
        <v>2359</v>
      </c>
      <c r="AM16" s="644"/>
      <c r="AN16" s="9"/>
      <c r="AO16" s="644"/>
      <c r="AP16" s="9"/>
      <c r="AQ16" s="644"/>
      <c r="AR16" s="9"/>
      <c r="AS16" s="644"/>
      <c r="AT16" s="9"/>
      <c r="AU16" s="644"/>
      <c r="AV16" s="757"/>
      <c r="AW16" s="644"/>
      <c r="AX16" s="9"/>
      <c r="AY16" s="644"/>
      <c r="AZ16" s="9"/>
      <c r="BA16" s="644"/>
      <c r="BB16" s="644"/>
      <c r="BC16" s="644"/>
      <c r="BD16" s="5"/>
      <c r="BE16" s="644"/>
      <c r="BF16" s="9"/>
      <c r="BG16" s="644"/>
      <c r="BH16" s="644"/>
      <c r="BI16" s="644"/>
      <c r="BJ16" s="9" t="s">
        <v>465</v>
      </c>
      <c r="BK16" s="644"/>
      <c r="BL16" s="9"/>
      <c r="BM16" s="644"/>
      <c r="BN16" s="9"/>
      <c r="BO16" s="644"/>
      <c r="BP16" s="9"/>
      <c r="BQ16" s="644"/>
      <c r="BR16" s="9"/>
      <c r="BS16" s="644"/>
      <c r="BT16" s="9"/>
      <c r="BU16" s="644"/>
      <c r="BV16" s="9"/>
      <c r="BW16" s="644"/>
      <c r="BX16" s="9"/>
      <c r="BY16" s="644"/>
      <c r="BZ16" s="9"/>
      <c r="CA16" s="644"/>
      <c r="CB16" s="9"/>
      <c r="CC16" s="644"/>
      <c r="CD16" s="644"/>
      <c r="CE16" s="644"/>
      <c r="CF16" s="644"/>
      <c r="CG16" s="644"/>
      <c r="CH16" s="632" t="s">
        <v>465</v>
      </c>
      <c r="CI16" s="9"/>
      <c r="CJ16" s="9" t="s">
        <v>465</v>
      </c>
      <c r="CK16" s="9"/>
      <c r="CL16" s="8" t="s">
        <v>617</v>
      </c>
      <c r="CM16" s="644"/>
      <c r="CN16" s="9"/>
      <c r="CO16" s="644"/>
      <c r="CP16" s="9"/>
      <c r="CQ16" s="644"/>
      <c r="CR16" s="9"/>
      <c r="CS16" s="644"/>
      <c r="CT16" s="9"/>
      <c r="CU16" s="644"/>
      <c r="CV16" s="9" t="s">
        <v>465</v>
      </c>
      <c r="CW16" s="644"/>
      <c r="CX16" s="9" t="s">
        <v>465</v>
      </c>
      <c r="CY16" s="644"/>
      <c r="CZ16" s="9" t="s">
        <v>465</v>
      </c>
      <c r="DA16" s="644"/>
      <c r="DB16" s="9" t="s">
        <v>465</v>
      </c>
      <c r="DC16" s="644"/>
      <c r="DD16" s="9"/>
      <c r="DE16" s="644"/>
      <c r="DF16" s="644"/>
      <c r="DG16" s="644"/>
      <c r="DH16" s="9"/>
      <c r="DI16" s="644"/>
      <c r="DJ16" s="758"/>
      <c r="DK16" s="644"/>
      <c r="DL16" s="644"/>
      <c r="DM16" s="644"/>
      <c r="DN16" s="9" t="s">
        <v>504</v>
      </c>
      <c r="DO16" s="644"/>
      <c r="DP16" s="644"/>
      <c r="DQ16" s="644"/>
      <c r="DR16" s="644"/>
      <c r="DS16" s="644"/>
      <c r="DT16" s="644"/>
      <c r="DU16" s="644"/>
      <c r="DV16" s="9" t="s">
        <v>465</v>
      </c>
      <c r="DW16" s="644"/>
      <c r="DX16" s="16" t="s">
        <v>465</v>
      </c>
      <c r="DY16" s="644"/>
      <c r="DZ16" s="5" t="s">
        <v>465</v>
      </c>
      <c r="EA16" s="644"/>
      <c r="EB16" s="644"/>
      <c r="EC16" s="644"/>
      <c r="ED16" s="644"/>
      <c r="EE16" s="644"/>
      <c r="EF16" s="9" t="s">
        <v>504</v>
      </c>
      <c r="EG16" s="644"/>
      <c r="EH16" s="9" t="s">
        <v>504</v>
      </c>
      <c r="EI16" s="644"/>
      <c r="EJ16" s="644"/>
      <c r="EK16" s="644"/>
      <c r="EL16" s="644"/>
      <c r="EM16" s="644"/>
      <c r="EN16" s="23" t="s">
        <v>1428</v>
      </c>
      <c r="EO16" s="644"/>
      <c r="EP16" s="9" t="s">
        <v>219</v>
      </c>
      <c r="EQ16" s="644"/>
      <c r="ER16" s="644"/>
      <c r="ES16" s="644"/>
      <c r="ET16" s="9" t="s">
        <v>465</v>
      </c>
      <c r="EU16" s="644"/>
      <c r="EV16" s="23" t="s">
        <v>1463</v>
      </c>
      <c r="EW16" s="644"/>
      <c r="EX16" s="9"/>
      <c r="EY16" s="644"/>
      <c r="EZ16" s="9"/>
      <c r="FA16" s="644"/>
      <c r="FB16" s="9"/>
      <c r="FC16" s="644"/>
      <c r="FD16" s="9"/>
      <c r="FE16" s="644"/>
      <c r="FF16" s="9" t="s">
        <v>465</v>
      </c>
      <c r="FG16" s="644"/>
      <c r="FH16" s="9"/>
      <c r="FI16" s="644"/>
      <c r="FJ16" s="9"/>
      <c r="FK16" s="644"/>
      <c r="FL16" s="780" t="s">
        <v>504</v>
      </c>
      <c r="FM16" s="644"/>
      <c r="FN16" s="9"/>
      <c r="FO16" s="644"/>
      <c r="FP16" s="9"/>
      <c r="FQ16" s="644"/>
      <c r="FR16" s="644"/>
      <c r="FS16" s="644"/>
      <c r="FT16" s="644"/>
      <c r="FU16" s="644"/>
      <c r="FV16" s="644"/>
      <c r="FW16" s="644"/>
      <c r="FX16" s="23" t="s">
        <v>1865</v>
      </c>
      <c r="FY16" s="644"/>
      <c r="FZ16" s="644"/>
      <c r="GA16" s="644"/>
      <c r="GB16" s="9"/>
      <c r="GC16" s="644"/>
      <c r="GD16" s="23" t="s">
        <v>2503</v>
      </c>
      <c r="GE16" s="644"/>
      <c r="GF16" s="5" t="s">
        <v>504</v>
      </c>
      <c r="GG16" s="644"/>
      <c r="GH16" s="9" t="s">
        <v>2008</v>
      </c>
      <c r="GI16" s="644"/>
      <c r="GJ16" s="760" t="s">
        <v>1672</v>
      </c>
      <c r="GK16" s="644"/>
      <c r="GL16" s="9"/>
      <c r="GM16" s="644"/>
      <c r="GN16" s="9"/>
      <c r="GO16" s="644"/>
      <c r="GP16" s="9"/>
      <c r="GQ16" s="644"/>
      <c r="GR16" s="9"/>
      <c r="GS16" s="644"/>
      <c r="GT16" s="23"/>
      <c r="GU16" s="644"/>
      <c r="GV16" s="9"/>
      <c r="GW16" s="644"/>
      <c r="GX16" s="9"/>
      <c r="GY16" s="644"/>
      <c r="GZ16" s="9"/>
      <c r="HA16" s="644"/>
      <c r="HB16" s="5" t="s">
        <v>465</v>
      </c>
      <c r="HC16" s="644"/>
      <c r="HD16" s="9"/>
      <c r="HE16" s="644"/>
      <c r="HF16" s="9"/>
      <c r="HG16" s="644"/>
      <c r="HH16" s="9" t="s">
        <v>465</v>
      </c>
      <c r="HI16" s="644"/>
      <c r="HJ16" s="644"/>
      <c r="HK16" s="644"/>
      <c r="HL16" s="9"/>
      <c r="HM16" s="644"/>
      <c r="HN16" s="5" t="s">
        <v>1770</v>
      </c>
      <c r="HO16" s="644"/>
      <c r="HP16" s="9"/>
      <c r="HQ16" s="644"/>
      <c r="HR16" s="9"/>
      <c r="HS16" s="644"/>
      <c r="HT16" s="656" t="s">
        <v>702</v>
      </c>
      <c r="HU16" s="644"/>
      <c r="HV16" s="9" t="s">
        <v>701</v>
      </c>
      <c r="HW16" s="644"/>
      <c r="HX16" s="9"/>
      <c r="HY16" s="644"/>
      <c r="HZ16" s="9"/>
      <c r="IA16" s="644"/>
      <c r="IB16" s="644"/>
      <c r="IC16" s="644"/>
      <c r="ID16" s="23" t="s">
        <v>1221</v>
      </c>
      <c r="IE16" s="644"/>
      <c r="IF16" s="9"/>
      <c r="IG16" s="756"/>
      <c r="IH16" s="23" t="s">
        <v>1320</v>
      </c>
      <c r="II16" s="644"/>
      <c r="IJ16" s="644"/>
      <c r="IK16" s="644"/>
      <c r="IL16" s="633" t="s">
        <v>465</v>
      </c>
      <c r="IM16" s="644"/>
      <c r="IN16" s="634" t="s">
        <v>465</v>
      </c>
      <c r="IO16" s="644"/>
      <c r="IP16" s="9"/>
      <c r="IQ16" s="644"/>
      <c r="IR16" s="9"/>
      <c r="IS16" s="644"/>
      <c r="IT16" s="13" t="s">
        <v>701</v>
      </c>
      <c r="IU16" s="644"/>
      <c r="IV16" s="9" t="s">
        <v>465</v>
      </c>
      <c r="IW16" s="644"/>
      <c r="IX16" s="632" t="s">
        <v>1104</v>
      </c>
      <c r="IY16" s="644"/>
      <c r="IZ16" s="9" t="s">
        <v>504</v>
      </c>
      <c r="JA16" s="644"/>
      <c r="JB16" s="9"/>
      <c r="JC16" s="644"/>
      <c r="JD16" s="9" t="s">
        <v>465</v>
      </c>
      <c r="JE16" s="644"/>
      <c r="JF16" s="644"/>
      <c r="JG16" s="644"/>
      <c r="JH16" s="9"/>
      <c r="JI16" s="644"/>
      <c r="JJ16" s="644"/>
      <c r="JK16" s="644"/>
      <c r="JL16" s="644"/>
      <c r="JM16" s="644"/>
      <c r="JN16" s="650" t="s">
        <v>2484</v>
      </c>
      <c r="JO16" s="644"/>
      <c r="JP16" s="644"/>
      <c r="JQ16" s="644"/>
      <c r="JR16" s="654"/>
      <c r="JS16" s="644"/>
      <c r="JT16" s="9" t="s">
        <v>465</v>
      </c>
      <c r="JU16" s="644"/>
      <c r="JV16" s="9"/>
      <c r="JW16" s="644"/>
      <c r="JX16" s="9" t="s">
        <v>702</v>
      </c>
      <c r="JY16" s="644"/>
    </row>
    <row r="17" spans="1:285" ht="33.75" customHeight="1" x14ac:dyDescent="0.2">
      <c r="A17" s="1565"/>
      <c r="B17" s="1580"/>
      <c r="C17" s="1575" t="s">
        <v>79</v>
      </c>
      <c r="D17" s="1554" t="s">
        <v>193</v>
      </c>
      <c r="E17" s="755" t="s">
        <v>48</v>
      </c>
      <c r="F17" s="9" t="s">
        <v>504</v>
      </c>
      <c r="G17" s="756"/>
      <c r="H17" s="9" t="s">
        <v>465</v>
      </c>
      <c r="I17" s="644"/>
      <c r="J17" s="9" t="s">
        <v>465</v>
      </c>
      <c r="K17" s="644"/>
      <c r="L17" s="9" t="s">
        <v>465</v>
      </c>
      <c r="M17" s="644"/>
      <c r="N17" s="757" t="s">
        <v>465</v>
      </c>
      <c r="O17" s="644"/>
      <c r="P17" s="84" t="s">
        <v>465</v>
      </c>
      <c r="Q17" s="644"/>
      <c r="R17" s="9"/>
      <c r="S17" s="644"/>
      <c r="T17" s="644"/>
      <c r="U17" s="644"/>
      <c r="V17" s="644"/>
      <c r="W17" s="644"/>
      <c r="X17" s="644"/>
      <c r="Y17" s="644"/>
      <c r="Z17" s="9" t="s">
        <v>2295</v>
      </c>
      <c r="AA17" s="644"/>
      <c r="AB17" s="5" t="s">
        <v>2322</v>
      </c>
      <c r="AC17" s="644"/>
      <c r="AD17" s="9" t="s">
        <v>2342</v>
      </c>
      <c r="AE17" s="644"/>
      <c r="AF17" s="644"/>
      <c r="AG17" s="644"/>
      <c r="AH17" s="644"/>
      <c r="AI17" s="644"/>
      <c r="AJ17" s="84" t="s">
        <v>504</v>
      </c>
      <c r="AK17" s="644"/>
      <c r="AL17" s="9" t="s">
        <v>2360</v>
      </c>
      <c r="AM17" s="644"/>
      <c r="AN17" s="9"/>
      <c r="AO17" s="644"/>
      <c r="AP17" s="9" t="s">
        <v>479</v>
      </c>
      <c r="AQ17" s="644"/>
      <c r="AR17" s="9"/>
      <c r="AS17" s="644"/>
      <c r="AT17" s="9"/>
      <c r="AU17" s="644"/>
      <c r="AV17" s="757"/>
      <c r="AW17" s="644"/>
      <c r="AX17" s="5" t="s">
        <v>533</v>
      </c>
      <c r="AY17" s="644"/>
      <c r="AZ17" s="5" t="s">
        <v>555</v>
      </c>
      <c r="BA17" s="644"/>
      <c r="BB17" s="644"/>
      <c r="BC17" s="644"/>
      <c r="BD17" s="5" t="s">
        <v>2377</v>
      </c>
      <c r="BE17" s="644"/>
      <c r="BF17" s="9"/>
      <c r="BG17" s="644"/>
      <c r="BH17" s="644"/>
      <c r="BI17" s="644"/>
      <c r="BJ17" s="9" t="s">
        <v>788</v>
      </c>
      <c r="BK17" s="644"/>
      <c r="BL17" s="9"/>
      <c r="BM17" s="644"/>
      <c r="BN17" s="9"/>
      <c r="BO17" s="644"/>
      <c r="BP17" s="9"/>
      <c r="BQ17" s="644"/>
      <c r="BR17" s="9" t="s">
        <v>465</v>
      </c>
      <c r="BS17" s="644"/>
      <c r="BT17" s="9" t="s">
        <v>504</v>
      </c>
      <c r="BU17" s="644"/>
      <c r="BV17" s="9"/>
      <c r="BW17" s="644"/>
      <c r="BX17" s="9"/>
      <c r="BY17" s="644"/>
      <c r="BZ17" s="9"/>
      <c r="CA17" s="644"/>
      <c r="CB17" s="9" t="s">
        <v>897</v>
      </c>
      <c r="CC17" s="644"/>
      <c r="CD17" s="644"/>
      <c r="CE17" s="644"/>
      <c r="CF17" s="644"/>
      <c r="CG17" s="644"/>
      <c r="CH17" s="632" t="s">
        <v>2008</v>
      </c>
      <c r="CI17" s="9"/>
      <c r="CJ17" s="9" t="s">
        <v>2008</v>
      </c>
      <c r="CK17" s="9"/>
      <c r="CL17" s="5" t="s">
        <v>618</v>
      </c>
      <c r="CM17" s="644"/>
      <c r="CN17" s="9"/>
      <c r="CO17" s="644"/>
      <c r="CP17" s="9"/>
      <c r="CQ17" s="644"/>
      <c r="CR17" s="9"/>
      <c r="CS17" s="644"/>
      <c r="CT17" s="4" t="s">
        <v>479</v>
      </c>
      <c r="CU17" s="644"/>
      <c r="CV17" s="9" t="s">
        <v>465</v>
      </c>
      <c r="CW17" s="644"/>
      <c r="CX17" s="9" t="s">
        <v>465</v>
      </c>
      <c r="CY17" s="644"/>
      <c r="CZ17" s="9" t="s">
        <v>465</v>
      </c>
      <c r="DA17" s="644"/>
      <c r="DB17" s="9" t="s">
        <v>465</v>
      </c>
      <c r="DC17" s="644"/>
      <c r="DD17" s="5" t="s">
        <v>2469</v>
      </c>
      <c r="DE17" s="644"/>
      <c r="DF17" s="644"/>
      <c r="DG17" s="644"/>
      <c r="DH17" s="5" t="s">
        <v>869</v>
      </c>
      <c r="DI17" s="644"/>
      <c r="DJ17" s="758" t="s">
        <v>884</v>
      </c>
      <c r="DK17" s="644"/>
      <c r="DL17" s="644"/>
      <c r="DM17" s="644"/>
      <c r="DN17" s="9" t="s">
        <v>504</v>
      </c>
      <c r="DO17" s="644"/>
      <c r="DP17" s="644"/>
      <c r="DQ17" s="644"/>
      <c r="DR17" s="644"/>
      <c r="DS17" s="644"/>
      <c r="DT17" s="644"/>
      <c r="DU17" s="644"/>
      <c r="DV17" s="9" t="s">
        <v>504</v>
      </c>
      <c r="DW17" s="644"/>
      <c r="DX17" s="9" t="s">
        <v>504</v>
      </c>
      <c r="DY17" s="644"/>
      <c r="DZ17" s="5" t="s">
        <v>465</v>
      </c>
      <c r="EA17" s="644"/>
      <c r="EB17" s="644"/>
      <c r="EC17" s="644"/>
      <c r="ED17" s="644"/>
      <c r="EE17" s="644"/>
      <c r="EF17" s="9" t="s">
        <v>2029</v>
      </c>
      <c r="EG17" s="644"/>
      <c r="EH17" s="759" t="s">
        <v>2052</v>
      </c>
      <c r="EI17" s="644"/>
      <c r="EJ17" s="644"/>
      <c r="EK17" s="644"/>
      <c r="EL17" s="644"/>
      <c r="EM17" s="644"/>
      <c r="EN17" s="9" t="s">
        <v>504</v>
      </c>
      <c r="EO17" s="644"/>
      <c r="EP17" s="9" t="s">
        <v>504</v>
      </c>
      <c r="EQ17" s="644"/>
      <c r="ER17" s="644"/>
      <c r="ES17" s="644"/>
      <c r="ET17" s="9" t="s">
        <v>1444</v>
      </c>
      <c r="EU17" s="644"/>
      <c r="EV17" s="9" t="s">
        <v>465</v>
      </c>
      <c r="EW17" s="644"/>
      <c r="EX17" s="9"/>
      <c r="EY17" s="644"/>
      <c r="EZ17" s="9"/>
      <c r="FA17" s="644"/>
      <c r="FB17" s="9"/>
      <c r="FC17" s="644"/>
      <c r="FD17" s="9" t="s">
        <v>1519</v>
      </c>
      <c r="FE17" s="644"/>
      <c r="FF17" s="9" t="s">
        <v>1541</v>
      </c>
      <c r="FG17" s="644"/>
      <c r="FH17" s="5" t="s">
        <v>1541</v>
      </c>
      <c r="FI17" s="644"/>
      <c r="FJ17" s="9" t="s">
        <v>1541</v>
      </c>
      <c r="FK17" s="644"/>
      <c r="FL17" s="780" t="s">
        <v>504</v>
      </c>
      <c r="FM17" s="644"/>
      <c r="FN17" s="9" t="s">
        <v>504</v>
      </c>
      <c r="FO17" s="644"/>
      <c r="FP17" s="9" t="s">
        <v>666</v>
      </c>
      <c r="FQ17" s="644"/>
      <c r="FR17" s="644"/>
      <c r="FS17" s="644"/>
      <c r="FT17" s="644"/>
      <c r="FU17" s="644"/>
      <c r="FV17" s="644"/>
      <c r="FW17" s="644"/>
      <c r="FX17" s="5" t="s">
        <v>465</v>
      </c>
      <c r="FY17" s="644"/>
      <c r="FZ17" s="644"/>
      <c r="GA17" s="644"/>
      <c r="GB17" s="9"/>
      <c r="GC17" s="644"/>
      <c r="GD17" s="9" t="s">
        <v>2499</v>
      </c>
      <c r="GE17" s="644"/>
      <c r="GF17" s="5" t="s">
        <v>504</v>
      </c>
      <c r="GG17" s="644"/>
      <c r="GH17" s="9" t="s">
        <v>2009</v>
      </c>
      <c r="GI17" s="644"/>
      <c r="GJ17" s="760" t="s">
        <v>1673</v>
      </c>
      <c r="GK17" s="644"/>
      <c r="GL17" s="9" t="s">
        <v>504</v>
      </c>
      <c r="GM17" s="644"/>
      <c r="GN17" s="9" t="s">
        <v>504</v>
      </c>
      <c r="GO17" s="644"/>
      <c r="GP17" s="9"/>
      <c r="GQ17" s="644"/>
      <c r="GR17" s="9"/>
      <c r="GS17" s="644"/>
      <c r="GT17" s="9" t="s">
        <v>2074</v>
      </c>
      <c r="GU17" s="644"/>
      <c r="GV17" s="5" t="s">
        <v>1886</v>
      </c>
      <c r="GW17" s="644"/>
      <c r="GX17" s="659" t="s">
        <v>1886</v>
      </c>
      <c r="GY17" s="644"/>
      <c r="GZ17" s="5" t="s">
        <v>1886</v>
      </c>
      <c r="HA17" s="644"/>
      <c r="HB17" s="5" t="s">
        <v>465</v>
      </c>
      <c r="HC17" s="644"/>
      <c r="HD17" s="9" t="s">
        <v>1823</v>
      </c>
      <c r="HE17" s="644"/>
      <c r="HF17" s="9"/>
      <c r="HG17" s="644"/>
      <c r="HH17" s="9" t="s">
        <v>465</v>
      </c>
      <c r="HI17" s="644"/>
      <c r="HJ17" s="644"/>
      <c r="HK17" s="644"/>
      <c r="HL17" s="9" t="s">
        <v>504</v>
      </c>
      <c r="HM17" s="644"/>
      <c r="HN17" s="9" t="s">
        <v>465</v>
      </c>
      <c r="HO17" s="644"/>
      <c r="HP17" s="9"/>
      <c r="HQ17" s="644"/>
      <c r="HR17" s="9"/>
      <c r="HS17" s="644"/>
      <c r="HT17" s="656" t="s">
        <v>702</v>
      </c>
      <c r="HU17" s="644"/>
      <c r="HV17" s="9" t="s">
        <v>701</v>
      </c>
      <c r="HW17" s="644"/>
      <c r="HX17" s="9"/>
      <c r="HY17" s="644"/>
      <c r="HZ17" s="9"/>
      <c r="IA17" s="644"/>
      <c r="IB17" s="644"/>
      <c r="IC17" s="644"/>
      <c r="ID17" s="9" t="s">
        <v>1222</v>
      </c>
      <c r="IE17" s="644"/>
      <c r="IF17" s="9" t="s">
        <v>504</v>
      </c>
      <c r="IG17" s="756"/>
      <c r="IH17" s="9"/>
      <c r="II17" s="644"/>
      <c r="IJ17" s="644"/>
      <c r="IK17" s="644"/>
      <c r="IL17" s="633" t="s">
        <v>465</v>
      </c>
      <c r="IM17" s="644"/>
      <c r="IN17" s="634" t="s">
        <v>465</v>
      </c>
      <c r="IO17" s="644"/>
      <c r="IP17" s="9"/>
      <c r="IQ17" s="644"/>
      <c r="IR17" s="9"/>
      <c r="IS17" s="644"/>
      <c r="IT17" s="20" t="s">
        <v>1069</v>
      </c>
      <c r="IU17" s="644"/>
      <c r="IV17" s="9" t="s">
        <v>465</v>
      </c>
      <c r="IW17" s="644"/>
      <c r="IX17" s="632" t="s">
        <v>1104</v>
      </c>
      <c r="IY17" s="644"/>
      <c r="IZ17" s="9" t="s">
        <v>504</v>
      </c>
      <c r="JA17" s="644"/>
      <c r="JB17" s="9"/>
      <c r="JC17" s="644"/>
      <c r="JD17" s="9" t="s">
        <v>465</v>
      </c>
      <c r="JE17" s="644"/>
      <c r="JF17" s="644"/>
      <c r="JG17" s="644"/>
      <c r="JH17" s="9" t="s">
        <v>504</v>
      </c>
      <c r="JI17" s="644"/>
      <c r="JJ17" s="644"/>
      <c r="JK17" s="644"/>
      <c r="JL17" s="644"/>
      <c r="JM17" s="644"/>
      <c r="JN17" s="9" t="s">
        <v>504</v>
      </c>
      <c r="JO17" s="644"/>
      <c r="JP17" s="644"/>
      <c r="JQ17" s="644"/>
      <c r="JR17" s="20" t="s">
        <v>1041</v>
      </c>
      <c r="JS17" s="644"/>
      <c r="JT17" s="9" t="s">
        <v>1123</v>
      </c>
      <c r="JU17" s="644"/>
      <c r="JV17" s="9"/>
      <c r="JW17" s="644"/>
      <c r="JX17" s="9" t="s">
        <v>702</v>
      </c>
      <c r="JY17" s="644"/>
    </row>
    <row r="18" spans="1:285" ht="41.1" customHeight="1" thickBot="1" x14ac:dyDescent="0.25">
      <c r="A18" s="1565"/>
      <c r="B18" s="1580"/>
      <c r="C18" s="1576"/>
      <c r="D18" s="1549"/>
      <c r="E18" s="755" t="s">
        <v>50</v>
      </c>
      <c r="F18" s="9"/>
      <c r="G18" s="756"/>
      <c r="H18" s="23" t="s">
        <v>465</v>
      </c>
      <c r="I18" s="644"/>
      <c r="J18" s="23" t="s">
        <v>465</v>
      </c>
      <c r="K18" s="644"/>
      <c r="L18" s="23" t="s">
        <v>465</v>
      </c>
      <c r="M18" s="644"/>
      <c r="N18" s="757" t="s">
        <v>465</v>
      </c>
      <c r="O18" s="644"/>
      <c r="P18" s="84" t="s">
        <v>465</v>
      </c>
      <c r="Q18" s="644"/>
      <c r="R18" s="9"/>
      <c r="S18" s="644"/>
      <c r="T18" s="644"/>
      <c r="U18" s="644"/>
      <c r="V18" s="644"/>
      <c r="W18" s="644"/>
      <c r="X18" s="644"/>
      <c r="Y18" s="644"/>
      <c r="Z18" s="23" t="s">
        <v>2296</v>
      </c>
      <c r="AA18" s="644"/>
      <c r="AB18" s="23" t="s">
        <v>2296</v>
      </c>
      <c r="AC18" s="644"/>
      <c r="AD18" s="23" t="s">
        <v>2296</v>
      </c>
      <c r="AE18" s="644"/>
      <c r="AF18" s="644"/>
      <c r="AG18" s="644"/>
      <c r="AH18" s="644"/>
      <c r="AI18" s="644"/>
      <c r="AJ18" s="84"/>
      <c r="AK18" s="644"/>
      <c r="AL18" s="9" t="s">
        <v>2361</v>
      </c>
      <c r="AM18" s="644"/>
      <c r="AN18" s="9"/>
      <c r="AO18" s="644"/>
      <c r="AP18" s="9"/>
      <c r="AQ18" s="644"/>
      <c r="AR18" s="9"/>
      <c r="AS18" s="644"/>
      <c r="AT18" s="9"/>
      <c r="AU18" s="644"/>
      <c r="AV18" s="757"/>
      <c r="AW18" s="644"/>
      <c r="AX18" s="9" t="s">
        <v>534</v>
      </c>
      <c r="AY18" s="644"/>
      <c r="AZ18" s="23" t="s">
        <v>532</v>
      </c>
      <c r="BA18" s="644"/>
      <c r="BB18" s="644"/>
      <c r="BC18" s="644"/>
      <c r="BD18" s="5"/>
      <c r="BE18" s="644"/>
      <c r="BF18" s="9"/>
      <c r="BG18" s="644"/>
      <c r="BH18" s="644"/>
      <c r="BI18" s="644"/>
      <c r="BJ18" s="9" t="s">
        <v>465</v>
      </c>
      <c r="BK18" s="644"/>
      <c r="BL18" s="9"/>
      <c r="BM18" s="644"/>
      <c r="BN18" s="9"/>
      <c r="BO18" s="644"/>
      <c r="BP18" s="9"/>
      <c r="BQ18" s="644"/>
      <c r="BR18" s="9"/>
      <c r="BS18" s="644"/>
      <c r="BT18" s="9"/>
      <c r="BU18" s="644"/>
      <c r="BV18" s="9"/>
      <c r="BW18" s="644"/>
      <c r="BX18" s="9"/>
      <c r="BY18" s="644"/>
      <c r="BZ18" s="9"/>
      <c r="CA18" s="644"/>
      <c r="CB18" s="34" t="s">
        <v>898</v>
      </c>
      <c r="CC18" s="644"/>
      <c r="CD18" s="644"/>
      <c r="CE18" s="644"/>
      <c r="CF18" s="644"/>
      <c r="CG18" s="644"/>
      <c r="CH18" s="632" t="s">
        <v>465</v>
      </c>
      <c r="CI18" s="9"/>
      <c r="CJ18" s="9" t="s">
        <v>465</v>
      </c>
      <c r="CK18" s="9"/>
      <c r="CL18" s="8" t="s">
        <v>617</v>
      </c>
      <c r="CM18" s="644"/>
      <c r="CN18" s="9"/>
      <c r="CO18" s="644"/>
      <c r="CP18" s="9"/>
      <c r="CQ18" s="644"/>
      <c r="CR18" s="9"/>
      <c r="CS18" s="644"/>
      <c r="CT18" s="9"/>
      <c r="CU18" s="644"/>
      <c r="CV18" s="9" t="s">
        <v>465</v>
      </c>
      <c r="CW18" s="644"/>
      <c r="CX18" s="9" t="s">
        <v>465</v>
      </c>
      <c r="CY18" s="644"/>
      <c r="CZ18" s="9" t="s">
        <v>465</v>
      </c>
      <c r="DA18" s="644"/>
      <c r="DB18" s="9" t="s">
        <v>465</v>
      </c>
      <c r="DC18" s="644"/>
      <c r="DD18" s="5" t="s">
        <v>2470</v>
      </c>
      <c r="DE18" s="644"/>
      <c r="DF18" s="644"/>
      <c r="DG18" s="644"/>
      <c r="DH18" s="5" t="s">
        <v>870</v>
      </c>
      <c r="DI18" s="644"/>
      <c r="DJ18" s="782" t="s">
        <v>885</v>
      </c>
      <c r="DK18" s="644"/>
      <c r="DL18" s="644"/>
      <c r="DM18" s="644"/>
      <c r="DN18" s="9" t="s">
        <v>504</v>
      </c>
      <c r="DO18" s="644"/>
      <c r="DP18" s="644"/>
      <c r="DQ18" s="644"/>
      <c r="DR18" s="644"/>
      <c r="DS18" s="644"/>
      <c r="DT18" s="644"/>
      <c r="DU18" s="644"/>
      <c r="DV18" s="9" t="s">
        <v>465</v>
      </c>
      <c r="DW18" s="644"/>
      <c r="DX18" s="9" t="s">
        <v>465</v>
      </c>
      <c r="DY18" s="644"/>
      <c r="DZ18" s="5" t="s">
        <v>465</v>
      </c>
      <c r="EA18" s="644"/>
      <c r="EB18" s="644"/>
      <c r="EC18" s="644"/>
      <c r="ED18" s="644"/>
      <c r="EE18" s="644"/>
      <c r="EF18" s="23" t="s">
        <v>2030</v>
      </c>
      <c r="EG18" s="644"/>
      <c r="EH18" s="16" t="s">
        <v>2053</v>
      </c>
      <c r="EI18" s="644"/>
      <c r="EJ18" s="644"/>
      <c r="EK18" s="644"/>
      <c r="EL18" s="644"/>
      <c r="EM18" s="644"/>
      <c r="EN18" s="9"/>
      <c r="EO18" s="644"/>
      <c r="EP18" s="9" t="s">
        <v>219</v>
      </c>
      <c r="EQ18" s="644"/>
      <c r="ER18" s="644"/>
      <c r="ES18" s="644"/>
      <c r="ET18" s="23" t="s">
        <v>1443</v>
      </c>
      <c r="EU18" s="644"/>
      <c r="EV18" s="9" t="s">
        <v>465</v>
      </c>
      <c r="EW18" s="644"/>
      <c r="EX18" s="23"/>
      <c r="EY18" s="644"/>
      <c r="EZ18" s="9"/>
      <c r="FA18" s="644"/>
      <c r="FB18" s="9"/>
      <c r="FC18" s="644"/>
      <c r="FD18" s="23" t="s">
        <v>1520</v>
      </c>
      <c r="FE18" s="644"/>
      <c r="FF18" s="23" t="s">
        <v>1520</v>
      </c>
      <c r="FG18" s="644"/>
      <c r="FH18" s="23" t="s">
        <v>1566</v>
      </c>
      <c r="FI18" s="644"/>
      <c r="FJ18" s="650" t="s">
        <v>1520</v>
      </c>
      <c r="FK18" s="644"/>
      <c r="FL18" s="780" t="s">
        <v>504</v>
      </c>
      <c r="FM18" s="644"/>
      <c r="FN18" s="9"/>
      <c r="FO18" s="644"/>
      <c r="FP18" s="9"/>
      <c r="FQ18" s="644"/>
      <c r="FR18" s="644"/>
      <c r="FS18" s="644"/>
      <c r="FT18" s="644"/>
      <c r="FU18" s="644"/>
      <c r="FV18" s="644"/>
      <c r="FW18" s="644"/>
      <c r="FX18" s="5" t="s">
        <v>465</v>
      </c>
      <c r="FY18" s="644"/>
      <c r="FZ18" s="644"/>
      <c r="GA18" s="644"/>
      <c r="GB18" s="9"/>
      <c r="GC18" s="644"/>
      <c r="GD18" s="9" t="s">
        <v>2499</v>
      </c>
      <c r="GE18" s="644"/>
      <c r="GF18" s="5" t="s">
        <v>504</v>
      </c>
      <c r="GG18" s="644"/>
      <c r="GH18" s="9" t="s">
        <v>2008</v>
      </c>
      <c r="GI18" s="644"/>
      <c r="GJ18" s="780" t="s">
        <v>1669</v>
      </c>
      <c r="GK18" s="644"/>
      <c r="GL18" s="9"/>
      <c r="GM18" s="644"/>
      <c r="GN18" s="9"/>
      <c r="GO18" s="644"/>
      <c r="GP18" s="9"/>
      <c r="GQ18" s="644"/>
      <c r="GR18" s="9"/>
      <c r="GS18" s="644"/>
      <c r="GT18" s="23" t="s">
        <v>2077</v>
      </c>
      <c r="GU18" s="644"/>
      <c r="GV18" s="660" t="s">
        <v>1887</v>
      </c>
      <c r="GW18" s="644"/>
      <c r="GX18" s="23" t="s">
        <v>1905</v>
      </c>
      <c r="GY18" s="644"/>
      <c r="GZ18" s="23" t="s">
        <v>1887</v>
      </c>
      <c r="HA18" s="644"/>
      <c r="HB18" s="5" t="s">
        <v>465</v>
      </c>
      <c r="HC18" s="644"/>
      <c r="HD18" s="9" t="s">
        <v>1822</v>
      </c>
      <c r="HE18" s="644"/>
      <c r="HF18" s="9"/>
      <c r="HG18" s="644"/>
      <c r="HH18" s="9" t="s">
        <v>465</v>
      </c>
      <c r="HI18" s="644"/>
      <c r="HJ18" s="644"/>
      <c r="HK18" s="644"/>
      <c r="HL18" s="9"/>
      <c r="HM18" s="644"/>
      <c r="HN18" s="9" t="s">
        <v>465</v>
      </c>
      <c r="HO18" s="644"/>
      <c r="HP18" s="9"/>
      <c r="HQ18" s="644"/>
      <c r="HR18" s="9"/>
      <c r="HS18" s="644"/>
      <c r="HT18" s="656" t="s">
        <v>702</v>
      </c>
      <c r="HU18" s="644"/>
      <c r="HV18" s="9" t="s">
        <v>701</v>
      </c>
      <c r="HW18" s="644"/>
      <c r="HX18" s="9"/>
      <c r="HY18" s="644"/>
      <c r="HZ18" s="9"/>
      <c r="IA18" s="644"/>
      <c r="IB18" s="644"/>
      <c r="IC18" s="644"/>
      <c r="ID18" s="9"/>
      <c r="IE18" s="644"/>
      <c r="IF18" s="9"/>
      <c r="IG18" s="756"/>
      <c r="IH18" s="9"/>
      <c r="II18" s="644"/>
      <c r="IJ18" s="644"/>
      <c r="IK18" s="644"/>
      <c r="IL18" s="633" t="s">
        <v>465</v>
      </c>
      <c r="IM18" s="644"/>
      <c r="IN18" s="634" t="s">
        <v>465</v>
      </c>
      <c r="IO18" s="644"/>
      <c r="IP18" s="9"/>
      <c r="IQ18" s="644"/>
      <c r="IR18" s="9"/>
      <c r="IS18" s="644"/>
      <c r="IT18" s="650" t="s">
        <v>1070</v>
      </c>
      <c r="IU18" s="644"/>
      <c r="IV18" s="9" t="s">
        <v>465</v>
      </c>
      <c r="IW18" s="644"/>
      <c r="IX18" s="632" t="s">
        <v>1104</v>
      </c>
      <c r="IY18" s="644"/>
      <c r="IZ18" s="9" t="s">
        <v>504</v>
      </c>
      <c r="JA18" s="644"/>
      <c r="JB18" s="9"/>
      <c r="JC18" s="644"/>
      <c r="JD18" s="9" t="s">
        <v>465</v>
      </c>
      <c r="JE18" s="644"/>
      <c r="JF18" s="644"/>
      <c r="JG18" s="644"/>
      <c r="JH18" s="9"/>
      <c r="JI18" s="644"/>
      <c r="JJ18" s="644"/>
      <c r="JK18" s="644"/>
      <c r="JL18" s="644"/>
      <c r="JM18" s="644"/>
      <c r="JN18" s="9" t="s">
        <v>504</v>
      </c>
      <c r="JO18" s="644"/>
      <c r="JP18" s="644"/>
      <c r="JQ18" s="644"/>
      <c r="JR18" s="654" t="s">
        <v>1042</v>
      </c>
      <c r="JS18" s="644"/>
      <c r="JT18" s="9" t="s">
        <v>1122</v>
      </c>
      <c r="JU18" s="644"/>
      <c r="JV18" s="9"/>
      <c r="JW18" s="644"/>
      <c r="JX18" s="9" t="s">
        <v>703</v>
      </c>
      <c r="JY18" s="644"/>
    </row>
    <row r="19" spans="1:285" ht="48.95" customHeight="1" x14ac:dyDescent="0.2">
      <c r="A19" s="1565"/>
      <c r="B19" s="1580"/>
      <c r="C19" s="1575" t="s">
        <v>248</v>
      </c>
      <c r="D19" s="1554" t="s">
        <v>228</v>
      </c>
      <c r="E19" s="755" t="s">
        <v>48</v>
      </c>
      <c r="F19" s="9" t="s">
        <v>1648</v>
      </c>
      <c r="G19" s="756"/>
      <c r="H19" s="9" t="s">
        <v>2246</v>
      </c>
      <c r="I19" s="644"/>
      <c r="J19" s="9" t="s">
        <v>465</v>
      </c>
      <c r="K19" s="644"/>
      <c r="L19" s="23" t="s">
        <v>465</v>
      </c>
      <c r="M19" s="644"/>
      <c r="N19" s="757" t="s">
        <v>466</v>
      </c>
      <c r="O19" s="644"/>
      <c r="P19" s="84" t="s">
        <v>496</v>
      </c>
      <c r="Q19" s="644"/>
      <c r="R19" s="9" t="s">
        <v>517</v>
      </c>
      <c r="S19" s="644"/>
      <c r="T19" s="644"/>
      <c r="U19" s="644"/>
      <c r="V19" s="644"/>
      <c r="W19" s="644"/>
      <c r="X19" s="644"/>
      <c r="Y19" s="644"/>
      <c r="Z19" s="9" t="s">
        <v>465</v>
      </c>
      <c r="AA19" s="644"/>
      <c r="AB19" s="9" t="s">
        <v>2323</v>
      </c>
      <c r="AC19" s="644"/>
      <c r="AD19" s="9" t="s">
        <v>465</v>
      </c>
      <c r="AE19" s="644"/>
      <c r="AF19" s="644"/>
      <c r="AG19" s="644"/>
      <c r="AH19" s="644"/>
      <c r="AI19" s="644"/>
      <c r="AJ19" s="84" t="s">
        <v>646</v>
      </c>
      <c r="AK19" s="644"/>
      <c r="AL19" s="9" t="s">
        <v>504</v>
      </c>
      <c r="AM19" s="644"/>
      <c r="AN19" s="9"/>
      <c r="AO19" s="644"/>
      <c r="AP19" s="9" t="s">
        <v>992</v>
      </c>
      <c r="AQ19" s="644"/>
      <c r="AR19" s="9"/>
      <c r="AS19" s="644"/>
      <c r="AT19" s="9" t="s">
        <v>594</v>
      </c>
      <c r="AU19" s="644"/>
      <c r="AV19" s="757"/>
      <c r="AW19" s="644"/>
      <c r="AX19" s="5" t="s">
        <v>535</v>
      </c>
      <c r="AY19" s="644"/>
      <c r="AZ19" s="9" t="s">
        <v>556</v>
      </c>
      <c r="BA19" s="644"/>
      <c r="BB19" s="644"/>
      <c r="BC19" s="644"/>
      <c r="BD19" s="5"/>
      <c r="BE19" s="644"/>
      <c r="BF19" s="9"/>
      <c r="BG19" s="644"/>
      <c r="BH19" s="644"/>
      <c r="BI19" s="644"/>
      <c r="BJ19" s="9" t="s">
        <v>465</v>
      </c>
      <c r="BK19" s="644"/>
      <c r="BL19" s="9"/>
      <c r="BM19" s="644"/>
      <c r="BN19" s="9" t="s">
        <v>2180</v>
      </c>
      <c r="BO19" s="644"/>
      <c r="BP19" s="632" t="s">
        <v>1972</v>
      </c>
      <c r="BQ19" s="644"/>
      <c r="BR19" s="9" t="s">
        <v>963</v>
      </c>
      <c r="BS19" s="644"/>
      <c r="BT19" s="9" t="s">
        <v>504</v>
      </c>
      <c r="BU19" s="644"/>
      <c r="BV19" s="9"/>
      <c r="BW19" s="644"/>
      <c r="BX19" s="9"/>
      <c r="BY19" s="644"/>
      <c r="BZ19" s="9" t="s">
        <v>2166</v>
      </c>
      <c r="CA19" s="644"/>
      <c r="CB19" s="9" t="s">
        <v>899</v>
      </c>
      <c r="CC19" s="644"/>
      <c r="CD19" s="644"/>
      <c r="CE19" s="644"/>
      <c r="CF19" s="644"/>
      <c r="CG19" s="644"/>
      <c r="CH19" s="632" t="s">
        <v>2110</v>
      </c>
      <c r="CI19" s="9"/>
      <c r="CJ19" s="9" t="s">
        <v>2133</v>
      </c>
      <c r="CK19" s="9"/>
      <c r="CL19" s="5" t="s">
        <v>619</v>
      </c>
      <c r="CM19" s="644"/>
      <c r="CN19" s="9" t="s">
        <v>2404</v>
      </c>
      <c r="CO19" s="644"/>
      <c r="CP19" s="5" t="s">
        <v>2423</v>
      </c>
      <c r="CQ19" s="644"/>
      <c r="CR19" s="9"/>
      <c r="CS19" s="644"/>
      <c r="CT19" s="5" t="s">
        <v>2212</v>
      </c>
      <c r="CU19" s="644"/>
      <c r="CV19" s="9" t="s">
        <v>465</v>
      </c>
      <c r="CW19" s="644"/>
      <c r="CX19" s="9" t="s">
        <v>834</v>
      </c>
      <c r="CY19" s="644"/>
      <c r="CZ19" s="9" t="s">
        <v>850</v>
      </c>
      <c r="DA19" s="644"/>
      <c r="DB19" s="9" t="s">
        <v>465</v>
      </c>
      <c r="DC19" s="644"/>
      <c r="DD19" s="659" t="s">
        <v>2471</v>
      </c>
      <c r="DE19" s="644"/>
      <c r="DF19" s="644"/>
      <c r="DG19" s="644"/>
      <c r="DH19" s="9"/>
      <c r="DI19" s="644"/>
      <c r="DJ19" s="758"/>
      <c r="DK19" s="644"/>
      <c r="DL19" s="644"/>
      <c r="DM19" s="644"/>
      <c r="DN19" s="9" t="s">
        <v>1141</v>
      </c>
      <c r="DO19" s="644"/>
      <c r="DP19" s="644"/>
      <c r="DQ19" s="644"/>
      <c r="DR19" s="644"/>
      <c r="DS19" s="644"/>
      <c r="DT19" s="644"/>
      <c r="DU19" s="644"/>
      <c r="DV19" s="9" t="s">
        <v>1161</v>
      </c>
      <c r="DW19" s="644"/>
      <c r="DX19" s="9" t="s">
        <v>1187</v>
      </c>
      <c r="DY19" s="644"/>
      <c r="DZ19" s="5" t="s">
        <v>465</v>
      </c>
      <c r="EA19" s="644"/>
      <c r="EB19" s="644"/>
      <c r="EC19" s="644"/>
      <c r="ED19" s="644"/>
      <c r="EE19" s="644"/>
      <c r="EF19" s="9" t="s">
        <v>504</v>
      </c>
      <c r="EG19" s="644"/>
      <c r="EH19" s="9" t="s">
        <v>504</v>
      </c>
      <c r="EI19" s="644"/>
      <c r="EJ19" s="644"/>
      <c r="EK19" s="644"/>
      <c r="EL19" s="644"/>
      <c r="EM19" s="644"/>
      <c r="EN19" s="9" t="s">
        <v>1429</v>
      </c>
      <c r="EO19" s="644"/>
      <c r="EP19" s="9" t="s">
        <v>504</v>
      </c>
      <c r="EQ19" s="644"/>
      <c r="ER19" s="644"/>
      <c r="ES19" s="644"/>
      <c r="ET19" s="9" t="s">
        <v>1445</v>
      </c>
      <c r="EU19" s="644"/>
      <c r="EV19" s="9" t="s">
        <v>1464</v>
      </c>
      <c r="EW19" s="644"/>
      <c r="EX19" s="5" t="s">
        <v>1483</v>
      </c>
      <c r="EY19" s="644"/>
      <c r="EZ19" s="9"/>
      <c r="FA19" s="644"/>
      <c r="FB19" s="9"/>
      <c r="FC19" s="644"/>
      <c r="FD19" s="5" t="s">
        <v>1483</v>
      </c>
      <c r="FE19" s="644"/>
      <c r="FF19" s="9" t="s">
        <v>1483</v>
      </c>
      <c r="FG19" s="644"/>
      <c r="FH19" s="5" t="s">
        <v>1567</v>
      </c>
      <c r="FI19" s="644"/>
      <c r="FJ19" s="9"/>
      <c r="FK19" s="644"/>
      <c r="FL19" s="780" t="s">
        <v>504</v>
      </c>
      <c r="FM19" s="644"/>
      <c r="FN19" s="9" t="s">
        <v>1617</v>
      </c>
      <c r="FO19" s="644"/>
      <c r="FP19" s="9" t="s">
        <v>667</v>
      </c>
      <c r="FQ19" s="644"/>
      <c r="FR19" s="644"/>
      <c r="FS19" s="644"/>
      <c r="FT19" s="644"/>
      <c r="FU19" s="644"/>
      <c r="FV19" s="644"/>
      <c r="FW19" s="644"/>
      <c r="FX19" s="5" t="s">
        <v>465</v>
      </c>
      <c r="FY19" s="644"/>
      <c r="FZ19" s="644"/>
      <c r="GA19" s="644"/>
      <c r="GB19" s="9"/>
      <c r="GC19" s="644"/>
      <c r="GD19" s="9" t="s">
        <v>2504</v>
      </c>
      <c r="GE19" s="644"/>
      <c r="GF19" s="5" t="s">
        <v>1988</v>
      </c>
      <c r="GG19" s="644"/>
      <c r="GH19" s="9" t="s">
        <v>2010</v>
      </c>
      <c r="GI19" s="644"/>
      <c r="GJ19" s="780" t="s">
        <v>1674</v>
      </c>
      <c r="GK19" s="644"/>
      <c r="GL19" s="9" t="s">
        <v>504</v>
      </c>
      <c r="GM19" s="644"/>
      <c r="GN19" s="9" t="s">
        <v>504</v>
      </c>
      <c r="GO19" s="644"/>
      <c r="GP19" s="9"/>
      <c r="GQ19" s="644"/>
      <c r="GR19" s="9" t="s">
        <v>1942</v>
      </c>
      <c r="GS19" s="644"/>
      <c r="GT19" s="9" t="s">
        <v>2079</v>
      </c>
      <c r="GU19" s="644"/>
      <c r="GV19" s="5" t="s">
        <v>504</v>
      </c>
      <c r="GW19" s="644"/>
      <c r="GX19" s="9" t="s">
        <v>504</v>
      </c>
      <c r="GY19" s="644"/>
      <c r="GZ19" s="5" t="s">
        <v>504</v>
      </c>
      <c r="HA19" s="644"/>
      <c r="HB19" s="5" t="s">
        <v>1799</v>
      </c>
      <c r="HC19" s="644"/>
      <c r="HD19" s="9" t="s">
        <v>1824</v>
      </c>
      <c r="HE19" s="644"/>
      <c r="HF19" s="9"/>
      <c r="HG19" s="644"/>
      <c r="HH19" s="9" t="s">
        <v>465</v>
      </c>
      <c r="HI19" s="644"/>
      <c r="HJ19" s="644"/>
      <c r="HK19" s="644"/>
      <c r="HL19" s="9" t="s">
        <v>504</v>
      </c>
      <c r="HM19" s="644"/>
      <c r="HN19" s="5" t="s">
        <v>1772</v>
      </c>
      <c r="HO19" s="644"/>
      <c r="HP19" s="9"/>
      <c r="HQ19" s="644"/>
      <c r="HR19" s="9"/>
      <c r="HS19" s="644"/>
      <c r="HT19" s="656" t="s">
        <v>702</v>
      </c>
      <c r="HU19" s="644"/>
      <c r="HV19" s="9" t="s">
        <v>701</v>
      </c>
      <c r="HW19" s="644"/>
      <c r="HX19" s="9" t="s">
        <v>2180</v>
      </c>
      <c r="HY19" s="644"/>
      <c r="HZ19" s="9" t="s">
        <v>2196</v>
      </c>
      <c r="IA19" s="644"/>
      <c r="IB19" s="644"/>
      <c r="IC19" s="644"/>
      <c r="ID19" s="9" t="s">
        <v>1223</v>
      </c>
      <c r="IE19" s="644"/>
      <c r="IF19" s="9" t="s">
        <v>2560</v>
      </c>
      <c r="IG19" s="20"/>
      <c r="IH19" s="9" t="s">
        <v>1321</v>
      </c>
      <c r="II19" s="644"/>
      <c r="IJ19" s="644"/>
      <c r="IK19" s="644"/>
      <c r="IL19" s="633" t="s">
        <v>465</v>
      </c>
      <c r="IM19" s="644"/>
      <c r="IN19" s="634" t="s">
        <v>1353</v>
      </c>
      <c r="IO19" s="644"/>
      <c r="IP19" s="5" t="s">
        <v>737</v>
      </c>
      <c r="IQ19" s="644"/>
      <c r="IR19" s="5" t="s">
        <v>765</v>
      </c>
      <c r="IS19" s="644"/>
      <c r="IT19" s="20" t="s">
        <v>1071</v>
      </c>
      <c r="IU19" s="644"/>
      <c r="IV19" s="9" t="s">
        <v>465</v>
      </c>
      <c r="IW19" s="644"/>
      <c r="IX19" s="632" t="s">
        <v>1104</v>
      </c>
      <c r="IY19" s="644"/>
      <c r="IZ19" s="9" t="s">
        <v>1371</v>
      </c>
      <c r="JA19" s="644"/>
      <c r="JB19" s="9"/>
      <c r="JC19" s="644"/>
      <c r="JD19" s="9" t="s">
        <v>465</v>
      </c>
      <c r="JE19" s="644"/>
      <c r="JF19" s="644"/>
      <c r="JG19" s="644"/>
      <c r="JH19" s="9" t="s">
        <v>504</v>
      </c>
      <c r="JI19" s="644"/>
      <c r="JJ19" s="644"/>
      <c r="JK19" s="644"/>
      <c r="JL19" s="644"/>
      <c r="JM19" s="644"/>
      <c r="JN19" s="9" t="s">
        <v>2480</v>
      </c>
      <c r="JO19" s="644"/>
      <c r="JP19" s="644"/>
      <c r="JQ19" s="644"/>
      <c r="JR19" s="20" t="s">
        <v>1043</v>
      </c>
      <c r="JS19" s="644"/>
      <c r="JT19" s="9" t="s">
        <v>1124</v>
      </c>
      <c r="JU19" s="644"/>
      <c r="JV19" s="9"/>
      <c r="JW19" s="644"/>
      <c r="JX19" s="22" t="s">
        <v>699</v>
      </c>
      <c r="JY19" s="644"/>
    </row>
    <row r="20" spans="1:285" ht="44.1" customHeight="1" thickBot="1" x14ac:dyDescent="0.25">
      <c r="A20" s="1568"/>
      <c r="B20" s="1579"/>
      <c r="C20" s="1576"/>
      <c r="D20" s="1549"/>
      <c r="E20" s="755" t="s">
        <v>50</v>
      </c>
      <c r="F20" s="9" t="s">
        <v>1649</v>
      </c>
      <c r="G20" s="756"/>
      <c r="H20" s="23" t="s">
        <v>2247</v>
      </c>
      <c r="I20" s="644"/>
      <c r="J20" s="23" t="s">
        <v>465</v>
      </c>
      <c r="K20" s="644"/>
      <c r="L20" s="23" t="s">
        <v>465</v>
      </c>
      <c r="M20" s="644"/>
      <c r="N20" s="757" t="s">
        <v>467</v>
      </c>
      <c r="O20" s="644"/>
      <c r="P20" s="84" t="s">
        <v>494</v>
      </c>
      <c r="Q20" s="644"/>
      <c r="R20" s="9" t="s">
        <v>516</v>
      </c>
      <c r="S20" s="644"/>
      <c r="T20" s="644"/>
      <c r="U20" s="644"/>
      <c r="V20" s="644"/>
      <c r="W20" s="644"/>
      <c r="X20" s="644"/>
      <c r="Y20" s="644"/>
      <c r="Z20" s="9" t="s">
        <v>465</v>
      </c>
      <c r="AA20" s="644"/>
      <c r="AB20" s="23" t="s">
        <v>2324</v>
      </c>
      <c r="AC20" s="644"/>
      <c r="AD20" s="9" t="s">
        <v>465</v>
      </c>
      <c r="AE20" s="644"/>
      <c r="AF20" s="644"/>
      <c r="AG20" s="644"/>
      <c r="AH20" s="644"/>
      <c r="AI20" s="644"/>
      <c r="AJ20" s="84" t="s">
        <v>647</v>
      </c>
      <c r="AK20" s="644"/>
      <c r="AL20" s="9"/>
      <c r="AM20" s="644"/>
      <c r="AN20" s="9"/>
      <c r="AO20" s="644"/>
      <c r="AP20" s="23" t="s">
        <v>991</v>
      </c>
      <c r="AQ20" s="644"/>
      <c r="AR20" s="9"/>
      <c r="AS20" s="644"/>
      <c r="AT20" s="23" t="s">
        <v>595</v>
      </c>
      <c r="AU20" s="644"/>
      <c r="AV20" s="757"/>
      <c r="AW20" s="644"/>
      <c r="AX20" s="23" t="s">
        <v>536</v>
      </c>
      <c r="AY20" s="644"/>
      <c r="AZ20" s="23" t="s">
        <v>557</v>
      </c>
      <c r="BA20" s="644"/>
      <c r="BB20" s="644"/>
      <c r="BC20" s="644"/>
      <c r="BD20" s="5"/>
      <c r="BE20" s="644"/>
      <c r="BF20" s="9"/>
      <c r="BG20" s="644"/>
      <c r="BH20" s="644"/>
      <c r="BI20" s="644"/>
      <c r="BJ20" s="9" t="s">
        <v>465</v>
      </c>
      <c r="BK20" s="644"/>
      <c r="BL20" s="9"/>
      <c r="BM20" s="644"/>
      <c r="BN20" s="9" t="s">
        <v>2181</v>
      </c>
      <c r="BO20" s="644"/>
      <c r="BP20" s="9"/>
      <c r="BQ20" s="644"/>
      <c r="BR20" s="23" t="s">
        <v>964</v>
      </c>
      <c r="BS20" s="644"/>
      <c r="BT20" s="9"/>
      <c r="BU20" s="644"/>
      <c r="BV20" s="9"/>
      <c r="BW20" s="644"/>
      <c r="BX20" s="650"/>
      <c r="BY20" s="644"/>
      <c r="BZ20" s="650" t="s">
        <v>2165</v>
      </c>
      <c r="CA20" s="644"/>
      <c r="CB20" s="783" t="s">
        <v>900</v>
      </c>
      <c r="CC20" s="644"/>
      <c r="CD20" s="644"/>
      <c r="CE20" s="644"/>
      <c r="CF20" s="644"/>
      <c r="CG20" s="644"/>
      <c r="CH20" s="661" t="s">
        <v>2111</v>
      </c>
      <c r="CI20" s="9"/>
      <c r="CJ20" s="662" t="s">
        <v>2134</v>
      </c>
      <c r="CK20" s="754"/>
      <c r="CL20" s="5" t="s">
        <v>620</v>
      </c>
      <c r="CM20" s="644"/>
      <c r="CN20" s="23" t="s">
        <v>2405</v>
      </c>
      <c r="CO20" s="644"/>
      <c r="CP20" s="34" t="s">
        <v>2424</v>
      </c>
      <c r="CQ20" s="644"/>
      <c r="CR20" s="9"/>
      <c r="CS20" s="644"/>
      <c r="CT20" s="9" t="s">
        <v>2213</v>
      </c>
      <c r="CU20" s="644"/>
      <c r="CV20" s="9" t="s">
        <v>465</v>
      </c>
      <c r="CW20" s="644"/>
      <c r="CX20" s="26" t="s">
        <v>835</v>
      </c>
      <c r="CY20" s="644"/>
      <c r="CZ20" s="23" t="s">
        <v>835</v>
      </c>
      <c r="DA20" s="644"/>
      <c r="DB20" s="9" t="s">
        <v>465</v>
      </c>
      <c r="DC20" s="644"/>
      <c r="DD20" s="659" t="s">
        <v>2472</v>
      </c>
      <c r="DE20" s="644"/>
      <c r="DF20" s="644"/>
      <c r="DG20" s="644"/>
      <c r="DH20" s="9"/>
      <c r="DI20" s="644"/>
      <c r="DJ20" s="758"/>
      <c r="DK20" s="644"/>
      <c r="DL20" s="644"/>
      <c r="DM20" s="644"/>
      <c r="DN20" s="23" t="s">
        <v>1142</v>
      </c>
      <c r="DO20" s="644"/>
      <c r="DP20" s="644"/>
      <c r="DQ20" s="644"/>
      <c r="DR20" s="644"/>
      <c r="DS20" s="644"/>
      <c r="DT20" s="644"/>
      <c r="DU20" s="644"/>
      <c r="DV20" s="8" t="s">
        <v>1162</v>
      </c>
      <c r="DW20" s="644"/>
      <c r="DX20" s="8" t="s">
        <v>1195</v>
      </c>
      <c r="DY20" s="644"/>
      <c r="DZ20" s="9" t="s">
        <v>465</v>
      </c>
      <c r="EA20" s="644"/>
      <c r="EB20" s="644"/>
      <c r="EC20" s="644"/>
      <c r="ED20" s="644"/>
      <c r="EE20" s="644"/>
      <c r="EF20" s="9" t="s">
        <v>504</v>
      </c>
      <c r="EG20" s="644"/>
      <c r="EH20" s="9" t="s">
        <v>504</v>
      </c>
      <c r="EI20" s="644"/>
      <c r="EJ20" s="644"/>
      <c r="EK20" s="644"/>
      <c r="EL20" s="644"/>
      <c r="EM20" s="644"/>
      <c r="EN20" s="23" t="s">
        <v>1430</v>
      </c>
      <c r="EO20" s="644"/>
      <c r="EP20" s="9" t="s">
        <v>219</v>
      </c>
      <c r="EQ20" s="644"/>
      <c r="ER20" s="644"/>
      <c r="ES20" s="644"/>
      <c r="ET20" s="23" t="s">
        <v>1446</v>
      </c>
      <c r="EU20" s="644"/>
      <c r="EV20" s="23" t="s">
        <v>1465</v>
      </c>
      <c r="EW20" s="644"/>
      <c r="EX20" s="23" t="s">
        <v>1484</v>
      </c>
      <c r="EY20" s="644"/>
      <c r="EZ20" s="9"/>
      <c r="FA20" s="644"/>
      <c r="FB20" s="9"/>
      <c r="FC20" s="644"/>
      <c r="FD20" s="23" t="s">
        <v>1484</v>
      </c>
      <c r="FE20" s="644"/>
      <c r="FF20" s="23" t="s">
        <v>1542</v>
      </c>
      <c r="FG20" s="644"/>
      <c r="FH20" s="23" t="s">
        <v>1542</v>
      </c>
      <c r="FI20" s="644"/>
      <c r="FJ20" s="9"/>
      <c r="FK20" s="644"/>
      <c r="FL20" s="780" t="s">
        <v>504</v>
      </c>
      <c r="FM20" s="644"/>
      <c r="FN20" s="650" t="s">
        <v>1618</v>
      </c>
      <c r="FO20" s="644"/>
      <c r="FP20" s="23" t="s">
        <v>668</v>
      </c>
      <c r="FQ20" s="644"/>
      <c r="FR20" s="644"/>
      <c r="FS20" s="644"/>
      <c r="FT20" s="644"/>
      <c r="FU20" s="644"/>
      <c r="FV20" s="644"/>
      <c r="FW20" s="644"/>
      <c r="FX20" s="5" t="s">
        <v>465</v>
      </c>
      <c r="FY20" s="644"/>
      <c r="FZ20" s="644"/>
      <c r="GA20" s="644"/>
      <c r="GB20" s="9"/>
      <c r="GC20" s="644"/>
      <c r="GD20" s="23" t="s">
        <v>2505</v>
      </c>
      <c r="GE20" s="644"/>
      <c r="GF20" s="23" t="s">
        <v>1989</v>
      </c>
      <c r="GG20" s="644"/>
      <c r="GH20" s="23" t="s">
        <v>2011</v>
      </c>
      <c r="GI20" s="644"/>
      <c r="GJ20" s="780" t="s">
        <v>1669</v>
      </c>
      <c r="GK20" s="644"/>
      <c r="GL20" s="9"/>
      <c r="GM20" s="644"/>
      <c r="GN20" s="9"/>
      <c r="GO20" s="644"/>
      <c r="GP20" s="9"/>
      <c r="GQ20" s="644"/>
      <c r="GR20" s="8" t="s">
        <v>1943</v>
      </c>
      <c r="GS20" s="644"/>
      <c r="GT20" s="23" t="s">
        <v>2077</v>
      </c>
      <c r="GU20" s="644"/>
      <c r="GV20" s="9"/>
      <c r="GW20" s="644"/>
      <c r="GX20" s="9"/>
      <c r="GY20" s="644"/>
      <c r="GZ20" s="9"/>
      <c r="HA20" s="644"/>
      <c r="HB20" s="650" t="s">
        <v>1800</v>
      </c>
      <c r="HC20" s="644"/>
      <c r="HD20" s="9" t="s">
        <v>1825</v>
      </c>
      <c r="HE20" s="644"/>
      <c r="HF20" s="9"/>
      <c r="HG20" s="644"/>
      <c r="HH20" s="9" t="s">
        <v>465</v>
      </c>
      <c r="HI20" s="644"/>
      <c r="HJ20" s="644"/>
      <c r="HK20" s="644"/>
      <c r="HL20" s="9"/>
      <c r="HM20" s="644"/>
      <c r="HN20" s="5" t="s">
        <v>1770</v>
      </c>
      <c r="HO20" s="644"/>
      <c r="HP20" s="9"/>
      <c r="HQ20" s="644"/>
      <c r="HR20" s="9"/>
      <c r="HS20" s="644"/>
      <c r="HT20" s="656" t="s">
        <v>702</v>
      </c>
      <c r="HU20" s="644"/>
      <c r="HV20" s="9" t="s">
        <v>701</v>
      </c>
      <c r="HW20" s="644"/>
      <c r="HX20" s="9" t="s">
        <v>2181</v>
      </c>
      <c r="HY20" s="644"/>
      <c r="HZ20" s="23" t="s">
        <v>2197</v>
      </c>
      <c r="IA20" s="644"/>
      <c r="IB20" s="644"/>
      <c r="IC20" s="644"/>
      <c r="ID20" s="9"/>
      <c r="IE20" s="644"/>
      <c r="IF20" s="9" t="s">
        <v>1248</v>
      </c>
      <c r="IG20" s="756"/>
      <c r="IH20" s="23" t="s">
        <v>1322</v>
      </c>
      <c r="II20" s="644"/>
      <c r="IJ20" s="644"/>
      <c r="IK20" s="644"/>
      <c r="IL20" s="633" t="s">
        <v>465</v>
      </c>
      <c r="IM20" s="644"/>
      <c r="IN20" s="634" t="s">
        <v>1354</v>
      </c>
      <c r="IO20" s="644"/>
      <c r="IP20" s="650" t="s">
        <v>738</v>
      </c>
      <c r="IQ20" s="644"/>
      <c r="IR20" s="650" t="s">
        <v>766</v>
      </c>
      <c r="IS20" s="644"/>
      <c r="IT20" s="650" t="s">
        <v>1088</v>
      </c>
      <c r="IU20" s="644"/>
      <c r="IV20" s="9" t="s">
        <v>465</v>
      </c>
      <c r="IW20" s="644"/>
      <c r="IX20" s="632" t="s">
        <v>1104</v>
      </c>
      <c r="IY20" s="644"/>
      <c r="IZ20" s="23" t="s">
        <v>1372</v>
      </c>
      <c r="JA20" s="644"/>
      <c r="JB20" s="9"/>
      <c r="JC20" s="644"/>
      <c r="JD20" s="9" t="s">
        <v>465</v>
      </c>
      <c r="JE20" s="644"/>
      <c r="JF20" s="644"/>
      <c r="JG20" s="644"/>
      <c r="JH20" s="9"/>
      <c r="JI20" s="644"/>
      <c r="JJ20" s="644"/>
      <c r="JK20" s="644"/>
      <c r="JL20" s="644"/>
      <c r="JM20" s="644"/>
      <c r="JN20" s="650" t="s">
        <v>2485</v>
      </c>
      <c r="JO20" s="644"/>
      <c r="JP20" s="644"/>
      <c r="JQ20" s="644"/>
      <c r="JR20" s="654" t="s">
        <v>1038</v>
      </c>
      <c r="JS20" s="644"/>
      <c r="JT20" s="9" t="s">
        <v>1125</v>
      </c>
      <c r="JU20" s="644"/>
      <c r="JV20" s="9"/>
      <c r="JW20" s="644"/>
      <c r="JX20" s="23" t="s">
        <v>700</v>
      </c>
      <c r="JY20" s="644"/>
    </row>
    <row r="21" spans="1:285" ht="44.1" customHeight="1" thickBot="1" x14ac:dyDescent="0.25">
      <c r="A21" s="43"/>
      <c r="B21" s="63"/>
      <c r="C21" s="1538" t="s">
        <v>79</v>
      </c>
      <c r="D21" s="1540" t="s">
        <v>2551</v>
      </c>
      <c r="E21" s="755" t="s">
        <v>48</v>
      </c>
      <c r="F21" s="9"/>
      <c r="G21" s="756"/>
      <c r="H21" s="23"/>
      <c r="I21" s="644"/>
      <c r="J21" s="23"/>
      <c r="K21" s="644"/>
      <c r="L21" s="23"/>
      <c r="M21" s="644"/>
      <c r="N21" s="757"/>
      <c r="O21" s="644"/>
      <c r="P21" s="84"/>
      <c r="Q21" s="644"/>
      <c r="R21" s="9"/>
      <c r="S21" s="644"/>
      <c r="T21" s="644"/>
      <c r="U21" s="644"/>
      <c r="V21" s="644"/>
      <c r="W21" s="644"/>
      <c r="X21" s="644"/>
      <c r="Y21" s="644"/>
      <c r="Z21" s="9"/>
      <c r="AA21" s="644"/>
      <c r="AB21" s="23"/>
      <c r="AC21" s="644"/>
      <c r="AD21" s="9"/>
      <c r="AE21" s="644"/>
      <c r="AF21" s="644"/>
      <c r="AG21" s="644"/>
      <c r="AH21" s="644"/>
      <c r="AI21" s="644"/>
      <c r="AJ21" s="84"/>
      <c r="AK21" s="644"/>
      <c r="AL21" s="9"/>
      <c r="AM21" s="644"/>
      <c r="AN21" s="9"/>
      <c r="AO21" s="644"/>
      <c r="AP21" s="23"/>
      <c r="AQ21" s="644"/>
      <c r="AR21" s="9"/>
      <c r="AS21" s="644"/>
      <c r="AT21" s="23"/>
      <c r="AU21" s="644"/>
      <c r="AV21" s="757"/>
      <c r="AW21" s="644"/>
      <c r="AX21" s="23"/>
      <c r="AY21" s="644"/>
      <c r="AZ21" s="23"/>
      <c r="BA21" s="644"/>
      <c r="BB21" s="644"/>
      <c r="BC21" s="644"/>
      <c r="BD21" s="5"/>
      <c r="BE21" s="644"/>
      <c r="BF21" s="9"/>
      <c r="BG21" s="644"/>
      <c r="BH21" s="644"/>
      <c r="BI21" s="644"/>
      <c r="BJ21" s="9"/>
      <c r="BK21" s="644"/>
      <c r="BL21" s="9"/>
      <c r="BM21" s="644"/>
      <c r="BN21" s="9"/>
      <c r="BO21" s="644"/>
      <c r="BP21" s="9"/>
      <c r="BQ21" s="644"/>
      <c r="BR21" s="23"/>
      <c r="BS21" s="644"/>
      <c r="BT21" s="9"/>
      <c r="BU21" s="644"/>
      <c r="BV21" s="9"/>
      <c r="BW21" s="644"/>
      <c r="BX21" s="650"/>
      <c r="BY21" s="644"/>
      <c r="BZ21" s="650"/>
      <c r="CA21" s="644"/>
      <c r="CB21" s="783"/>
      <c r="CC21" s="644"/>
      <c r="CD21" s="644"/>
      <c r="CE21" s="644"/>
      <c r="CF21" s="644"/>
      <c r="CG21" s="644"/>
      <c r="CH21" s="661"/>
      <c r="CI21" s="9"/>
      <c r="CJ21" s="662"/>
      <c r="CK21" s="754"/>
      <c r="CL21" s="5"/>
      <c r="CM21" s="644"/>
      <c r="CN21" s="23"/>
      <c r="CO21" s="644"/>
      <c r="CP21" s="34"/>
      <c r="CQ21" s="644"/>
      <c r="CR21" s="9"/>
      <c r="CS21" s="644"/>
      <c r="CT21" s="9"/>
      <c r="CU21" s="644"/>
      <c r="CV21" s="9"/>
      <c r="CW21" s="644"/>
      <c r="CX21" s="26"/>
      <c r="CY21" s="644"/>
      <c r="CZ21" s="23"/>
      <c r="DA21" s="644"/>
      <c r="DB21" s="9"/>
      <c r="DC21" s="644"/>
      <c r="DD21" s="659"/>
      <c r="DE21" s="644"/>
      <c r="DF21" s="644"/>
      <c r="DG21" s="644"/>
      <c r="DH21" s="9"/>
      <c r="DI21" s="644"/>
      <c r="DJ21" s="758"/>
      <c r="DK21" s="644"/>
      <c r="DL21" s="644"/>
      <c r="DM21" s="644"/>
      <c r="DN21" s="23"/>
      <c r="DO21" s="644"/>
      <c r="DP21" s="644"/>
      <c r="DQ21" s="644"/>
      <c r="DR21" s="644"/>
      <c r="DS21" s="644"/>
      <c r="DT21" s="644"/>
      <c r="DU21" s="644"/>
      <c r="DV21" s="8"/>
      <c r="DW21" s="644"/>
      <c r="DX21" s="8"/>
      <c r="DY21" s="644"/>
      <c r="DZ21" s="9"/>
      <c r="EA21" s="644"/>
      <c r="EB21" s="644"/>
      <c r="EC21" s="644"/>
      <c r="ED21" s="644"/>
      <c r="EE21" s="644"/>
      <c r="EF21" s="9"/>
      <c r="EG21" s="644"/>
      <c r="EH21" s="9"/>
      <c r="EI21" s="644"/>
      <c r="EJ21" s="644"/>
      <c r="EK21" s="644"/>
      <c r="EL21" s="644"/>
      <c r="EM21" s="644"/>
      <c r="EN21" s="23"/>
      <c r="EO21" s="644"/>
      <c r="EP21" s="9"/>
      <c r="EQ21" s="644"/>
      <c r="ER21" s="644"/>
      <c r="ES21" s="644"/>
      <c r="ET21" s="23"/>
      <c r="EU21" s="644"/>
      <c r="EV21" s="23"/>
      <c r="EW21" s="644"/>
      <c r="EX21" s="23"/>
      <c r="EY21" s="644"/>
      <c r="EZ21" s="9"/>
      <c r="FA21" s="644"/>
      <c r="FB21" s="9"/>
      <c r="FC21" s="644"/>
      <c r="FD21" s="23"/>
      <c r="FE21" s="644"/>
      <c r="FF21" s="23"/>
      <c r="FG21" s="644"/>
      <c r="FH21" s="23"/>
      <c r="FI21" s="644"/>
      <c r="FJ21" s="9"/>
      <c r="FK21" s="644"/>
      <c r="FL21" s="780"/>
      <c r="FM21" s="644"/>
      <c r="FN21" s="650"/>
      <c r="FO21" s="644"/>
      <c r="FP21" s="23"/>
      <c r="FQ21" s="644"/>
      <c r="FR21" s="644"/>
      <c r="FS21" s="644"/>
      <c r="FT21" s="644"/>
      <c r="FU21" s="644"/>
      <c r="FV21" s="644"/>
      <c r="FW21" s="644"/>
      <c r="FX21" s="5"/>
      <c r="FY21" s="644"/>
      <c r="FZ21" s="644"/>
      <c r="GA21" s="644"/>
      <c r="GB21" s="9"/>
      <c r="GC21" s="644"/>
      <c r="GD21" s="23"/>
      <c r="GE21" s="644"/>
      <c r="GF21" s="23"/>
      <c r="GG21" s="644"/>
      <c r="GH21" s="23"/>
      <c r="GI21" s="644"/>
      <c r="GJ21" s="780"/>
      <c r="GK21" s="644"/>
      <c r="GL21" s="9"/>
      <c r="GM21" s="644"/>
      <c r="GN21" s="9"/>
      <c r="GO21" s="644"/>
      <c r="GP21" s="9"/>
      <c r="GQ21" s="644"/>
      <c r="GR21" s="8"/>
      <c r="GS21" s="644"/>
      <c r="GT21" s="23"/>
      <c r="GU21" s="644"/>
      <c r="GV21" s="9"/>
      <c r="GW21" s="644"/>
      <c r="GX21" s="9"/>
      <c r="GY21" s="644"/>
      <c r="GZ21" s="9"/>
      <c r="HA21" s="644"/>
      <c r="HB21" s="650"/>
      <c r="HC21" s="644"/>
      <c r="HD21" s="9"/>
      <c r="HE21" s="644"/>
      <c r="HF21" s="9"/>
      <c r="HG21" s="644"/>
      <c r="HH21" s="9"/>
      <c r="HI21" s="644"/>
      <c r="HJ21" s="644"/>
      <c r="HK21" s="644"/>
      <c r="HL21" s="9"/>
      <c r="HM21" s="644"/>
      <c r="HN21" s="5"/>
      <c r="HO21" s="644"/>
      <c r="HP21" s="9"/>
      <c r="HQ21" s="644"/>
      <c r="HR21" s="9"/>
      <c r="HS21" s="644"/>
      <c r="HT21" s="656"/>
      <c r="HU21" s="644"/>
      <c r="HV21" s="9"/>
      <c r="HW21" s="644"/>
      <c r="HX21" s="9"/>
      <c r="HY21" s="644"/>
      <c r="HZ21" s="23"/>
      <c r="IA21" s="644"/>
      <c r="IB21" s="644"/>
      <c r="IC21" s="644"/>
      <c r="ID21" s="9"/>
      <c r="IE21" s="644"/>
      <c r="IF21" s="9"/>
      <c r="IG21" s="756"/>
      <c r="IH21" s="23"/>
      <c r="II21" s="644"/>
      <c r="IJ21" s="644"/>
      <c r="IK21" s="644"/>
      <c r="IL21" s="633"/>
      <c r="IM21" s="644"/>
      <c r="IN21" s="634"/>
      <c r="IO21" s="644"/>
      <c r="IP21" s="650"/>
      <c r="IQ21" s="644"/>
      <c r="IR21" s="650"/>
      <c r="IS21" s="644"/>
      <c r="IT21" s="650"/>
      <c r="IU21" s="644"/>
      <c r="IV21" s="9"/>
      <c r="IW21" s="644"/>
      <c r="IX21" s="632"/>
      <c r="IY21" s="644"/>
      <c r="IZ21" s="23"/>
      <c r="JA21" s="644"/>
      <c r="JB21" s="9"/>
      <c r="JC21" s="644"/>
      <c r="JD21" s="9"/>
      <c r="JE21" s="644"/>
      <c r="JF21" s="644"/>
      <c r="JG21" s="644"/>
      <c r="JH21" s="9"/>
      <c r="JI21" s="644"/>
      <c r="JJ21" s="644"/>
      <c r="JK21" s="644"/>
      <c r="JL21" s="644"/>
      <c r="JM21" s="644"/>
      <c r="JN21" s="650"/>
      <c r="JO21" s="644"/>
      <c r="JP21" s="644"/>
      <c r="JQ21" s="644"/>
      <c r="JR21" s="654"/>
      <c r="JS21" s="644"/>
      <c r="JT21" s="9"/>
      <c r="JU21" s="644"/>
      <c r="JV21" s="9"/>
      <c r="JW21" s="644"/>
      <c r="JX21" s="23"/>
      <c r="JY21" s="644"/>
    </row>
    <row r="22" spans="1:285" ht="44.1" customHeight="1" thickBot="1" x14ac:dyDescent="0.25">
      <c r="A22" s="43"/>
      <c r="B22" s="63"/>
      <c r="C22" s="1539"/>
      <c r="D22" s="1541"/>
      <c r="E22" s="755" t="s">
        <v>50</v>
      </c>
      <c r="F22" s="9"/>
      <c r="G22" s="756"/>
      <c r="H22" s="23"/>
      <c r="I22" s="644"/>
      <c r="J22" s="23"/>
      <c r="K22" s="644"/>
      <c r="L22" s="23"/>
      <c r="M22" s="644"/>
      <c r="N22" s="757"/>
      <c r="O22" s="644"/>
      <c r="P22" s="84"/>
      <c r="Q22" s="644"/>
      <c r="R22" s="9"/>
      <c r="S22" s="644"/>
      <c r="T22" s="644"/>
      <c r="U22" s="644"/>
      <c r="V22" s="644"/>
      <c r="W22" s="644"/>
      <c r="X22" s="644"/>
      <c r="Y22" s="644"/>
      <c r="Z22" s="9"/>
      <c r="AA22" s="644"/>
      <c r="AB22" s="23"/>
      <c r="AC22" s="644"/>
      <c r="AD22" s="9"/>
      <c r="AE22" s="644"/>
      <c r="AF22" s="644"/>
      <c r="AG22" s="644"/>
      <c r="AH22" s="644"/>
      <c r="AI22" s="644"/>
      <c r="AJ22" s="84"/>
      <c r="AK22" s="644"/>
      <c r="AL22" s="9"/>
      <c r="AM22" s="644"/>
      <c r="AN22" s="9"/>
      <c r="AO22" s="644"/>
      <c r="AP22" s="23"/>
      <c r="AQ22" s="644"/>
      <c r="AR22" s="9"/>
      <c r="AS22" s="644"/>
      <c r="AT22" s="23"/>
      <c r="AU22" s="644"/>
      <c r="AV22" s="757"/>
      <c r="AW22" s="644"/>
      <c r="AX22" s="23"/>
      <c r="AY22" s="644"/>
      <c r="AZ22" s="23"/>
      <c r="BA22" s="644"/>
      <c r="BB22" s="644"/>
      <c r="BC22" s="644"/>
      <c r="BD22" s="5"/>
      <c r="BE22" s="644"/>
      <c r="BF22" s="9"/>
      <c r="BG22" s="644"/>
      <c r="BH22" s="644"/>
      <c r="BI22" s="644"/>
      <c r="BJ22" s="9"/>
      <c r="BK22" s="644"/>
      <c r="BL22" s="9"/>
      <c r="BM22" s="644"/>
      <c r="BN22" s="9"/>
      <c r="BO22" s="644"/>
      <c r="BP22" s="9"/>
      <c r="BQ22" s="644"/>
      <c r="BR22" s="23"/>
      <c r="BS22" s="644"/>
      <c r="BT22" s="9"/>
      <c r="BU22" s="644"/>
      <c r="BV22" s="9"/>
      <c r="BW22" s="644"/>
      <c r="BX22" s="650"/>
      <c r="BY22" s="644"/>
      <c r="BZ22" s="650"/>
      <c r="CA22" s="644"/>
      <c r="CB22" s="783"/>
      <c r="CC22" s="644"/>
      <c r="CD22" s="644"/>
      <c r="CE22" s="644"/>
      <c r="CF22" s="644"/>
      <c r="CG22" s="644"/>
      <c r="CH22" s="661"/>
      <c r="CI22" s="9"/>
      <c r="CJ22" s="662"/>
      <c r="CK22" s="754"/>
      <c r="CL22" s="5"/>
      <c r="CM22" s="644"/>
      <c r="CN22" s="23"/>
      <c r="CO22" s="644"/>
      <c r="CP22" s="34"/>
      <c r="CQ22" s="644"/>
      <c r="CR22" s="9"/>
      <c r="CS22" s="644"/>
      <c r="CT22" s="9"/>
      <c r="CU22" s="644"/>
      <c r="CV22" s="9"/>
      <c r="CW22" s="644"/>
      <c r="CX22" s="26"/>
      <c r="CY22" s="644"/>
      <c r="CZ22" s="23"/>
      <c r="DA22" s="644"/>
      <c r="DB22" s="9"/>
      <c r="DC22" s="644"/>
      <c r="DD22" s="659"/>
      <c r="DE22" s="644"/>
      <c r="DF22" s="644"/>
      <c r="DG22" s="644"/>
      <c r="DH22" s="9"/>
      <c r="DI22" s="644"/>
      <c r="DJ22" s="758"/>
      <c r="DK22" s="644"/>
      <c r="DL22" s="644"/>
      <c r="DM22" s="644"/>
      <c r="DN22" s="23"/>
      <c r="DO22" s="644"/>
      <c r="DP22" s="644"/>
      <c r="DQ22" s="644"/>
      <c r="DR22" s="644"/>
      <c r="DS22" s="644"/>
      <c r="DT22" s="644"/>
      <c r="DU22" s="644"/>
      <c r="DV22" s="8"/>
      <c r="DW22" s="644"/>
      <c r="DX22" s="8"/>
      <c r="DY22" s="644"/>
      <c r="DZ22" s="9"/>
      <c r="EA22" s="644"/>
      <c r="EB22" s="644"/>
      <c r="EC22" s="644"/>
      <c r="ED22" s="644"/>
      <c r="EE22" s="644"/>
      <c r="EF22" s="9"/>
      <c r="EG22" s="644"/>
      <c r="EH22" s="9"/>
      <c r="EI22" s="644"/>
      <c r="EJ22" s="644"/>
      <c r="EK22" s="644"/>
      <c r="EL22" s="644"/>
      <c r="EM22" s="644"/>
      <c r="EN22" s="23"/>
      <c r="EO22" s="644"/>
      <c r="EP22" s="9"/>
      <c r="EQ22" s="644"/>
      <c r="ER22" s="644"/>
      <c r="ES22" s="644"/>
      <c r="ET22" s="23"/>
      <c r="EU22" s="644"/>
      <c r="EV22" s="23"/>
      <c r="EW22" s="644"/>
      <c r="EX22" s="23"/>
      <c r="EY22" s="644"/>
      <c r="EZ22" s="9"/>
      <c r="FA22" s="644"/>
      <c r="FB22" s="9"/>
      <c r="FC22" s="644"/>
      <c r="FD22" s="23"/>
      <c r="FE22" s="644"/>
      <c r="FF22" s="23"/>
      <c r="FG22" s="644"/>
      <c r="FH22" s="23"/>
      <c r="FI22" s="644"/>
      <c r="FJ22" s="9"/>
      <c r="FK22" s="644"/>
      <c r="FL22" s="780"/>
      <c r="FM22" s="644"/>
      <c r="FN22" s="650"/>
      <c r="FO22" s="644"/>
      <c r="FP22" s="23"/>
      <c r="FQ22" s="644"/>
      <c r="FR22" s="644"/>
      <c r="FS22" s="644"/>
      <c r="FT22" s="644"/>
      <c r="FU22" s="644"/>
      <c r="FV22" s="644"/>
      <c r="FW22" s="644"/>
      <c r="FX22" s="5"/>
      <c r="FY22" s="644"/>
      <c r="FZ22" s="644"/>
      <c r="GA22" s="644"/>
      <c r="GB22" s="9"/>
      <c r="GC22" s="644"/>
      <c r="GD22" s="23"/>
      <c r="GE22" s="644"/>
      <c r="GF22" s="23"/>
      <c r="GG22" s="644"/>
      <c r="GH22" s="23"/>
      <c r="GI22" s="644"/>
      <c r="GJ22" s="780"/>
      <c r="GK22" s="644"/>
      <c r="GL22" s="9"/>
      <c r="GM22" s="644"/>
      <c r="GN22" s="9"/>
      <c r="GO22" s="644"/>
      <c r="GP22" s="9"/>
      <c r="GQ22" s="644"/>
      <c r="GR22" s="8"/>
      <c r="GS22" s="644"/>
      <c r="GT22" s="23"/>
      <c r="GU22" s="644"/>
      <c r="GV22" s="9"/>
      <c r="GW22" s="644"/>
      <c r="GX22" s="9"/>
      <c r="GY22" s="644"/>
      <c r="GZ22" s="9"/>
      <c r="HA22" s="644"/>
      <c r="HB22" s="650"/>
      <c r="HC22" s="644"/>
      <c r="HD22" s="9"/>
      <c r="HE22" s="644"/>
      <c r="HF22" s="9"/>
      <c r="HG22" s="644"/>
      <c r="HH22" s="9"/>
      <c r="HI22" s="644"/>
      <c r="HJ22" s="644"/>
      <c r="HK22" s="644"/>
      <c r="HL22" s="9"/>
      <c r="HM22" s="644"/>
      <c r="HN22" s="5"/>
      <c r="HO22" s="644"/>
      <c r="HP22" s="9"/>
      <c r="HQ22" s="644"/>
      <c r="HR22" s="9"/>
      <c r="HS22" s="644"/>
      <c r="HT22" s="656"/>
      <c r="HU22" s="644"/>
      <c r="HV22" s="9"/>
      <c r="HW22" s="644"/>
      <c r="HX22" s="9"/>
      <c r="HY22" s="644"/>
      <c r="HZ22" s="23"/>
      <c r="IA22" s="644"/>
      <c r="IB22" s="644"/>
      <c r="IC22" s="644"/>
      <c r="ID22" s="9"/>
      <c r="IE22" s="644"/>
      <c r="IF22" s="9"/>
      <c r="IG22" s="756"/>
      <c r="IH22" s="23"/>
      <c r="II22" s="644"/>
      <c r="IJ22" s="644"/>
      <c r="IK22" s="644"/>
      <c r="IL22" s="633"/>
      <c r="IM22" s="644"/>
      <c r="IN22" s="634"/>
      <c r="IO22" s="644"/>
      <c r="IP22" s="650"/>
      <c r="IQ22" s="644"/>
      <c r="IR22" s="650"/>
      <c r="IS22" s="644"/>
      <c r="IT22" s="650"/>
      <c r="IU22" s="644"/>
      <c r="IV22" s="9"/>
      <c r="IW22" s="644"/>
      <c r="IX22" s="632"/>
      <c r="IY22" s="644"/>
      <c r="IZ22" s="23"/>
      <c r="JA22" s="644"/>
      <c r="JB22" s="9"/>
      <c r="JC22" s="644"/>
      <c r="JD22" s="9"/>
      <c r="JE22" s="644"/>
      <c r="JF22" s="644"/>
      <c r="JG22" s="644"/>
      <c r="JH22" s="9"/>
      <c r="JI22" s="644"/>
      <c r="JJ22" s="644"/>
      <c r="JK22" s="644"/>
      <c r="JL22" s="644"/>
      <c r="JM22" s="644"/>
      <c r="JN22" s="650"/>
      <c r="JO22" s="644"/>
      <c r="JP22" s="644"/>
      <c r="JQ22" s="644"/>
      <c r="JR22" s="654"/>
      <c r="JS22" s="644"/>
      <c r="JT22" s="9"/>
      <c r="JU22" s="644"/>
      <c r="JV22" s="9"/>
      <c r="JW22" s="644"/>
      <c r="JX22" s="23"/>
      <c r="JY22" s="644"/>
    </row>
    <row r="23" spans="1:285" ht="42.95" customHeight="1" thickBot="1" x14ac:dyDescent="0.25">
      <c r="A23" s="43" t="s">
        <v>9</v>
      </c>
      <c r="B23" s="60" t="s">
        <v>10</v>
      </c>
      <c r="C23" s="58" t="s">
        <v>81</v>
      </c>
      <c r="D23" s="59" t="s">
        <v>229</v>
      </c>
      <c r="E23" s="755" t="s">
        <v>48</v>
      </c>
      <c r="F23" s="9" t="s">
        <v>1650</v>
      </c>
      <c r="G23" s="756"/>
      <c r="H23" s="9" t="s">
        <v>2248</v>
      </c>
      <c r="I23" s="644"/>
      <c r="J23" s="5" t="s">
        <v>2265</v>
      </c>
      <c r="K23" s="644"/>
      <c r="L23" s="5" t="s">
        <v>2282</v>
      </c>
      <c r="M23" s="644"/>
      <c r="N23" s="757" t="s">
        <v>468</v>
      </c>
      <c r="O23" s="644"/>
      <c r="P23" s="84" t="s">
        <v>497</v>
      </c>
      <c r="Q23" s="644"/>
      <c r="R23" s="5" t="s">
        <v>518</v>
      </c>
      <c r="S23" s="644"/>
      <c r="T23" s="644"/>
      <c r="U23" s="644"/>
      <c r="V23" s="644"/>
      <c r="W23" s="644"/>
      <c r="X23" s="644"/>
      <c r="Y23" s="644"/>
      <c r="Z23" s="5" t="s">
        <v>2297</v>
      </c>
      <c r="AA23" s="644"/>
      <c r="AB23" s="5" t="s">
        <v>2325</v>
      </c>
      <c r="AC23" s="644"/>
      <c r="AD23" s="5" t="s">
        <v>2343</v>
      </c>
      <c r="AE23" s="644"/>
      <c r="AF23" s="644"/>
      <c r="AG23" s="644"/>
      <c r="AH23" s="644"/>
      <c r="AI23" s="644"/>
      <c r="AJ23" s="84" t="s">
        <v>648</v>
      </c>
      <c r="AK23" s="644"/>
      <c r="AL23" s="9" t="s">
        <v>2362</v>
      </c>
      <c r="AM23" s="644"/>
      <c r="AN23" s="9" t="s">
        <v>976</v>
      </c>
      <c r="AO23" s="644"/>
      <c r="AP23" s="9" t="s">
        <v>993</v>
      </c>
      <c r="AQ23" s="644"/>
      <c r="AR23" s="9" t="s">
        <v>1011</v>
      </c>
      <c r="AS23" s="644"/>
      <c r="AT23" s="9" t="s">
        <v>596</v>
      </c>
      <c r="AU23" s="644"/>
      <c r="AV23" s="757" t="s">
        <v>574</v>
      </c>
      <c r="AW23" s="644"/>
      <c r="AX23" s="5" t="s">
        <v>537</v>
      </c>
      <c r="AY23" s="644"/>
      <c r="AZ23" s="5" t="s">
        <v>537</v>
      </c>
      <c r="BA23" s="644"/>
      <c r="BB23" s="644"/>
      <c r="BC23" s="644"/>
      <c r="BD23" s="5" t="s">
        <v>2378</v>
      </c>
      <c r="BE23" s="644"/>
      <c r="BF23" s="9" t="s">
        <v>2389</v>
      </c>
      <c r="BG23" s="644"/>
      <c r="BH23" s="644"/>
      <c r="BI23" s="644"/>
      <c r="BJ23" s="9" t="s">
        <v>789</v>
      </c>
      <c r="BK23" s="644"/>
      <c r="BL23" s="9" t="s">
        <v>1023</v>
      </c>
      <c r="BM23" s="644"/>
      <c r="BN23" s="9" t="s">
        <v>2182</v>
      </c>
      <c r="BO23" s="644"/>
      <c r="BP23" s="632" t="s">
        <v>1973</v>
      </c>
      <c r="BQ23" s="644"/>
      <c r="BR23" s="9" t="s">
        <v>965</v>
      </c>
      <c r="BS23" s="644"/>
      <c r="BT23" s="9" t="s">
        <v>923</v>
      </c>
      <c r="BU23" s="644"/>
      <c r="BV23" s="9" t="s">
        <v>923</v>
      </c>
      <c r="BW23" s="644"/>
      <c r="BX23" s="9" t="s">
        <v>2148</v>
      </c>
      <c r="BY23" s="644"/>
      <c r="BZ23" s="9" t="s">
        <v>2167</v>
      </c>
      <c r="CA23" s="644"/>
      <c r="CB23" s="738" t="s">
        <v>901</v>
      </c>
      <c r="CC23" s="644"/>
      <c r="CD23" s="644"/>
      <c r="CE23" s="644"/>
      <c r="CF23" s="644"/>
      <c r="CG23" s="644"/>
      <c r="CH23" s="632" t="s">
        <v>2112</v>
      </c>
      <c r="CI23" s="9"/>
      <c r="CJ23" s="9" t="s">
        <v>2112</v>
      </c>
      <c r="CK23" s="9"/>
      <c r="CL23" s="5" t="s">
        <v>621</v>
      </c>
      <c r="CM23" s="644"/>
      <c r="CN23" s="5" t="s">
        <v>2406</v>
      </c>
      <c r="CO23" s="644"/>
      <c r="CP23" s="5" t="s">
        <v>2425</v>
      </c>
      <c r="CQ23" s="644"/>
      <c r="CR23" s="9" t="s">
        <v>2447</v>
      </c>
      <c r="CS23" s="644"/>
      <c r="CT23" s="9" t="s">
        <v>2214</v>
      </c>
      <c r="CU23" s="644"/>
      <c r="CV23" s="9" t="s">
        <v>822</v>
      </c>
      <c r="CW23" s="644"/>
      <c r="CX23" s="9" t="s">
        <v>836</v>
      </c>
      <c r="CY23" s="644"/>
      <c r="CZ23" s="9" t="s">
        <v>851</v>
      </c>
      <c r="DA23" s="644"/>
      <c r="DB23" s="9" t="s">
        <v>861</v>
      </c>
      <c r="DC23" s="644"/>
      <c r="DD23" s="5" t="s">
        <v>2473</v>
      </c>
      <c r="DE23" s="644"/>
      <c r="DF23" s="644"/>
      <c r="DG23" s="644"/>
      <c r="DH23" s="5" t="s">
        <v>871</v>
      </c>
      <c r="DI23" s="644"/>
      <c r="DJ23" s="758"/>
      <c r="DK23" s="644"/>
      <c r="DL23" s="644"/>
      <c r="DM23" s="644"/>
      <c r="DN23" s="9" t="s">
        <v>1143</v>
      </c>
      <c r="DO23" s="644"/>
      <c r="DP23" s="644"/>
      <c r="DQ23" s="644"/>
      <c r="DR23" s="644"/>
      <c r="DS23" s="644"/>
      <c r="DT23" s="644"/>
      <c r="DU23" s="644"/>
      <c r="DV23" s="8" t="s">
        <v>1160</v>
      </c>
      <c r="DW23" s="644"/>
      <c r="DX23" s="9" t="s">
        <v>1163</v>
      </c>
      <c r="DY23" s="644"/>
      <c r="DZ23" s="9" t="s">
        <v>2526</v>
      </c>
      <c r="EA23" s="644"/>
      <c r="EB23" s="644"/>
      <c r="EC23" s="644"/>
      <c r="ED23" s="644"/>
      <c r="EE23" s="644"/>
      <c r="EF23" s="9" t="s">
        <v>2031</v>
      </c>
      <c r="EG23" s="644"/>
      <c r="EH23" s="9" t="s">
        <v>2054</v>
      </c>
      <c r="EI23" s="644"/>
      <c r="EJ23" s="644"/>
      <c r="EK23" s="644"/>
      <c r="EL23" s="644"/>
      <c r="EM23" s="644"/>
      <c r="EN23" s="9" t="s">
        <v>1431</v>
      </c>
      <c r="EO23" s="644"/>
      <c r="EP23" s="9" t="s">
        <v>1201</v>
      </c>
      <c r="EQ23" s="644"/>
      <c r="ER23" s="644"/>
      <c r="ES23" s="644"/>
      <c r="ET23" s="9" t="s">
        <v>1447</v>
      </c>
      <c r="EU23" s="644"/>
      <c r="EV23" s="9" t="s">
        <v>1466</v>
      </c>
      <c r="EW23" s="644"/>
      <c r="EX23" s="5" t="s">
        <v>1485</v>
      </c>
      <c r="EY23" s="644"/>
      <c r="EZ23" s="5" t="s">
        <v>1500</v>
      </c>
      <c r="FA23" s="644"/>
      <c r="FB23" s="5" t="s">
        <v>1500</v>
      </c>
      <c r="FC23" s="644"/>
      <c r="FD23" s="9" t="s">
        <v>1521</v>
      </c>
      <c r="FE23" s="644"/>
      <c r="FF23" s="9" t="s">
        <v>1543</v>
      </c>
      <c r="FG23" s="644"/>
      <c r="FH23" s="9" t="s">
        <v>1543</v>
      </c>
      <c r="FI23" s="644"/>
      <c r="FJ23" s="774" t="s">
        <v>1584</v>
      </c>
      <c r="FK23" s="644"/>
      <c r="FL23" s="760" t="s">
        <v>1596</v>
      </c>
      <c r="FM23" s="644"/>
      <c r="FN23" s="9" t="s">
        <v>1619</v>
      </c>
      <c r="FO23" s="644"/>
      <c r="FP23" s="9" t="s">
        <v>669</v>
      </c>
      <c r="FQ23" s="644"/>
      <c r="FR23" s="644"/>
      <c r="FS23" s="644"/>
      <c r="FT23" s="644"/>
      <c r="FU23" s="644"/>
      <c r="FV23" s="644"/>
      <c r="FW23" s="644"/>
      <c r="FX23" s="5" t="s">
        <v>1866</v>
      </c>
      <c r="FY23" s="644"/>
      <c r="FZ23" s="644"/>
      <c r="GA23" s="644"/>
      <c r="GB23" s="5" t="s">
        <v>1632</v>
      </c>
      <c r="GC23" s="644"/>
      <c r="GD23" s="9" t="s">
        <v>2506</v>
      </c>
      <c r="GE23" s="644"/>
      <c r="GF23" s="5" t="s">
        <v>1990</v>
      </c>
      <c r="GG23" s="644"/>
      <c r="GH23" s="9" t="s">
        <v>2012</v>
      </c>
      <c r="GI23" s="644"/>
      <c r="GJ23" s="780" t="s">
        <v>1675</v>
      </c>
      <c r="GK23" s="644"/>
      <c r="GL23" s="9" t="s">
        <v>1702</v>
      </c>
      <c r="GM23" s="644"/>
      <c r="GN23" s="9" t="s">
        <v>1702</v>
      </c>
      <c r="GO23" s="644"/>
      <c r="GP23" s="9" t="s">
        <v>1737</v>
      </c>
      <c r="GQ23" s="644"/>
      <c r="GR23" s="9" t="s">
        <v>1944</v>
      </c>
      <c r="GS23" s="644"/>
      <c r="GT23" s="9" t="s">
        <v>2080</v>
      </c>
      <c r="GU23" s="644"/>
      <c r="GV23" s="5" t="s">
        <v>1888</v>
      </c>
      <c r="GW23" s="644"/>
      <c r="GX23" s="5" t="s">
        <v>1888</v>
      </c>
      <c r="GY23" s="644"/>
      <c r="GZ23" s="5" t="s">
        <v>1888</v>
      </c>
      <c r="HA23" s="644"/>
      <c r="HB23" s="5" t="s">
        <v>1801</v>
      </c>
      <c r="HC23" s="644"/>
      <c r="HD23" s="9" t="s">
        <v>1826</v>
      </c>
      <c r="HE23" s="644"/>
      <c r="HF23" s="9"/>
      <c r="HG23" s="644"/>
      <c r="HH23" s="9" t="s">
        <v>1927</v>
      </c>
      <c r="HI23" s="644"/>
      <c r="HJ23" s="644"/>
      <c r="HK23" s="644"/>
      <c r="HL23" s="5" t="s">
        <v>1753</v>
      </c>
      <c r="HM23" s="644"/>
      <c r="HN23" s="5" t="s">
        <v>1773</v>
      </c>
      <c r="HO23" s="644"/>
      <c r="HP23" s="9" t="s">
        <v>1278</v>
      </c>
      <c r="HQ23" s="644"/>
      <c r="HR23" s="9" t="s">
        <v>1290</v>
      </c>
      <c r="HS23" s="644"/>
      <c r="HT23" s="633" t="s">
        <v>1299</v>
      </c>
      <c r="HU23" s="644"/>
      <c r="HV23" s="9" t="s">
        <v>1278</v>
      </c>
      <c r="HW23" s="644"/>
      <c r="HX23" s="9" t="s">
        <v>2182</v>
      </c>
      <c r="HY23" s="644"/>
      <c r="HZ23" s="9" t="s">
        <v>2198</v>
      </c>
      <c r="IA23" s="644"/>
      <c r="IB23" s="644"/>
      <c r="IC23" s="644"/>
      <c r="ID23" s="9" t="s">
        <v>1224</v>
      </c>
      <c r="IE23" s="644"/>
      <c r="IF23" s="5" t="s">
        <v>1249</v>
      </c>
      <c r="IG23" s="756"/>
      <c r="IH23" s="9" t="s">
        <v>1323</v>
      </c>
      <c r="II23" s="644"/>
      <c r="IJ23" s="644"/>
      <c r="IK23" s="644"/>
      <c r="IL23" s="651" t="s">
        <v>1341</v>
      </c>
      <c r="IM23" s="644"/>
      <c r="IN23" s="634" t="s">
        <v>1355</v>
      </c>
      <c r="IO23" s="644"/>
      <c r="IP23" s="5" t="s">
        <v>739</v>
      </c>
      <c r="IQ23" s="644"/>
      <c r="IR23" s="5" t="s">
        <v>739</v>
      </c>
      <c r="IS23" s="644"/>
      <c r="IT23" s="9" t="s">
        <v>1072</v>
      </c>
      <c r="IU23" s="644"/>
      <c r="IV23" s="9" t="s">
        <v>1092</v>
      </c>
      <c r="IW23" s="644"/>
      <c r="IX23" s="9" t="s">
        <v>1105</v>
      </c>
      <c r="IY23" s="644"/>
      <c r="IZ23" s="9" t="s">
        <v>1373</v>
      </c>
      <c r="JA23" s="644"/>
      <c r="JB23" s="9" t="s">
        <v>1396</v>
      </c>
      <c r="JC23" s="644"/>
      <c r="JD23" s="9" t="s">
        <v>1409</v>
      </c>
      <c r="JE23" s="644"/>
      <c r="JF23" s="644"/>
      <c r="JG23" s="644"/>
      <c r="JH23" s="9" t="s">
        <v>804</v>
      </c>
      <c r="JI23" s="644"/>
      <c r="JJ23" s="644"/>
      <c r="JK23" s="644"/>
      <c r="JL23" s="644"/>
      <c r="JM23" s="644"/>
      <c r="JN23" s="9" t="s">
        <v>2486</v>
      </c>
      <c r="JO23" s="644"/>
      <c r="JP23" s="644"/>
      <c r="JQ23" s="644"/>
      <c r="JR23" s="20" t="s">
        <v>1044</v>
      </c>
      <c r="JS23" s="644"/>
      <c r="JT23" s="9" t="s">
        <v>1126</v>
      </c>
      <c r="JU23" s="644"/>
      <c r="JV23" s="5" t="s">
        <v>2539</v>
      </c>
      <c r="JW23" s="644"/>
      <c r="JX23" s="9" t="s">
        <v>704</v>
      </c>
      <c r="JY23" s="644"/>
    </row>
    <row r="24" spans="1:285" ht="99.95" customHeight="1" x14ac:dyDescent="0.2">
      <c r="A24" s="1564" t="s">
        <v>11</v>
      </c>
      <c r="B24" s="1566" t="s">
        <v>164</v>
      </c>
      <c r="C24" s="55" t="s">
        <v>80</v>
      </c>
      <c r="D24" s="56" t="s">
        <v>261</v>
      </c>
      <c r="E24" s="755" t="s">
        <v>48</v>
      </c>
      <c r="F24" s="9" t="s">
        <v>1650</v>
      </c>
      <c r="G24" s="756"/>
      <c r="H24" s="9" t="s">
        <v>2248</v>
      </c>
      <c r="I24" s="644"/>
      <c r="J24" s="5" t="s">
        <v>2265</v>
      </c>
      <c r="K24" s="644"/>
      <c r="L24" s="5" t="s">
        <v>2282</v>
      </c>
      <c r="M24" s="644"/>
      <c r="N24" s="757" t="s">
        <v>468</v>
      </c>
      <c r="O24" s="644"/>
      <c r="P24" s="84" t="s">
        <v>497</v>
      </c>
      <c r="Q24" s="644"/>
      <c r="R24" s="5" t="s">
        <v>518</v>
      </c>
      <c r="S24" s="644"/>
      <c r="T24" s="644"/>
      <c r="U24" s="644"/>
      <c r="V24" s="644"/>
      <c r="W24" s="644"/>
      <c r="X24" s="644"/>
      <c r="Y24" s="644"/>
      <c r="Z24" s="5" t="s">
        <v>2298</v>
      </c>
      <c r="AA24" s="644"/>
      <c r="AB24" s="5" t="s">
        <v>2298</v>
      </c>
      <c r="AC24" s="644"/>
      <c r="AD24" s="5" t="s">
        <v>2343</v>
      </c>
      <c r="AE24" s="644"/>
      <c r="AF24" s="644"/>
      <c r="AG24" s="644"/>
      <c r="AH24" s="644"/>
      <c r="AI24" s="644"/>
      <c r="AJ24" s="84" t="s">
        <v>648</v>
      </c>
      <c r="AK24" s="644"/>
      <c r="AL24" s="9" t="s">
        <v>2363</v>
      </c>
      <c r="AM24" s="644"/>
      <c r="AN24" s="9" t="s">
        <v>976</v>
      </c>
      <c r="AO24" s="644"/>
      <c r="AP24" s="9" t="s">
        <v>993</v>
      </c>
      <c r="AQ24" s="644"/>
      <c r="AR24" s="9" t="s">
        <v>1011</v>
      </c>
      <c r="AS24" s="644"/>
      <c r="AT24" s="9" t="s">
        <v>596</v>
      </c>
      <c r="AU24" s="644"/>
      <c r="AV24" s="757" t="s">
        <v>575</v>
      </c>
      <c r="AW24" s="644"/>
      <c r="AX24" s="5" t="s">
        <v>537</v>
      </c>
      <c r="AY24" s="644"/>
      <c r="AZ24" s="5" t="s">
        <v>537</v>
      </c>
      <c r="BA24" s="644"/>
      <c r="BB24" s="644"/>
      <c r="BC24" s="644"/>
      <c r="BD24" s="5" t="s">
        <v>2378</v>
      </c>
      <c r="BE24" s="644"/>
      <c r="BF24" s="9" t="s">
        <v>2389</v>
      </c>
      <c r="BG24" s="644"/>
      <c r="BH24" s="644"/>
      <c r="BI24" s="644"/>
      <c r="BJ24" s="9" t="s">
        <v>789</v>
      </c>
      <c r="BK24" s="644"/>
      <c r="BL24" s="9" t="s">
        <v>1023</v>
      </c>
      <c r="BM24" s="644"/>
      <c r="BN24" s="9" t="s">
        <v>2182</v>
      </c>
      <c r="BO24" s="644"/>
      <c r="BP24" s="632" t="s">
        <v>1973</v>
      </c>
      <c r="BQ24" s="644"/>
      <c r="BR24" s="9" t="s">
        <v>965</v>
      </c>
      <c r="BS24" s="644"/>
      <c r="BT24" s="9" t="s">
        <v>923</v>
      </c>
      <c r="BU24" s="644"/>
      <c r="BV24" s="9" t="s">
        <v>923</v>
      </c>
      <c r="BW24" s="644"/>
      <c r="BX24" s="9" t="s">
        <v>2148</v>
      </c>
      <c r="BY24" s="644"/>
      <c r="BZ24" s="9" t="s">
        <v>2167</v>
      </c>
      <c r="CA24" s="644"/>
      <c r="CB24" s="738" t="s">
        <v>901</v>
      </c>
      <c r="CC24" s="644"/>
      <c r="CD24" s="644"/>
      <c r="CE24" s="644"/>
      <c r="CF24" s="644"/>
      <c r="CG24" s="644"/>
      <c r="CH24" s="632" t="s">
        <v>2112</v>
      </c>
      <c r="CI24" s="9"/>
      <c r="CJ24" s="9" t="s">
        <v>2112</v>
      </c>
      <c r="CK24" s="9"/>
      <c r="CL24" s="5" t="s">
        <v>621</v>
      </c>
      <c r="CM24" s="644"/>
      <c r="CN24" s="5" t="s">
        <v>2406</v>
      </c>
      <c r="CO24" s="644"/>
      <c r="CP24" s="5" t="s">
        <v>2425</v>
      </c>
      <c r="CQ24" s="644"/>
      <c r="CR24" s="9" t="s">
        <v>2447</v>
      </c>
      <c r="CS24" s="644"/>
      <c r="CT24" s="5" t="s">
        <v>2215</v>
      </c>
      <c r="CU24" s="644"/>
      <c r="CV24" s="9" t="s">
        <v>822</v>
      </c>
      <c r="CW24" s="644"/>
      <c r="CX24" s="9" t="s">
        <v>836</v>
      </c>
      <c r="CY24" s="644"/>
      <c r="CZ24" s="9" t="s">
        <v>851</v>
      </c>
      <c r="DA24" s="644"/>
      <c r="DB24" s="9" t="s">
        <v>861</v>
      </c>
      <c r="DC24" s="644"/>
      <c r="DD24" s="5" t="s">
        <v>2474</v>
      </c>
      <c r="DE24" s="644"/>
      <c r="DF24" s="644"/>
      <c r="DG24" s="644"/>
      <c r="DH24" s="5" t="s">
        <v>871</v>
      </c>
      <c r="DI24" s="644"/>
      <c r="DJ24" s="758" t="s">
        <v>886</v>
      </c>
      <c r="DK24" s="644"/>
      <c r="DL24" s="644"/>
      <c r="DM24" s="644"/>
      <c r="DN24" s="663" t="s">
        <v>1144</v>
      </c>
      <c r="DO24" s="644"/>
      <c r="DP24" s="644"/>
      <c r="DQ24" s="644"/>
      <c r="DR24" s="644"/>
      <c r="DS24" s="644"/>
      <c r="DT24" s="644"/>
      <c r="DU24" s="644"/>
      <c r="DV24" s="9" t="s">
        <v>1163</v>
      </c>
      <c r="DW24" s="644"/>
      <c r="DX24" s="9" t="s">
        <v>1163</v>
      </c>
      <c r="DY24" s="644"/>
      <c r="DZ24" s="9" t="s">
        <v>2526</v>
      </c>
      <c r="EA24" s="644"/>
      <c r="EB24" s="644"/>
      <c r="EC24" s="644"/>
      <c r="ED24" s="644"/>
      <c r="EE24" s="644"/>
      <c r="EF24" s="9" t="s">
        <v>2031</v>
      </c>
      <c r="EG24" s="644"/>
      <c r="EH24" s="759" t="s">
        <v>2055</v>
      </c>
      <c r="EI24" s="644"/>
      <c r="EJ24" s="644"/>
      <c r="EK24" s="644"/>
      <c r="EL24" s="644"/>
      <c r="EM24" s="644"/>
      <c r="EN24" s="9" t="s">
        <v>1431</v>
      </c>
      <c r="EO24" s="644"/>
      <c r="EP24" s="9" t="s">
        <v>1202</v>
      </c>
      <c r="EQ24" s="644"/>
      <c r="ER24" s="644"/>
      <c r="ES24" s="644"/>
      <c r="ET24" s="9" t="s">
        <v>1447</v>
      </c>
      <c r="EU24" s="644"/>
      <c r="EV24" s="9" t="s">
        <v>1466</v>
      </c>
      <c r="EW24" s="644"/>
      <c r="EX24" s="5" t="s">
        <v>1485</v>
      </c>
      <c r="EY24" s="644"/>
      <c r="EZ24" s="5" t="s">
        <v>1501</v>
      </c>
      <c r="FA24" s="644"/>
      <c r="FB24" s="5" t="s">
        <v>1501</v>
      </c>
      <c r="FC24" s="644"/>
      <c r="FD24" s="9" t="s">
        <v>1521</v>
      </c>
      <c r="FE24" s="644"/>
      <c r="FF24" s="9" t="s">
        <v>1543</v>
      </c>
      <c r="FG24" s="644"/>
      <c r="FH24" s="9" t="s">
        <v>1543</v>
      </c>
      <c r="FI24" s="644"/>
      <c r="FJ24" s="774" t="s">
        <v>1584</v>
      </c>
      <c r="FK24" s="644"/>
      <c r="FL24" s="760" t="s">
        <v>1596</v>
      </c>
      <c r="FM24" s="644"/>
      <c r="FN24" s="9" t="s">
        <v>1619</v>
      </c>
      <c r="FO24" s="644"/>
      <c r="FP24" s="9" t="s">
        <v>670</v>
      </c>
      <c r="FQ24" s="644"/>
      <c r="FR24" s="644"/>
      <c r="FS24" s="644"/>
      <c r="FT24" s="644"/>
      <c r="FU24" s="644"/>
      <c r="FV24" s="644"/>
      <c r="FW24" s="644"/>
      <c r="FX24" s="5" t="s">
        <v>1866</v>
      </c>
      <c r="FY24" s="644"/>
      <c r="FZ24" s="644"/>
      <c r="GA24" s="644"/>
      <c r="GB24" s="5" t="s">
        <v>1633</v>
      </c>
      <c r="GC24" s="644"/>
      <c r="GD24" s="9" t="s">
        <v>2507</v>
      </c>
      <c r="GE24" s="644"/>
      <c r="GF24" s="5" t="s">
        <v>1991</v>
      </c>
      <c r="GG24" s="644"/>
      <c r="GH24" s="9" t="s">
        <v>2012</v>
      </c>
      <c r="GI24" s="644"/>
      <c r="GJ24" s="760" t="s">
        <v>1676</v>
      </c>
      <c r="GK24" s="644"/>
      <c r="GL24" s="9" t="str">
        <f>'[1]практика субъекта'!$F$20</f>
        <v>Администрация Центрального района Санкт-Петербурга</v>
      </c>
      <c r="GM24" s="644"/>
      <c r="GN24" s="9" t="s">
        <v>1714</v>
      </c>
      <c r="GO24" s="644"/>
      <c r="GP24" s="9" t="s">
        <v>1737</v>
      </c>
      <c r="GQ24" s="644"/>
      <c r="GR24" s="9" t="s">
        <v>1945</v>
      </c>
      <c r="GS24" s="644"/>
      <c r="GT24" s="9" t="s">
        <v>2080</v>
      </c>
      <c r="GU24" s="644"/>
      <c r="GV24" s="5" t="s">
        <v>1888</v>
      </c>
      <c r="GW24" s="644"/>
      <c r="GX24" s="5" t="s">
        <v>1906</v>
      </c>
      <c r="GY24" s="644"/>
      <c r="GZ24" s="5" t="s">
        <v>1888</v>
      </c>
      <c r="HA24" s="644"/>
      <c r="HB24" s="5" t="s">
        <v>1801</v>
      </c>
      <c r="HC24" s="644"/>
      <c r="HD24" s="9" t="s">
        <v>1826</v>
      </c>
      <c r="HE24" s="644"/>
      <c r="HF24" s="9" t="s">
        <v>1854</v>
      </c>
      <c r="HG24" s="644"/>
      <c r="HH24" s="9" t="s">
        <v>1928</v>
      </c>
      <c r="HI24" s="644"/>
      <c r="HJ24" s="644"/>
      <c r="HK24" s="644"/>
      <c r="HL24" s="5" t="s">
        <v>1753</v>
      </c>
      <c r="HM24" s="644"/>
      <c r="HN24" s="5" t="s">
        <v>1773</v>
      </c>
      <c r="HO24" s="644"/>
      <c r="HP24" s="9" t="s">
        <v>1278</v>
      </c>
      <c r="HQ24" s="644"/>
      <c r="HR24" s="9" t="s">
        <v>1290</v>
      </c>
      <c r="HS24" s="644"/>
      <c r="HT24" s="633" t="s">
        <v>1300</v>
      </c>
      <c r="HU24" s="644"/>
      <c r="HV24" s="9" t="s">
        <v>1278</v>
      </c>
      <c r="HW24" s="644"/>
      <c r="HX24" s="9" t="s">
        <v>2182</v>
      </c>
      <c r="HY24" s="644"/>
      <c r="HZ24" s="9" t="s">
        <v>2199</v>
      </c>
      <c r="IA24" s="644"/>
      <c r="IB24" s="644"/>
      <c r="IC24" s="644"/>
      <c r="ID24" s="9" t="s">
        <v>1225</v>
      </c>
      <c r="IE24" s="644"/>
      <c r="IF24" s="5" t="s">
        <v>1249</v>
      </c>
      <c r="IG24" s="756"/>
      <c r="IH24" s="9" t="s">
        <v>1324</v>
      </c>
      <c r="II24" s="644"/>
      <c r="IJ24" s="644"/>
      <c r="IK24" s="644"/>
      <c r="IL24" s="651" t="s">
        <v>1341</v>
      </c>
      <c r="IM24" s="644"/>
      <c r="IN24" s="634" t="s">
        <v>1355</v>
      </c>
      <c r="IO24" s="644"/>
      <c r="IP24" s="5" t="s">
        <v>739</v>
      </c>
      <c r="IQ24" s="644"/>
      <c r="IR24" s="5" t="s">
        <v>739</v>
      </c>
      <c r="IS24" s="644"/>
      <c r="IT24" s="9" t="s">
        <v>1072</v>
      </c>
      <c r="IU24" s="644"/>
      <c r="IV24" s="664" t="s">
        <v>1093</v>
      </c>
      <c r="IW24" s="644"/>
      <c r="IX24" s="9" t="s">
        <v>1106</v>
      </c>
      <c r="IY24" s="644"/>
      <c r="IZ24" s="9" t="s">
        <v>1373</v>
      </c>
      <c r="JA24" s="644"/>
      <c r="JB24" s="9" t="s">
        <v>1397</v>
      </c>
      <c r="JC24" s="644"/>
      <c r="JD24" s="9" t="s">
        <v>1409</v>
      </c>
      <c r="JE24" s="644"/>
      <c r="JF24" s="644"/>
      <c r="JG24" s="644"/>
      <c r="JH24" s="9" t="s">
        <v>804</v>
      </c>
      <c r="JI24" s="644"/>
      <c r="JJ24" s="644"/>
      <c r="JK24" s="644"/>
      <c r="JL24" s="644"/>
      <c r="JM24" s="644"/>
      <c r="JN24" s="9" t="s">
        <v>2487</v>
      </c>
      <c r="JO24" s="644"/>
      <c r="JP24" s="644"/>
      <c r="JQ24" s="644"/>
      <c r="JR24" s="20" t="s">
        <v>1045</v>
      </c>
      <c r="JS24" s="644"/>
      <c r="JT24" s="9" t="s">
        <v>1126</v>
      </c>
      <c r="JU24" s="644"/>
      <c r="JV24" s="5" t="s">
        <v>2540</v>
      </c>
      <c r="JW24" s="644"/>
      <c r="JX24" s="9" t="s">
        <v>705</v>
      </c>
      <c r="JY24" s="644"/>
    </row>
    <row r="25" spans="1:285" ht="331.5" x14ac:dyDescent="0.2">
      <c r="A25" s="1565"/>
      <c r="B25" s="1567"/>
      <c r="C25" s="64" t="s">
        <v>82</v>
      </c>
      <c r="D25" s="65" t="s">
        <v>12</v>
      </c>
      <c r="E25" s="755" t="s">
        <v>48</v>
      </c>
      <c r="F25" s="9" t="s">
        <v>622</v>
      </c>
      <c r="G25" s="756"/>
      <c r="H25" s="9" t="s">
        <v>469</v>
      </c>
      <c r="I25" s="644"/>
      <c r="J25" s="5" t="s">
        <v>671</v>
      </c>
      <c r="K25" s="644"/>
      <c r="L25" s="5" t="s">
        <v>519</v>
      </c>
      <c r="M25" s="644"/>
      <c r="N25" s="757" t="s">
        <v>469</v>
      </c>
      <c r="O25" s="644"/>
      <c r="P25" s="84" t="s">
        <v>498</v>
      </c>
      <c r="Q25" s="644"/>
      <c r="R25" s="5" t="s">
        <v>519</v>
      </c>
      <c r="S25" s="644"/>
      <c r="T25" s="644"/>
      <c r="U25" s="644"/>
      <c r="V25" s="644"/>
      <c r="W25" s="644"/>
      <c r="X25" s="644"/>
      <c r="Y25" s="644"/>
      <c r="Z25" s="5" t="s">
        <v>622</v>
      </c>
      <c r="AA25" s="644"/>
      <c r="AB25" s="5" t="s">
        <v>622</v>
      </c>
      <c r="AC25" s="644"/>
      <c r="AD25" s="5" t="s">
        <v>622</v>
      </c>
      <c r="AE25" s="644"/>
      <c r="AF25" s="644"/>
      <c r="AG25" s="644"/>
      <c r="AH25" s="644"/>
      <c r="AI25" s="644"/>
      <c r="AJ25" s="84" t="s">
        <v>519</v>
      </c>
      <c r="AK25" s="644"/>
      <c r="AL25" s="9" t="s">
        <v>767</v>
      </c>
      <c r="AM25" s="644"/>
      <c r="AN25" s="9" t="s">
        <v>622</v>
      </c>
      <c r="AO25" s="644"/>
      <c r="AP25" s="9" t="s">
        <v>622</v>
      </c>
      <c r="AQ25" s="644"/>
      <c r="AR25" s="9" t="s">
        <v>1012</v>
      </c>
      <c r="AS25" s="644"/>
      <c r="AT25" s="9" t="s">
        <v>597</v>
      </c>
      <c r="AU25" s="644"/>
      <c r="AV25" s="757" t="s">
        <v>576</v>
      </c>
      <c r="AW25" s="644"/>
      <c r="AX25" s="5" t="s">
        <v>519</v>
      </c>
      <c r="AY25" s="644"/>
      <c r="AZ25" s="5" t="s">
        <v>519</v>
      </c>
      <c r="BA25" s="644"/>
      <c r="BB25" s="644"/>
      <c r="BC25" s="644"/>
      <c r="BD25" s="5" t="s">
        <v>790</v>
      </c>
      <c r="BE25" s="644"/>
      <c r="BF25" s="9" t="s">
        <v>519</v>
      </c>
      <c r="BG25" s="644"/>
      <c r="BH25" s="644"/>
      <c r="BI25" s="644"/>
      <c r="BJ25" s="9" t="s">
        <v>790</v>
      </c>
      <c r="BK25" s="644"/>
      <c r="BL25" s="9" t="s">
        <v>1024</v>
      </c>
      <c r="BM25" s="644"/>
      <c r="BN25" s="9" t="s">
        <v>519</v>
      </c>
      <c r="BO25" s="644"/>
      <c r="BP25" s="632" t="s">
        <v>1974</v>
      </c>
      <c r="BQ25" s="644"/>
      <c r="BR25" s="9" t="s">
        <v>519</v>
      </c>
      <c r="BS25" s="644"/>
      <c r="BT25" s="9" t="s">
        <v>924</v>
      </c>
      <c r="BU25" s="644"/>
      <c r="BV25" s="9" t="s">
        <v>519</v>
      </c>
      <c r="BW25" s="644"/>
      <c r="BX25" s="9" t="s">
        <v>1024</v>
      </c>
      <c r="BY25" s="644"/>
      <c r="BZ25" s="9" t="s">
        <v>1024</v>
      </c>
      <c r="CA25" s="644"/>
      <c r="CB25" s="738" t="s">
        <v>519</v>
      </c>
      <c r="CC25" s="644"/>
      <c r="CD25" s="644"/>
      <c r="CE25" s="644"/>
      <c r="CF25" s="644"/>
      <c r="CG25" s="644"/>
      <c r="CH25" s="632" t="s">
        <v>519</v>
      </c>
      <c r="CI25" s="9"/>
      <c r="CJ25" s="9" t="s">
        <v>2135</v>
      </c>
      <c r="CK25" s="9"/>
      <c r="CL25" s="5" t="s">
        <v>622</v>
      </c>
      <c r="CM25" s="644"/>
      <c r="CN25" s="5" t="s">
        <v>2407</v>
      </c>
      <c r="CO25" s="644"/>
      <c r="CP25" s="5" t="s">
        <v>2426</v>
      </c>
      <c r="CQ25" s="644"/>
      <c r="CR25" s="9" t="s">
        <v>2448</v>
      </c>
      <c r="CS25" s="644"/>
      <c r="CT25" s="5" t="s">
        <v>622</v>
      </c>
      <c r="CU25" s="644"/>
      <c r="CV25" s="9" t="s">
        <v>622</v>
      </c>
      <c r="CW25" s="644"/>
      <c r="CX25" s="9" t="s">
        <v>622</v>
      </c>
      <c r="CY25" s="644"/>
      <c r="CZ25" s="9" t="s">
        <v>622</v>
      </c>
      <c r="DA25" s="644"/>
      <c r="DB25" s="9" t="s">
        <v>622</v>
      </c>
      <c r="DC25" s="644"/>
      <c r="DD25" s="5" t="s">
        <v>1448</v>
      </c>
      <c r="DE25" s="644"/>
      <c r="DF25" s="644"/>
      <c r="DG25" s="644"/>
      <c r="DH25" s="9" t="s">
        <v>519</v>
      </c>
      <c r="DI25" s="644"/>
      <c r="DJ25" s="758" t="s">
        <v>519</v>
      </c>
      <c r="DK25" s="644"/>
      <c r="DL25" s="644"/>
      <c r="DM25" s="644"/>
      <c r="DN25" s="9" t="s">
        <v>519</v>
      </c>
      <c r="DO25" s="644"/>
      <c r="DP25" s="644"/>
      <c r="DQ25" s="644"/>
      <c r="DR25" s="644"/>
      <c r="DS25" s="644"/>
      <c r="DT25" s="644"/>
      <c r="DU25" s="644"/>
      <c r="DV25" s="9" t="s">
        <v>469</v>
      </c>
      <c r="DW25" s="644"/>
      <c r="DX25" s="9" t="s">
        <v>469</v>
      </c>
      <c r="DY25" s="644"/>
      <c r="DZ25" s="5" t="s">
        <v>622</v>
      </c>
      <c r="EA25" s="644"/>
      <c r="EB25" s="644"/>
      <c r="EC25" s="644"/>
      <c r="ED25" s="644"/>
      <c r="EE25" s="644"/>
      <c r="EF25" s="9" t="s">
        <v>519</v>
      </c>
      <c r="EG25" s="644"/>
      <c r="EH25" s="759" t="s">
        <v>519</v>
      </c>
      <c r="EI25" s="644"/>
      <c r="EJ25" s="644"/>
      <c r="EK25" s="644"/>
      <c r="EL25" s="644"/>
      <c r="EM25" s="644"/>
      <c r="EN25" s="9" t="s">
        <v>622</v>
      </c>
      <c r="EO25" s="644"/>
      <c r="EP25" s="9" t="s">
        <v>519</v>
      </c>
      <c r="EQ25" s="644"/>
      <c r="ER25" s="644"/>
      <c r="ES25" s="644"/>
      <c r="ET25" s="9" t="s">
        <v>1448</v>
      </c>
      <c r="EU25" s="644"/>
      <c r="EV25" s="9" t="s">
        <v>622</v>
      </c>
      <c r="EW25" s="644"/>
      <c r="EX25" s="9" t="s">
        <v>519</v>
      </c>
      <c r="EY25" s="644"/>
      <c r="EZ25" s="5" t="s">
        <v>671</v>
      </c>
      <c r="FA25" s="644"/>
      <c r="FB25" s="5" t="s">
        <v>671</v>
      </c>
      <c r="FC25" s="644"/>
      <c r="FD25" s="9" t="s">
        <v>790</v>
      </c>
      <c r="FE25" s="644"/>
      <c r="FF25" s="9" t="s">
        <v>1544</v>
      </c>
      <c r="FG25" s="644"/>
      <c r="FH25" s="5" t="s">
        <v>1568</v>
      </c>
      <c r="FI25" s="644"/>
      <c r="FJ25" s="774" t="s">
        <v>671</v>
      </c>
      <c r="FK25" s="644"/>
      <c r="FL25" s="760" t="s">
        <v>469</v>
      </c>
      <c r="FM25" s="644"/>
      <c r="FN25" s="9" t="s">
        <v>519</v>
      </c>
      <c r="FO25" s="644"/>
      <c r="FP25" s="9" t="s">
        <v>671</v>
      </c>
      <c r="FQ25" s="644"/>
      <c r="FR25" s="644"/>
      <c r="FS25" s="644"/>
      <c r="FT25" s="644"/>
      <c r="FU25" s="644"/>
      <c r="FV25" s="644"/>
      <c r="FW25" s="644"/>
      <c r="FX25" s="5" t="s">
        <v>469</v>
      </c>
      <c r="FY25" s="644"/>
      <c r="FZ25" s="644"/>
      <c r="GA25" s="644"/>
      <c r="GB25" s="5" t="s">
        <v>622</v>
      </c>
      <c r="GC25" s="644"/>
      <c r="GD25" s="9" t="s">
        <v>519</v>
      </c>
      <c r="GE25" s="644"/>
      <c r="GF25" s="665" t="s">
        <v>622</v>
      </c>
      <c r="GG25" s="644"/>
      <c r="GH25" s="9" t="s">
        <v>1974</v>
      </c>
      <c r="GI25" s="644"/>
      <c r="GJ25" s="760" t="s">
        <v>622</v>
      </c>
      <c r="GK25" s="644"/>
      <c r="GL25" s="9" t="s">
        <v>1703</v>
      </c>
      <c r="GM25" s="644"/>
      <c r="GN25" s="9" t="s">
        <v>1715</v>
      </c>
      <c r="GO25" s="644"/>
      <c r="GP25" s="9" t="s">
        <v>504</v>
      </c>
      <c r="GQ25" s="644"/>
      <c r="GR25" s="9" t="s">
        <v>671</v>
      </c>
      <c r="GS25" s="644"/>
      <c r="GT25" s="9" t="s">
        <v>622</v>
      </c>
      <c r="GU25" s="644"/>
      <c r="GV25" s="5" t="s">
        <v>1889</v>
      </c>
      <c r="GW25" s="644"/>
      <c r="GX25" s="5" t="s">
        <v>1889</v>
      </c>
      <c r="GY25" s="644"/>
      <c r="GZ25" s="5" t="s">
        <v>1889</v>
      </c>
      <c r="HA25" s="644"/>
      <c r="HB25" s="5" t="s">
        <v>519</v>
      </c>
      <c r="HC25" s="644"/>
      <c r="HD25" s="9" t="s">
        <v>519</v>
      </c>
      <c r="HE25" s="644"/>
      <c r="HF25" s="9" t="s">
        <v>671</v>
      </c>
      <c r="HG25" s="644"/>
      <c r="HH25" s="9" t="s">
        <v>622</v>
      </c>
      <c r="HI25" s="644"/>
      <c r="HJ25" s="644"/>
      <c r="HK25" s="644"/>
      <c r="HL25" s="9" t="s">
        <v>519</v>
      </c>
      <c r="HM25" s="644"/>
      <c r="HN25" s="5" t="s">
        <v>622</v>
      </c>
      <c r="HO25" s="644"/>
      <c r="HP25" s="9" t="s">
        <v>1024</v>
      </c>
      <c r="HQ25" s="644"/>
      <c r="HR25" s="9" t="s">
        <v>519</v>
      </c>
      <c r="HS25" s="644"/>
      <c r="HT25" s="633" t="s">
        <v>622</v>
      </c>
      <c r="HU25" s="644"/>
      <c r="HV25" s="9" t="s">
        <v>1024</v>
      </c>
      <c r="HW25" s="644"/>
      <c r="HX25" s="9" t="s">
        <v>519</v>
      </c>
      <c r="HY25" s="644"/>
      <c r="HZ25" s="9" t="s">
        <v>1732</v>
      </c>
      <c r="IA25" s="644"/>
      <c r="IB25" s="644"/>
      <c r="IC25" s="644"/>
      <c r="ID25" s="9" t="s">
        <v>1226</v>
      </c>
      <c r="IE25" s="644"/>
      <c r="IF25" s="5" t="s">
        <v>622</v>
      </c>
      <c r="IG25" s="756"/>
      <c r="IH25" s="9" t="s">
        <v>622</v>
      </c>
      <c r="II25" s="644"/>
      <c r="IJ25" s="644"/>
      <c r="IK25" s="644"/>
      <c r="IL25" s="651" t="s">
        <v>622</v>
      </c>
      <c r="IM25" s="644"/>
      <c r="IN25" s="634" t="s">
        <v>519</v>
      </c>
      <c r="IO25" s="644"/>
      <c r="IP25" s="5" t="s">
        <v>622</v>
      </c>
      <c r="IQ25" s="644"/>
      <c r="IR25" s="5" t="s">
        <v>767</v>
      </c>
      <c r="IS25" s="644"/>
      <c r="IT25" s="20" t="s">
        <v>1073</v>
      </c>
      <c r="IU25" s="644"/>
      <c r="IV25" s="9" t="s">
        <v>519</v>
      </c>
      <c r="IW25" s="644"/>
      <c r="IX25" s="9" t="s">
        <v>519</v>
      </c>
      <c r="IY25" s="644"/>
      <c r="IZ25" s="9" t="s">
        <v>1374</v>
      </c>
      <c r="JA25" s="644"/>
      <c r="JB25" s="9" t="s">
        <v>519</v>
      </c>
      <c r="JC25" s="644"/>
      <c r="JD25" s="9" t="s">
        <v>1410</v>
      </c>
      <c r="JE25" s="644"/>
      <c r="JF25" s="644"/>
      <c r="JG25" s="644"/>
      <c r="JH25" s="9" t="s">
        <v>519</v>
      </c>
      <c r="JI25" s="644"/>
      <c r="JJ25" s="644"/>
      <c r="JK25" s="644"/>
      <c r="JL25" s="644"/>
      <c r="JM25" s="644"/>
      <c r="JN25" s="9" t="s">
        <v>2488</v>
      </c>
      <c r="JO25" s="644"/>
      <c r="JP25" s="644"/>
      <c r="JQ25" s="644"/>
      <c r="JR25" s="659" t="s">
        <v>1046</v>
      </c>
      <c r="JS25" s="644"/>
      <c r="JT25" s="9" t="s">
        <v>622</v>
      </c>
      <c r="JU25" s="644"/>
      <c r="JV25" s="5" t="s">
        <v>2541</v>
      </c>
      <c r="JW25" s="644"/>
      <c r="JX25" s="9" t="s">
        <v>706</v>
      </c>
      <c r="JY25" s="644"/>
    </row>
    <row r="26" spans="1:285" ht="42" customHeight="1" thickBot="1" x14ac:dyDescent="0.25">
      <c r="A26" s="1568"/>
      <c r="B26" s="1569"/>
      <c r="C26" s="58" t="s">
        <v>83</v>
      </c>
      <c r="D26" s="59" t="s">
        <v>168</v>
      </c>
      <c r="E26" s="755" t="s">
        <v>48</v>
      </c>
      <c r="F26" s="9" t="s">
        <v>1651</v>
      </c>
      <c r="G26" s="756"/>
      <c r="H26" s="9" t="s">
        <v>2249</v>
      </c>
      <c r="I26" s="644"/>
      <c r="J26" s="5" t="s">
        <v>2266</v>
      </c>
      <c r="K26" s="644"/>
      <c r="L26" s="5" t="s">
        <v>2283</v>
      </c>
      <c r="M26" s="644"/>
      <c r="N26" s="757" t="s">
        <v>470</v>
      </c>
      <c r="O26" s="644"/>
      <c r="P26" s="84" t="s">
        <v>499</v>
      </c>
      <c r="Q26" s="644"/>
      <c r="R26" s="5" t="s">
        <v>520</v>
      </c>
      <c r="S26" s="644"/>
      <c r="T26" s="644"/>
      <c r="U26" s="644"/>
      <c r="V26" s="644"/>
      <c r="W26" s="644"/>
      <c r="X26" s="644"/>
      <c r="Y26" s="644"/>
      <c r="Z26" s="5" t="s">
        <v>2299</v>
      </c>
      <c r="AA26" s="644"/>
      <c r="AB26" s="5" t="s">
        <v>2299</v>
      </c>
      <c r="AC26" s="644"/>
      <c r="AD26" s="5" t="s">
        <v>2299</v>
      </c>
      <c r="AE26" s="644"/>
      <c r="AF26" s="644"/>
      <c r="AG26" s="644"/>
      <c r="AH26" s="644"/>
      <c r="AI26" s="644"/>
      <c r="AJ26" s="84" t="s">
        <v>649</v>
      </c>
      <c r="AK26" s="644"/>
      <c r="AL26" s="9" t="s">
        <v>2364</v>
      </c>
      <c r="AM26" s="644"/>
      <c r="AN26" s="9" t="s">
        <v>977</v>
      </c>
      <c r="AO26" s="644"/>
      <c r="AP26" s="9" t="s">
        <v>994</v>
      </c>
      <c r="AQ26" s="644"/>
      <c r="AR26" s="9" t="s">
        <v>1013</v>
      </c>
      <c r="AS26" s="644"/>
      <c r="AT26" s="9" t="s">
        <v>598</v>
      </c>
      <c r="AU26" s="644"/>
      <c r="AV26" s="757" t="s">
        <v>577</v>
      </c>
      <c r="AW26" s="644"/>
      <c r="AX26" s="5" t="s">
        <v>538</v>
      </c>
      <c r="AY26" s="644"/>
      <c r="AZ26" s="5" t="s">
        <v>538</v>
      </c>
      <c r="BA26" s="644"/>
      <c r="BB26" s="644"/>
      <c r="BC26" s="644"/>
      <c r="BD26" s="5" t="s">
        <v>2379</v>
      </c>
      <c r="BE26" s="644"/>
      <c r="BF26" s="9" t="s">
        <v>2390</v>
      </c>
      <c r="BG26" s="644"/>
      <c r="BH26" s="644"/>
      <c r="BI26" s="644"/>
      <c r="BJ26" s="9" t="s">
        <v>465</v>
      </c>
      <c r="BK26" s="644"/>
      <c r="BL26" s="9" t="s">
        <v>1025</v>
      </c>
      <c r="BM26" s="644"/>
      <c r="BN26" s="9" t="s">
        <v>2183</v>
      </c>
      <c r="BO26" s="644"/>
      <c r="BP26" s="632" t="s">
        <v>1975</v>
      </c>
      <c r="BQ26" s="644"/>
      <c r="BR26" s="9" t="s">
        <v>966</v>
      </c>
      <c r="BS26" s="644"/>
      <c r="BT26" s="9" t="s">
        <v>925</v>
      </c>
      <c r="BU26" s="644"/>
      <c r="BV26" s="9" t="s">
        <v>944</v>
      </c>
      <c r="BW26" s="644"/>
      <c r="BX26" s="9" t="s">
        <v>2149</v>
      </c>
      <c r="BY26" s="644"/>
      <c r="BZ26" s="9" t="s">
        <v>2149</v>
      </c>
      <c r="CA26" s="644"/>
      <c r="CB26" s="738" t="s">
        <v>902</v>
      </c>
      <c r="CC26" s="644"/>
      <c r="CD26" s="644"/>
      <c r="CE26" s="644"/>
      <c r="CF26" s="644"/>
      <c r="CG26" s="644"/>
      <c r="CH26" s="632" t="s">
        <v>2113</v>
      </c>
      <c r="CI26" s="9"/>
      <c r="CJ26" s="9" t="s">
        <v>2113</v>
      </c>
      <c r="CK26" s="9"/>
      <c r="CL26" s="9" t="s">
        <v>623</v>
      </c>
      <c r="CM26" s="644"/>
      <c r="CN26" s="5" t="s">
        <v>2408</v>
      </c>
      <c r="CO26" s="644"/>
      <c r="CP26" s="5" t="s">
        <v>2427</v>
      </c>
      <c r="CQ26" s="644"/>
      <c r="CR26" s="9" t="s">
        <v>2449</v>
      </c>
      <c r="CS26" s="644"/>
      <c r="CT26" s="5" t="s">
        <v>2216</v>
      </c>
      <c r="CU26" s="644"/>
      <c r="CV26" s="9" t="s">
        <v>823</v>
      </c>
      <c r="CW26" s="644"/>
      <c r="CX26" s="9" t="s">
        <v>837</v>
      </c>
      <c r="CY26" s="644"/>
      <c r="CZ26" s="9" t="s">
        <v>852</v>
      </c>
      <c r="DA26" s="644"/>
      <c r="DB26" s="9" t="s">
        <v>852</v>
      </c>
      <c r="DC26" s="644"/>
      <c r="DD26" s="5" t="s">
        <v>2475</v>
      </c>
      <c r="DE26" s="644"/>
      <c r="DF26" s="644"/>
      <c r="DG26" s="644"/>
      <c r="DH26" s="9" t="s">
        <v>872</v>
      </c>
      <c r="DI26" s="644"/>
      <c r="DJ26" s="758" t="s">
        <v>872</v>
      </c>
      <c r="DK26" s="644"/>
      <c r="DL26" s="644"/>
      <c r="DM26" s="644"/>
      <c r="DN26" s="9" t="s">
        <v>1145</v>
      </c>
      <c r="DO26" s="644"/>
      <c r="DP26" s="644"/>
      <c r="DQ26" s="644"/>
      <c r="DR26" s="644"/>
      <c r="DS26" s="644"/>
      <c r="DT26" s="644"/>
      <c r="DU26" s="644"/>
      <c r="DV26" s="9" t="s">
        <v>1164</v>
      </c>
      <c r="DW26" s="644"/>
      <c r="DX26" s="9" t="s">
        <v>1188</v>
      </c>
      <c r="DY26" s="644"/>
      <c r="DZ26" s="5" t="s">
        <v>2527</v>
      </c>
      <c r="EA26" s="644"/>
      <c r="EB26" s="644"/>
      <c r="EC26" s="644"/>
      <c r="ED26" s="644"/>
      <c r="EE26" s="644"/>
      <c r="EF26" s="9" t="s">
        <v>2032</v>
      </c>
      <c r="EG26" s="644"/>
      <c r="EH26" s="759" t="s">
        <v>2056</v>
      </c>
      <c r="EI26" s="644"/>
      <c r="EJ26" s="644"/>
      <c r="EK26" s="644"/>
      <c r="EL26" s="644"/>
      <c r="EM26" s="644"/>
      <c r="EN26" s="9" t="s">
        <v>1432</v>
      </c>
      <c r="EO26" s="644"/>
      <c r="EP26" s="9" t="s">
        <v>1203</v>
      </c>
      <c r="EQ26" s="644"/>
      <c r="ER26" s="644"/>
      <c r="ES26" s="644"/>
      <c r="ET26" s="9" t="s">
        <v>1449</v>
      </c>
      <c r="EU26" s="644"/>
      <c r="EV26" s="9" t="s">
        <v>1467</v>
      </c>
      <c r="EW26" s="644"/>
      <c r="EX26" s="5" t="s">
        <v>1486</v>
      </c>
      <c r="EY26" s="644"/>
      <c r="EZ26" s="5" t="s">
        <v>1502</v>
      </c>
      <c r="FA26" s="644"/>
      <c r="FB26" s="5" t="s">
        <v>1502</v>
      </c>
      <c r="FC26" s="644"/>
      <c r="FD26" s="9" t="s">
        <v>1522</v>
      </c>
      <c r="FE26" s="644"/>
      <c r="FF26" s="9" t="s">
        <v>1545</v>
      </c>
      <c r="FG26" s="644"/>
      <c r="FH26" s="9" t="s">
        <v>1569</v>
      </c>
      <c r="FI26" s="644"/>
      <c r="FJ26" s="774" t="s">
        <v>823</v>
      </c>
      <c r="FK26" s="644"/>
      <c r="FL26" s="760" t="s">
        <v>1597</v>
      </c>
      <c r="FM26" s="644"/>
      <c r="FN26" s="9" t="s">
        <v>1620</v>
      </c>
      <c r="FO26" s="644"/>
      <c r="FP26" s="9" t="s">
        <v>672</v>
      </c>
      <c r="FQ26" s="644"/>
      <c r="FR26" s="644"/>
      <c r="FS26" s="644"/>
      <c r="FT26" s="644"/>
      <c r="FU26" s="644"/>
      <c r="FV26" s="644"/>
      <c r="FW26" s="644"/>
      <c r="FX26" s="5" t="s">
        <v>1879</v>
      </c>
      <c r="FY26" s="644"/>
      <c r="FZ26" s="644"/>
      <c r="GA26" s="644"/>
      <c r="GB26" s="5" t="s">
        <v>1634</v>
      </c>
      <c r="GC26" s="644"/>
      <c r="GD26" s="9" t="s">
        <v>2508</v>
      </c>
      <c r="GE26" s="644"/>
      <c r="GF26" s="665" t="s">
        <v>1992</v>
      </c>
      <c r="GG26" s="644"/>
      <c r="GH26" s="9" t="s">
        <v>2013</v>
      </c>
      <c r="GI26" s="644"/>
      <c r="GJ26" s="760" t="s">
        <v>1677</v>
      </c>
      <c r="GK26" s="644"/>
      <c r="GL26" s="9" t="str">
        <f>'[1]практика субъекта'!$F$22</f>
        <v>Государственные бюджетные образовательные учреждения Центрального района Санкт-Петербурга</v>
      </c>
      <c r="GM26" s="644"/>
      <c r="GN26" s="9" t="s">
        <v>2561</v>
      </c>
      <c r="GO26" s="644"/>
      <c r="GP26" s="9" t="s">
        <v>1738</v>
      </c>
      <c r="GQ26" s="644"/>
      <c r="GR26" s="9" t="s">
        <v>1946</v>
      </c>
      <c r="GS26" s="644"/>
      <c r="GT26" s="9" t="s">
        <v>1127</v>
      </c>
      <c r="GU26" s="644"/>
      <c r="GV26" s="5" t="s">
        <v>1634</v>
      </c>
      <c r="GW26" s="644"/>
      <c r="GX26" s="5" t="s">
        <v>1634</v>
      </c>
      <c r="GY26" s="644"/>
      <c r="GZ26" s="5" t="s">
        <v>1634</v>
      </c>
      <c r="HA26" s="644"/>
      <c r="HB26" s="5" t="s">
        <v>1802</v>
      </c>
      <c r="HC26" s="644"/>
      <c r="HD26" s="9" t="s">
        <v>1802</v>
      </c>
      <c r="HE26" s="644"/>
      <c r="HF26" s="9" t="s">
        <v>1855</v>
      </c>
      <c r="HG26" s="644"/>
      <c r="HH26" s="9" t="s">
        <v>1929</v>
      </c>
      <c r="HI26" s="644"/>
      <c r="HJ26" s="644"/>
      <c r="HK26" s="644"/>
      <c r="HL26" s="5" t="s">
        <v>1754</v>
      </c>
      <c r="HM26" s="644"/>
      <c r="HN26" s="5" t="s">
        <v>1774</v>
      </c>
      <c r="HO26" s="644"/>
      <c r="HP26" s="9" t="s">
        <v>1279</v>
      </c>
      <c r="HQ26" s="644"/>
      <c r="HR26" s="9" t="s">
        <v>1291</v>
      </c>
      <c r="HS26" s="644"/>
      <c r="HT26" s="633" t="s">
        <v>1301</v>
      </c>
      <c r="HU26" s="644"/>
      <c r="HV26" s="9" t="s">
        <v>1279</v>
      </c>
      <c r="HW26" s="644"/>
      <c r="HX26" s="9" t="s">
        <v>2183</v>
      </c>
      <c r="HY26" s="644"/>
      <c r="HZ26" s="9" t="s">
        <v>2200</v>
      </c>
      <c r="IA26" s="644"/>
      <c r="IB26" s="644"/>
      <c r="IC26" s="644"/>
      <c r="ID26" s="9" t="s">
        <v>1227</v>
      </c>
      <c r="IE26" s="644"/>
      <c r="IF26" s="5" t="s">
        <v>1250</v>
      </c>
      <c r="IG26" s="756"/>
      <c r="IH26" s="9" t="s">
        <v>1325</v>
      </c>
      <c r="II26" s="644"/>
      <c r="IJ26" s="644"/>
      <c r="IK26" s="644"/>
      <c r="IL26" s="651" t="s">
        <v>1342</v>
      </c>
      <c r="IM26" s="644"/>
      <c r="IN26" s="634" t="s">
        <v>1356</v>
      </c>
      <c r="IO26" s="644"/>
      <c r="IP26" s="5" t="s">
        <v>740</v>
      </c>
      <c r="IQ26" s="644"/>
      <c r="IR26" s="5" t="s">
        <v>740</v>
      </c>
      <c r="IS26" s="644"/>
      <c r="IT26" s="9" t="s">
        <v>1074</v>
      </c>
      <c r="IU26" s="644"/>
      <c r="IV26" s="9" t="s">
        <v>1094</v>
      </c>
      <c r="IW26" s="644"/>
      <c r="IX26" s="84" t="s">
        <v>1107</v>
      </c>
      <c r="IY26" s="644"/>
      <c r="IZ26" s="9" t="s">
        <v>1375</v>
      </c>
      <c r="JA26" s="644"/>
      <c r="JB26" s="9" t="s">
        <v>1398</v>
      </c>
      <c r="JC26" s="644"/>
      <c r="JD26" s="9" t="s">
        <v>1411</v>
      </c>
      <c r="JE26" s="644"/>
      <c r="JF26" s="644"/>
      <c r="JG26" s="644"/>
      <c r="JH26" s="9" t="s">
        <v>805</v>
      </c>
      <c r="JI26" s="644"/>
      <c r="JJ26" s="644"/>
      <c r="JK26" s="644"/>
      <c r="JL26" s="644"/>
      <c r="JM26" s="644"/>
      <c r="JN26" s="9" t="s">
        <v>1127</v>
      </c>
      <c r="JO26" s="644"/>
      <c r="JP26" s="644"/>
      <c r="JQ26" s="644"/>
      <c r="JR26" s="659" t="s">
        <v>1047</v>
      </c>
      <c r="JS26" s="644"/>
      <c r="JT26" s="9" t="s">
        <v>1127</v>
      </c>
      <c r="JU26" s="644"/>
      <c r="JV26" s="5" t="s">
        <v>2542</v>
      </c>
      <c r="JW26" s="644"/>
      <c r="JX26" s="9" t="s">
        <v>707</v>
      </c>
      <c r="JY26" s="644"/>
    </row>
    <row r="27" spans="1:285" ht="52.5" customHeight="1" thickBot="1" x14ac:dyDescent="0.25">
      <c r="A27" s="66" t="s">
        <v>13</v>
      </c>
      <c r="B27" s="67" t="s">
        <v>262</v>
      </c>
      <c r="C27" s="68" t="s">
        <v>51</v>
      </c>
      <c r="D27" s="69" t="s">
        <v>230</v>
      </c>
      <c r="E27" s="784" t="s">
        <v>152</v>
      </c>
      <c r="F27" s="10">
        <v>14.544</v>
      </c>
      <c r="G27" s="756"/>
      <c r="H27" s="666">
        <f>+H28+H31+H34+H36+H38</f>
        <v>4.5830000000000002</v>
      </c>
      <c r="I27" s="644"/>
      <c r="J27" s="667">
        <f>+J28+J31+J34+J36+J38</f>
        <v>62.398600000000002</v>
      </c>
      <c r="K27" s="644"/>
      <c r="L27" s="10">
        <v>27.431285989999999</v>
      </c>
      <c r="M27" s="644"/>
      <c r="N27" s="785">
        <v>335</v>
      </c>
      <c r="O27" s="644"/>
      <c r="P27" s="666">
        <v>5.9367711300000003</v>
      </c>
      <c r="Q27" s="644"/>
      <c r="R27" s="10">
        <v>186.62200000000001</v>
      </c>
      <c r="S27" s="644"/>
      <c r="T27" s="644"/>
      <c r="U27" s="644"/>
      <c r="V27" s="644"/>
      <c r="W27" s="644"/>
      <c r="X27" s="644"/>
      <c r="Y27" s="644"/>
      <c r="Z27" s="10">
        <v>589.49400000000003</v>
      </c>
      <c r="AA27" s="644"/>
      <c r="AB27" s="10">
        <v>257.11</v>
      </c>
      <c r="AC27" s="644"/>
      <c r="AD27" s="10">
        <v>1739.951</v>
      </c>
      <c r="AE27" s="644"/>
      <c r="AF27" s="644"/>
      <c r="AG27" s="644"/>
      <c r="AH27" s="644"/>
      <c r="AI27" s="644"/>
      <c r="AJ27" s="666">
        <v>107.8</v>
      </c>
      <c r="AK27" s="644"/>
      <c r="AL27" s="10">
        <v>60</v>
      </c>
      <c r="AM27" s="644"/>
      <c r="AN27" s="10">
        <v>563.98599999999999</v>
      </c>
      <c r="AO27" s="644"/>
      <c r="AP27" s="10">
        <v>47.531500000000001</v>
      </c>
      <c r="AQ27" s="644"/>
      <c r="AR27" s="10">
        <v>142.251</v>
      </c>
      <c r="AS27" s="644"/>
      <c r="AT27" s="10">
        <v>142.4</v>
      </c>
      <c r="AU27" s="644"/>
      <c r="AV27" s="785">
        <v>226.36799999999999</v>
      </c>
      <c r="AW27" s="644"/>
      <c r="AX27" s="668">
        <v>203.25489999999999</v>
      </c>
      <c r="AY27" s="644"/>
      <c r="AZ27" s="10">
        <v>310.52064999999999</v>
      </c>
      <c r="BA27" s="644"/>
      <c r="BB27" s="644"/>
      <c r="BC27" s="644"/>
      <c r="BD27" s="669">
        <v>269.64</v>
      </c>
      <c r="BE27" s="644"/>
      <c r="BF27" s="10">
        <v>1019.297</v>
      </c>
      <c r="BG27" s="644"/>
      <c r="BH27" s="644"/>
      <c r="BI27" s="644"/>
      <c r="BJ27" s="10">
        <v>21.91</v>
      </c>
      <c r="BK27" s="644"/>
      <c r="BL27" s="10">
        <v>59.573504489999998</v>
      </c>
      <c r="BM27" s="644"/>
      <c r="BN27" s="10">
        <v>5</v>
      </c>
      <c r="BO27" s="644"/>
      <c r="BP27" s="670">
        <v>948.2</v>
      </c>
      <c r="BQ27" s="644"/>
      <c r="BR27" s="10">
        <v>76.2</v>
      </c>
      <c r="BS27" s="644"/>
      <c r="BT27" s="10">
        <v>227.3</v>
      </c>
      <c r="BU27" s="644"/>
      <c r="BV27" s="10">
        <v>412.75200000000001</v>
      </c>
      <c r="BW27" s="644"/>
      <c r="BX27" s="671">
        <v>65.921000000000006</v>
      </c>
      <c r="BY27" s="644"/>
      <c r="BZ27" s="671">
        <v>12.843999999999999</v>
      </c>
      <c r="CA27" s="644"/>
      <c r="CB27" s="10">
        <v>173.68100000000001</v>
      </c>
      <c r="CC27" s="644"/>
      <c r="CD27" s="644"/>
      <c r="CE27" s="644"/>
      <c r="CF27" s="644"/>
      <c r="CG27" s="644"/>
      <c r="CH27" s="671">
        <v>86.6</v>
      </c>
      <c r="CI27" s="10"/>
      <c r="CJ27" s="10">
        <v>32.1</v>
      </c>
      <c r="CK27" s="10"/>
      <c r="CL27" s="10">
        <v>161.30000000000001</v>
      </c>
      <c r="CM27" s="644"/>
      <c r="CN27" s="10">
        <v>22.879000000000001</v>
      </c>
      <c r="CO27" s="644"/>
      <c r="CP27" s="10">
        <v>22.8</v>
      </c>
      <c r="CQ27" s="644"/>
      <c r="CR27" s="10">
        <v>340.6</v>
      </c>
      <c r="CS27" s="644"/>
      <c r="CT27" s="5" t="s">
        <v>2217</v>
      </c>
      <c r="CU27" s="644"/>
      <c r="CV27" s="27">
        <v>31.3</v>
      </c>
      <c r="CW27" s="644"/>
      <c r="CX27" s="15">
        <v>162.5</v>
      </c>
      <c r="CY27" s="644"/>
      <c r="CZ27" s="27">
        <f>CZ28+CZ31</f>
        <v>117.62</v>
      </c>
      <c r="DA27" s="644"/>
      <c r="DB27" s="15">
        <v>274.7</v>
      </c>
      <c r="DC27" s="644"/>
      <c r="DD27" s="665">
        <v>239.73519999999999</v>
      </c>
      <c r="DE27" s="644"/>
      <c r="DF27" s="644"/>
      <c r="DG27" s="644"/>
      <c r="DH27" s="10">
        <f>DH28+DH31+DH34+DH36+DH38</f>
        <v>648.60699999999997</v>
      </c>
      <c r="DI27" s="644"/>
      <c r="DJ27" s="786">
        <f>DJ28+DJ31+DJ38+DJ45</f>
        <v>12.874891999999999</v>
      </c>
      <c r="DK27" s="644"/>
      <c r="DL27" s="644"/>
      <c r="DM27" s="644"/>
      <c r="DN27" s="10">
        <v>336.19200000000001</v>
      </c>
      <c r="DO27" s="644"/>
      <c r="DP27" s="644"/>
      <c r="DQ27" s="644"/>
      <c r="DR27" s="644"/>
      <c r="DS27" s="644"/>
      <c r="DT27" s="644"/>
      <c r="DU27" s="644"/>
      <c r="DV27" s="10">
        <v>253.96700000000001</v>
      </c>
      <c r="DW27" s="644"/>
      <c r="DX27" s="10">
        <v>310.42099999999999</v>
      </c>
      <c r="DY27" s="644"/>
      <c r="DZ27" s="10">
        <v>81.728999999999999</v>
      </c>
      <c r="EA27" s="644"/>
      <c r="EB27" s="644"/>
      <c r="EC27" s="644"/>
      <c r="ED27" s="644"/>
      <c r="EE27" s="644"/>
      <c r="EF27" s="672">
        <v>14.579261519999999</v>
      </c>
      <c r="EG27" s="644"/>
      <c r="EH27" s="10">
        <v>28.12623</v>
      </c>
      <c r="EI27" s="644"/>
      <c r="EJ27" s="644"/>
      <c r="EK27" s="644"/>
      <c r="EL27" s="644"/>
      <c r="EM27" s="644"/>
      <c r="EN27" s="10">
        <v>654873010.62</v>
      </c>
      <c r="EO27" s="644"/>
      <c r="EP27" s="10">
        <v>68.156000000000006</v>
      </c>
      <c r="EQ27" s="644"/>
      <c r="ER27" s="644"/>
      <c r="ES27" s="644"/>
      <c r="ET27" s="10"/>
      <c r="EU27" s="644"/>
      <c r="EV27" s="10">
        <v>530.60500000000002</v>
      </c>
      <c r="EW27" s="644"/>
      <c r="EX27" s="10">
        <v>185.53100000000001</v>
      </c>
      <c r="EY27" s="644"/>
      <c r="EZ27" s="10">
        <v>19.899999999999999</v>
      </c>
      <c r="FA27" s="644"/>
      <c r="FB27" s="10">
        <v>324.39999999999998</v>
      </c>
      <c r="FC27" s="644"/>
      <c r="FD27" s="10">
        <v>12.52</v>
      </c>
      <c r="FE27" s="644"/>
      <c r="FF27" s="10">
        <v>66.361999999999995</v>
      </c>
      <c r="FG27" s="644"/>
      <c r="FH27" s="10">
        <v>9.8610000000000007</v>
      </c>
      <c r="FI27" s="644"/>
      <c r="FJ27" s="787">
        <v>346.05500000000001</v>
      </c>
      <c r="FK27" s="644"/>
      <c r="FL27" s="788">
        <v>166.2</v>
      </c>
      <c r="FM27" s="644"/>
      <c r="FN27" s="10">
        <v>319.66800000000001</v>
      </c>
      <c r="FO27" s="644"/>
      <c r="FP27" s="10">
        <v>127.057</v>
      </c>
      <c r="FQ27" s="644"/>
      <c r="FR27" s="644"/>
      <c r="FS27" s="644"/>
      <c r="FT27" s="644"/>
      <c r="FU27" s="644"/>
      <c r="FV27" s="644"/>
      <c r="FW27" s="644"/>
      <c r="FX27" s="10">
        <v>231.30797294000001</v>
      </c>
      <c r="FY27" s="644"/>
      <c r="FZ27" s="644"/>
      <c r="GA27" s="644"/>
      <c r="GB27" s="10">
        <f>GB28+GB31+GB34+GB36</f>
        <v>14.316000000000001</v>
      </c>
      <c r="GC27" s="644"/>
      <c r="GD27" s="27">
        <v>257.81</v>
      </c>
      <c r="GE27" s="644"/>
      <c r="GF27" s="673" t="s">
        <v>1993</v>
      </c>
      <c r="GG27" s="644"/>
      <c r="GH27" s="10">
        <v>241.95780730999999</v>
      </c>
      <c r="GI27" s="644"/>
      <c r="GJ27" s="788">
        <v>349.34500000000003</v>
      </c>
      <c r="GK27" s="644"/>
      <c r="GL27" s="668">
        <v>30</v>
      </c>
      <c r="GM27" s="644"/>
      <c r="GN27" s="27">
        <v>145.73949999999999</v>
      </c>
      <c r="GO27" s="644"/>
      <c r="GP27" s="668">
        <v>3</v>
      </c>
      <c r="GQ27" s="644"/>
      <c r="GR27" s="10">
        <f>169.135+6.294+50.922+770.1+15.7</f>
        <v>1012.1510000000001</v>
      </c>
      <c r="GS27" s="644"/>
      <c r="GT27" s="10">
        <v>1015</v>
      </c>
      <c r="GU27" s="644"/>
      <c r="GV27" s="10">
        <v>177.2</v>
      </c>
      <c r="GW27" s="644"/>
      <c r="GX27" s="10">
        <v>433.1</v>
      </c>
      <c r="GY27" s="644"/>
      <c r="GZ27" s="10">
        <v>347.7</v>
      </c>
      <c r="HA27" s="644"/>
      <c r="HB27" s="10">
        <v>12.57433</v>
      </c>
      <c r="HC27" s="644"/>
      <c r="HD27" s="667">
        <v>1913.33</v>
      </c>
      <c r="HE27" s="644"/>
      <c r="HF27" s="10">
        <v>2.3100272400000001</v>
      </c>
      <c r="HG27" s="644"/>
      <c r="HH27" s="13">
        <v>75</v>
      </c>
      <c r="HI27" s="644"/>
      <c r="HJ27" s="644"/>
      <c r="HK27" s="644"/>
      <c r="HL27" s="10">
        <v>10.204000000000001</v>
      </c>
      <c r="HM27" s="644"/>
      <c r="HN27" s="10">
        <v>735.30100000000004</v>
      </c>
      <c r="HO27" s="644"/>
      <c r="HP27" s="10">
        <v>53.093000000000004</v>
      </c>
      <c r="HQ27" s="644"/>
      <c r="HR27" s="10">
        <v>284.93900000000002</v>
      </c>
      <c r="HS27" s="644"/>
      <c r="HT27" s="674">
        <v>196.6</v>
      </c>
      <c r="HU27" s="644"/>
      <c r="HV27" s="10">
        <v>14.840999999999999</v>
      </c>
      <c r="HW27" s="644"/>
      <c r="HX27" s="10">
        <v>5</v>
      </c>
      <c r="HY27" s="644"/>
      <c r="HZ27" s="10">
        <v>82.757000000000005</v>
      </c>
      <c r="IA27" s="644"/>
      <c r="IB27" s="644"/>
      <c r="IC27" s="644"/>
      <c r="ID27" s="10">
        <v>218.5</v>
      </c>
      <c r="IE27" s="644"/>
      <c r="IF27" s="10">
        <v>55.226934010000001</v>
      </c>
      <c r="IG27" s="789"/>
      <c r="IH27" s="10">
        <v>540.29999999999995</v>
      </c>
      <c r="II27" s="644"/>
      <c r="IJ27" s="644"/>
      <c r="IK27" s="644"/>
      <c r="IL27" s="674">
        <v>68.358000000000004</v>
      </c>
      <c r="IM27" s="644"/>
      <c r="IN27" s="675">
        <v>425.51100000000002</v>
      </c>
      <c r="IO27" s="644"/>
      <c r="IP27" s="27">
        <v>210.57</v>
      </c>
      <c r="IQ27" s="644"/>
      <c r="IR27" s="27">
        <v>41.5</v>
      </c>
      <c r="IS27" s="644"/>
      <c r="IT27" s="10">
        <v>43.018999999999998</v>
      </c>
      <c r="IU27" s="644"/>
      <c r="IV27" s="10">
        <v>229.33199999999999</v>
      </c>
      <c r="IW27" s="644"/>
      <c r="IX27" s="676">
        <v>377.99817926999998</v>
      </c>
      <c r="IY27" s="644"/>
      <c r="IZ27" s="10">
        <v>128.89500000000001</v>
      </c>
      <c r="JA27" s="644"/>
      <c r="JB27" s="10">
        <v>409.62599999999998</v>
      </c>
      <c r="JC27" s="644"/>
      <c r="JD27" s="790">
        <v>102.399</v>
      </c>
      <c r="JE27" s="644"/>
      <c r="JF27" s="644"/>
      <c r="JG27" s="644"/>
      <c r="JH27" s="10">
        <v>19.940799999999999</v>
      </c>
      <c r="JI27" s="644"/>
      <c r="JJ27" s="644"/>
      <c r="JK27" s="644"/>
      <c r="JL27" s="644"/>
      <c r="JM27" s="644"/>
      <c r="JN27" s="10">
        <v>1491.8</v>
      </c>
      <c r="JO27" s="644"/>
      <c r="JP27" s="644"/>
      <c r="JQ27" s="644"/>
      <c r="JR27" s="677">
        <f>633.7961+68.7196</f>
        <v>702.51570000000004</v>
      </c>
      <c r="JS27" s="644"/>
      <c r="JT27" s="27">
        <v>44.5</v>
      </c>
      <c r="JU27" s="644"/>
      <c r="JV27" s="10">
        <v>310.67700000000002</v>
      </c>
      <c r="JW27" s="644"/>
      <c r="JX27" s="10">
        <v>691.3</v>
      </c>
      <c r="JY27" s="644"/>
    </row>
    <row r="28" spans="1:285" ht="31.5" customHeight="1" x14ac:dyDescent="0.2">
      <c r="A28" s="1564" t="s">
        <v>84</v>
      </c>
      <c r="B28" s="1570" t="s">
        <v>165</v>
      </c>
      <c r="C28" s="55" t="s">
        <v>90</v>
      </c>
      <c r="D28" s="56" t="s">
        <v>263</v>
      </c>
      <c r="E28" s="784" t="s">
        <v>152</v>
      </c>
      <c r="F28" s="10">
        <v>9.9949999999999992</v>
      </c>
      <c r="G28" s="756"/>
      <c r="H28" s="666">
        <v>3.4980000000000002</v>
      </c>
      <c r="I28" s="644"/>
      <c r="J28" s="10">
        <f>613.2/1000</f>
        <v>0.61320000000000008</v>
      </c>
      <c r="K28" s="644"/>
      <c r="L28" s="10">
        <v>0.18665598999999999</v>
      </c>
      <c r="M28" s="644"/>
      <c r="N28" s="785">
        <v>242</v>
      </c>
      <c r="O28" s="644"/>
      <c r="P28" s="666">
        <v>5.4759249600000004</v>
      </c>
      <c r="Q28" s="644"/>
      <c r="R28" s="10">
        <v>144.68199999999999</v>
      </c>
      <c r="S28" s="644"/>
      <c r="T28" s="644"/>
      <c r="U28" s="644"/>
      <c r="V28" s="644"/>
      <c r="W28" s="644"/>
      <c r="X28" s="644"/>
      <c r="Y28" s="644"/>
      <c r="Z28" s="10">
        <v>399.66199999999998</v>
      </c>
      <c r="AA28" s="644"/>
      <c r="AB28" s="10">
        <v>224.56100000000001</v>
      </c>
      <c r="AC28" s="644"/>
      <c r="AD28" s="10">
        <v>1612.943</v>
      </c>
      <c r="AE28" s="644"/>
      <c r="AF28" s="644"/>
      <c r="AG28" s="644"/>
      <c r="AH28" s="644"/>
      <c r="AI28" s="644"/>
      <c r="AJ28" s="666">
        <v>95.5</v>
      </c>
      <c r="AK28" s="644"/>
      <c r="AL28" s="10">
        <v>60</v>
      </c>
      <c r="AM28" s="644"/>
      <c r="AN28" s="10">
        <v>45.167999999999999</v>
      </c>
      <c r="AO28" s="644"/>
      <c r="AP28" s="10">
        <v>9.2643000000000004</v>
      </c>
      <c r="AQ28" s="644"/>
      <c r="AR28" s="10">
        <v>71.125</v>
      </c>
      <c r="AS28" s="644"/>
      <c r="AT28" s="10">
        <v>104.2</v>
      </c>
      <c r="AU28" s="644"/>
      <c r="AV28" s="785">
        <v>156.523</v>
      </c>
      <c r="AW28" s="644"/>
      <c r="AX28" s="10">
        <v>144.38640000000001</v>
      </c>
      <c r="AY28" s="644"/>
      <c r="AZ28" s="10">
        <v>250.8699</v>
      </c>
      <c r="BA28" s="644"/>
      <c r="BB28" s="644"/>
      <c r="BC28" s="644"/>
      <c r="BD28" s="669">
        <v>181.45</v>
      </c>
      <c r="BE28" s="644"/>
      <c r="BF28" s="10">
        <v>9.3480000000000008</v>
      </c>
      <c r="BG28" s="644"/>
      <c r="BH28" s="644"/>
      <c r="BI28" s="644"/>
      <c r="BJ28" s="10">
        <v>8.44</v>
      </c>
      <c r="BK28" s="644"/>
      <c r="BL28" s="10">
        <v>44.202355570000002</v>
      </c>
      <c r="BM28" s="644"/>
      <c r="BN28" s="10">
        <v>4</v>
      </c>
      <c r="BO28" s="644"/>
      <c r="BP28" s="670">
        <v>850</v>
      </c>
      <c r="BQ28" s="644"/>
      <c r="BR28" s="10">
        <v>74.2</v>
      </c>
      <c r="BS28" s="644"/>
      <c r="BT28" s="10">
        <v>181.6</v>
      </c>
      <c r="BU28" s="644"/>
      <c r="BV28" s="10">
        <v>15.516999999999999</v>
      </c>
      <c r="BW28" s="644"/>
      <c r="BX28" s="671">
        <v>13.586</v>
      </c>
      <c r="BY28" s="644"/>
      <c r="BZ28" s="671">
        <v>9.5869999999999997</v>
      </c>
      <c r="CA28" s="644"/>
      <c r="CB28" s="10">
        <v>120.122</v>
      </c>
      <c r="CC28" s="644"/>
      <c r="CD28" s="644"/>
      <c r="CE28" s="644"/>
      <c r="CF28" s="644"/>
      <c r="CG28" s="644"/>
      <c r="CH28" s="671">
        <v>56.1</v>
      </c>
      <c r="CI28" s="10"/>
      <c r="CJ28" s="10">
        <v>27.3</v>
      </c>
      <c r="CK28" s="10"/>
      <c r="CL28" s="10">
        <v>101.6</v>
      </c>
      <c r="CM28" s="644"/>
      <c r="CN28" s="10">
        <v>13.728</v>
      </c>
      <c r="CO28" s="644"/>
      <c r="CP28" s="10">
        <v>13.5</v>
      </c>
      <c r="CQ28" s="644"/>
      <c r="CR28" s="10">
        <v>210.44</v>
      </c>
      <c r="CS28" s="644"/>
      <c r="CT28" s="10" t="s">
        <v>2218</v>
      </c>
      <c r="CU28" s="644"/>
      <c r="CV28" s="27">
        <v>0.96</v>
      </c>
      <c r="CW28" s="644"/>
      <c r="CX28" s="15">
        <v>79.900000000000006</v>
      </c>
      <c r="CY28" s="644"/>
      <c r="CZ28" s="27">
        <v>58.81</v>
      </c>
      <c r="DA28" s="644"/>
      <c r="DB28" s="15">
        <v>2.016</v>
      </c>
      <c r="DC28" s="644"/>
      <c r="DD28" s="665">
        <v>239.73519999999999</v>
      </c>
      <c r="DE28" s="644"/>
      <c r="DF28" s="644"/>
      <c r="DG28" s="644"/>
      <c r="DH28" s="10">
        <v>153.923</v>
      </c>
      <c r="DI28" s="644"/>
      <c r="DJ28" s="786">
        <f>88.09792/1000</f>
        <v>8.8097919999999996E-2</v>
      </c>
      <c r="DK28" s="644"/>
      <c r="DL28" s="644"/>
      <c r="DM28" s="644"/>
      <c r="DN28" s="10">
        <v>166.035</v>
      </c>
      <c r="DO28" s="644"/>
      <c r="DP28" s="644"/>
      <c r="DQ28" s="644"/>
      <c r="DR28" s="644"/>
      <c r="DS28" s="644"/>
      <c r="DT28" s="644"/>
      <c r="DU28" s="644"/>
      <c r="DV28" s="10">
        <v>205.74100000000001</v>
      </c>
      <c r="DW28" s="644"/>
      <c r="DX28" s="10">
        <v>243.374</v>
      </c>
      <c r="DY28" s="644"/>
      <c r="DZ28" s="10">
        <v>65.206000000000003</v>
      </c>
      <c r="EA28" s="644"/>
      <c r="EB28" s="644"/>
      <c r="EC28" s="644"/>
      <c r="ED28" s="644"/>
      <c r="EE28" s="644"/>
      <c r="EF28" s="678">
        <v>10.19108436</v>
      </c>
      <c r="EG28" s="644"/>
      <c r="EH28" s="10">
        <v>20.04638989</v>
      </c>
      <c r="EI28" s="644"/>
      <c r="EJ28" s="644"/>
      <c r="EK28" s="644"/>
      <c r="EL28" s="644"/>
      <c r="EM28" s="644"/>
      <c r="EN28" s="10">
        <v>498765004.76999998</v>
      </c>
      <c r="EO28" s="644"/>
      <c r="EP28" s="10">
        <v>32.627000000000002</v>
      </c>
      <c r="EQ28" s="644"/>
      <c r="ER28" s="644"/>
      <c r="ES28" s="644"/>
      <c r="ET28" s="10">
        <v>899.00800000000004</v>
      </c>
      <c r="EU28" s="644"/>
      <c r="EV28" s="10">
        <v>316.43799999999999</v>
      </c>
      <c r="EW28" s="644"/>
      <c r="EX28" s="10">
        <v>185.001</v>
      </c>
      <c r="EY28" s="644"/>
      <c r="EZ28" s="10">
        <v>4.2</v>
      </c>
      <c r="FA28" s="644"/>
      <c r="FB28" s="10">
        <v>82.1</v>
      </c>
      <c r="FC28" s="644"/>
      <c r="FD28" s="10">
        <v>5</v>
      </c>
      <c r="FE28" s="644"/>
      <c r="FF28" s="10">
        <v>35.119999999999997</v>
      </c>
      <c r="FG28" s="644"/>
      <c r="FH28" s="10">
        <v>7</v>
      </c>
      <c r="FI28" s="644"/>
      <c r="FJ28" s="671">
        <v>5.1470000000000002</v>
      </c>
      <c r="FK28" s="644"/>
      <c r="FL28" s="788">
        <v>116.4</v>
      </c>
      <c r="FM28" s="644"/>
      <c r="FN28" s="10">
        <v>5.68</v>
      </c>
      <c r="FO28" s="644"/>
      <c r="FP28" s="10">
        <v>75.95</v>
      </c>
      <c r="FQ28" s="644"/>
      <c r="FR28" s="644"/>
      <c r="FS28" s="644"/>
      <c r="FT28" s="644"/>
      <c r="FU28" s="644"/>
      <c r="FV28" s="644"/>
      <c r="FW28" s="644"/>
      <c r="FX28" s="10">
        <v>207.63553501000001</v>
      </c>
      <c r="FY28" s="644"/>
      <c r="FZ28" s="644"/>
      <c r="GA28" s="644"/>
      <c r="GB28" s="10">
        <v>11.986000000000001</v>
      </c>
      <c r="GC28" s="644"/>
      <c r="GD28" s="27">
        <v>197.3</v>
      </c>
      <c r="GE28" s="644"/>
      <c r="GF28" s="679">
        <v>2.08</v>
      </c>
      <c r="GG28" s="644"/>
      <c r="GH28" s="10">
        <v>168.84198476</v>
      </c>
      <c r="GI28" s="644"/>
      <c r="GJ28" s="788">
        <v>244.25800000000001</v>
      </c>
      <c r="GK28" s="644"/>
      <c r="GL28" s="10">
        <f>GL27</f>
        <v>30</v>
      </c>
      <c r="GM28" s="644"/>
      <c r="GN28" s="680">
        <f>GN27</f>
        <v>145.73949999999999</v>
      </c>
      <c r="GO28" s="644"/>
      <c r="GP28" s="668">
        <v>3</v>
      </c>
      <c r="GQ28" s="644"/>
      <c r="GR28" s="10">
        <f>116.397+6.294+15.7</f>
        <v>138.39099999999999</v>
      </c>
      <c r="GS28" s="644"/>
      <c r="GT28" s="10">
        <v>500</v>
      </c>
      <c r="GU28" s="644"/>
      <c r="GV28" s="10">
        <v>150.19999999999999</v>
      </c>
      <c r="GW28" s="644"/>
      <c r="GX28" s="10">
        <v>428.8</v>
      </c>
      <c r="GY28" s="644"/>
      <c r="GZ28" s="10">
        <v>344.2</v>
      </c>
      <c r="HA28" s="644"/>
      <c r="HB28" s="10">
        <v>6.08571024</v>
      </c>
      <c r="HC28" s="644"/>
      <c r="HD28" s="667">
        <v>122.6472</v>
      </c>
      <c r="HE28" s="644"/>
      <c r="HF28" s="10">
        <v>0.21315971</v>
      </c>
      <c r="HG28" s="644"/>
      <c r="HH28" s="13">
        <v>75</v>
      </c>
      <c r="HI28" s="644"/>
      <c r="HJ28" s="644"/>
      <c r="HK28" s="644"/>
      <c r="HL28" s="10">
        <v>9.4239999999999995</v>
      </c>
      <c r="HM28" s="644"/>
      <c r="HN28" s="10">
        <v>430.09699999999998</v>
      </c>
      <c r="HO28" s="644"/>
      <c r="HP28" s="10">
        <v>3.2509999999999999</v>
      </c>
      <c r="HQ28" s="644"/>
      <c r="HR28" s="10">
        <v>5.6929999999999996</v>
      </c>
      <c r="HS28" s="644"/>
      <c r="HT28" s="674">
        <v>196.4</v>
      </c>
      <c r="HU28" s="644"/>
      <c r="HV28" s="10">
        <v>1.173</v>
      </c>
      <c r="HW28" s="644"/>
      <c r="HX28" s="10">
        <v>4</v>
      </c>
      <c r="HY28" s="644"/>
      <c r="HZ28" s="10">
        <v>19.899999999999999</v>
      </c>
      <c r="IA28" s="644"/>
      <c r="IB28" s="644"/>
      <c r="IC28" s="644"/>
      <c r="ID28" s="10">
        <v>130.30000000000001</v>
      </c>
      <c r="IE28" s="644"/>
      <c r="IF28" s="665">
        <v>39.306293160000003</v>
      </c>
      <c r="IG28" s="756"/>
      <c r="IH28" s="10">
        <v>359.3</v>
      </c>
      <c r="II28" s="644"/>
      <c r="IJ28" s="644"/>
      <c r="IK28" s="644"/>
      <c r="IL28" s="674">
        <v>33.953000000000003</v>
      </c>
      <c r="IM28" s="644"/>
      <c r="IN28" s="675">
        <v>310.62299999999999</v>
      </c>
      <c r="IO28" s="644"/>
      <c r="IP28" s="27">
        <v>143.46</v>
      </c>
      <c r="IQ28" s="644"/>
      <c r="IR28" s="27">
        <v>34.799999999999997</v>
      </c>
      <c r="IS28" s="644"/>
      <c r="IT28" s="10">
        <v>30.4</v>
      </c>
      <c r="IU28" s="644"/>
      <c r="IV28" s="10">
        <v>40.366</v>
      </c>
      <c r="IW28" s="644"/>
      <c r="IX28" s="671">
        <v>10.77307826</v>
      </c>
      <c r="IY28" s="644"/>
      <c r="IZ28" s="10">
        <v>75</v>
      </c>
      <c r="JA28" s="644"/>
      <c r="JB28" s="10">
        <v>11.058</v>
      </c>
      <c r="JC28" s="644"/>
      <c r="JD28" s="10">
        <v>44.018000000000001</v>
      </c>
      <c r="JE28" s="644"/>
      <c r="JF28" s="644"/>
      <c r="JG28" s="644"/>
      <c r="JH28" s="10">
        <v>19.741299999999999</v>
      </c>
      <c r="JI28" s="644"/>
      <c r="JJ28" s="644"/>
      <c r="JK28" s="644"/>
      <c r="JL28" s="644"/>
      <c r="JM28" s="644"/>
      <c r="JN28" s="10">
        <v>1491.8</v>
      </c>
      <c r="JO28" s="644"/>
      <c r="JP28" s="644"/>
      <c r="JQ28" s="644"/>
      <c r="JR28" s="677">
        <f>432.9885+21.0718</f>
        <v>454.06029999999998</v>
      </c>
      <c r="JS28" s="644"/>
      <c r="JT28" s="27">
        <v>36.4</v>
      </c>
      <c r="JU28" s="644"/>
      <c r="JV28" s="10"/>
      <c r="JW28" s="644"/>
      <c r="JX28" s="10">
        <v>146.9</v>
      </c>
      <c r="JY28" s="644"/>
    </row>
    <row r="29" spans="1:285" ht="15.75" customHeight="1" x14ac:dyDescent="0.2">
      <c r="A29" s="1565"/>
      <c r="B29" s="1571"/>
      <c r="C29" s="70" t="s">
        <v>91</v>
      </c>
      <c r="D29" s="71" t="s">
        <v>231</v>
      </c>
      <c r="E29" s="755" t="s">
        <v>52</v>
      </c>
      <c r="F29" s="11">
        <v>0.68720000000000003</v>
      </c>
      <c r="G29" s="756"/>
      <c r="H29" s="11">
        <f>+H28/$F$29</f>
        <v>5.0902211874272414</v>
      </c>
      <c r="I29" s="644"/>
      <c r="J29" s="11">
        <v>9.75E-3</v>
      </c>
      <c r="K29" s="644"/>
      <c r="L29" s="11">
        <f>L28*100%/L27</f>
        <v>6.8044928724101715E-3</v>
      </c>
      <c r="M29" s="644"/>
      <c r="N29" s="791">
        <v>0.72299999999999998</v>
      </c>
      <c r="O29" s="644"/>
      <c r="P29" s="681">
        <f>P28/P27</f>
        <v>0.92237427384201687</v>
      </c>
      <c r="Q29" s="644"/>
      <c r="R29" s="11">
        <v>0.78359999999999996</v>
      </c>
      <c r="S29" s="644"/>
      <c r="T29" s="644"/>
      <c r="U29" s="644"/>
      <c r="V29" s="644"/>
      <c r="W29" s="644"/>
      <c r="X29" s="644"/>
      <c r="Y29" s="644"/>
      <c r="Z29" s="11">
        <v>0.67800000000000005</v>
      </c>
      <c r="AA29" s="644"/>
      <c r="AB29" s="11">
        <v>0.87339999999999995</v>
      </c>
      <c r="AC29" s="644"/>
      <c r="AD29" s="11">
        <v>0.92700000000000005</v>
      </c>
      <c r="AE29" s="644"/>
      <c r="AF29" s="644"/>
      <c r="AG29" s="644"/>
      <c r="AH29" s="644"/>
      <c r="AI29" s="644"/>
      <c r="AJ29" s="681">
        <v>0.878</v>
      </c>
      <c r="AK29" s="644"/>
      <c r="AL29" s="11">
        <v>1</v>
      </c>
      <c r="AM29" s="644"/>
      <c r="AN29" s="11">
        <f>AN28/AN27*100%</f>
        <v>8.0087094360498309E-2</v>
      </c>
      <c r="AO29" s="644"/>
      <c r="AP29" s="11">
        <f>AP28/AP27</f>
        <v>0.19490863953378287</v>
      </c>
      <c r="AQ29" s="644"/>
      <c r="AR29" s="11">
        <v>0.5</v>
      </c>
      <c r="AS29" s="644"/>
      <c r="AT29" s="11">
        <f>AT28/AT27</f>
        <v>0.7317415730337079</v>
      </c>
      <c r="AU29" s="644"/>
      <c r="AV29" s="791">
        <v>0.6915</v>
      </c>
      <c r="AW29" s="644"/>
      <c r="AX29" s="11">
        <f>AX28/AX27</f>
        <v>0.71037106608499978</v>
      </c>
      <c r="AY29" s="644"/>
      <c r="AZ29" s="11">
        <v>0.80789999999999995</v>
      </c>
      <c r="BA29" s="644"/>
      <c r="BB29" s="644"/>
      <c r="BC29" s="644"/>
      <c r="BD29" s="669">
        <f>BD28/BD27*100</f>
        <v>67.293428274736684</v>
      </c>
      <c r="BE29" s="644"/>
      <c r="BF29" s="11">
        <v>9.1999999999999998E-3</v>
      </c>
      <c r="BG29" s="644"/>
      <c r="BH29" s="644"/>
      <c r="BI29" s="644"/>
      <c r="BJ29" s="11">
        <v>0.39</v>
      </c>
      <c r="BK29" s="644"/>
      <c r="BL29" s="11">
        <f>BL28/BL27</f>
        <v>0.74198011260895025</v>
      </c>
      <c r="BM29" s="644"/>
      <c r="BN29" s="11">
        <v>0.8</v>
      </c>
      <c r="BO29" s="644"/>
      <c r="BP29" s="682">
        <v>0.89649999999999996</v>
      </c>
      <c r="BQ29" s="644"/>
      <c r="BR29" s="11">
        <f>BR28/BR27</f>
        <v>0.97375328083989499</v>
      </c>
      <c r="BS29" s="644"/>
      <c r="BT29" s="11">
        <v>0.79890000000000005</v>
      </c>
      <c r="BU29" s="644"/>
      <c r="BV29" s="11">
        <f>BV28/BV27</f>
        <v>3.7594003178664182E-2</v>
      </c>
      <c r="BW29" s="644"/>
      <c r="BX29" s="683">
        <f>BX28/BX27</f>
        <v>0.20609517452708542</v>
      </c>
      <c r="BY29" s="644"/>
      <c r="BZ29" s="683">
        <f>BZ28/BZ27</f>
        <v>0.74641856119588912</v>
      </c>
      <c r="CA29" s="644"/>
      <c r="CB29" s="11">
        <f>CB28/CB27</f>
        <v>0.69162429972190387</v>
      </c>
      <c r="CC29" s="644"/>
      <c r="CD29" s="644"/>
      <c r="CE29" s="644"/>
      <c r="CF29" s="644"/>
      <c r="CG29" s="644"/>
      <c r="CH29" s="683">
        <f>CH28/CH27</f>
        <v>0.64780600461893767</v>
      </c>
      <c r="CI29" s="11"/>
      <c r="CJ29" s="11">
        <f>CJ28/CJ27</f>
        <v>0.85046728971962615</v>
      </c>
      <c r="CK29" s="11"/>
      <c r="CL29" s="11">
        <v>0.62990000000000002</v>
      </c>
      <c r="CM29" s="644"/>
      <c r="CN29" s="11">
        <v>0.6</v>
      </c>
      <c r="CO29" s="644"/>
      <c r="CP29" s="11">
        <v>0.59199999999999997</v>
      </c>
      <c r="CQ29" s="644"/>
      <c r="CR29" s="11">
        <v>0.61799999999999999</v>
      </c>
      <c r="CS29" s="644"/>
      <c r="CT29" s="11">
        <v>0.81799999999999995</v>
      </c>
      <c r="CU29" s="644"/>
      <c r="CV29" s="11">
        <f>CV28/CV27</f>
        <v>3.0670926517571882E-2</v>
      </c>
      <c r="CW29" s="644"/>
      <c r="CX29" s="11">
        <f>CX28/CX27</f>
        <v>0.49169230769230771</v>
      </c>
      <c r="CY29" s="644"/>
      <c r="CZ29" s="11">
        <f>CZ28/CZ27</f>
        <v>0.5</v>
      </c>
      <c r="DA29" s="644"/>
      <c r="DB29" s="11">
        <f>DB28/DB27</f>
        <v>7.3389151801965787E-3</v>
      </c>
      <c r="DC29" s="644"/>
      <c r="DD29" s="684">
        <v>1</v>
      </c>
      <c r="DE29" s="644"/>
      <c r="DF29" s="644"/>
      <c r="DG29" s="644"/>
      <c r="DH29" s="11">
        <f>DH28/DH27</f>
        <v>0.23731319581811483</v>
      </c>
      <c r="DI29" s="644"/>
      <c r="DJ29" s="792">
        <f>DJ28/DJ27</f>
        <v>6.8426142914441539E-3</v>
      </c>
      <c r="DK29" s="644"/>
      <c r="DL29" s="644"/>
      <c r="DM29" s="644"/>
      <c r="DN29" s="11">
        <v>0.49390000000000001</v>
      </c>
      <c r="DO29" s="644"/>
      <c r="DP29" s="644"/>
      <c r="DQ29" s="644"/>
      <c r="DR29" s="644"/>
      <c r="DS29" s="644"/>
      <c r="DT29" s="644"/>
      <c r="DU29" s="644"/>
      <c r="DV29" s="11">
        <v>0.81010000000000004</v>
      </c>
      <c r="DW29" s="644"/>
      <c r="DX29" s="11">
        <v>0.78400000000000003</v>
      </c>
      <c r="DY29" s="644"/>
      <c r="DZ29" s="11">
        <v>0.8</v>
      </c>
      <c r="EA29" s="644"/>
      <c r="EB29" s="644"/>
      <c r="EC29" s="644"/>
      <c r="ED29" s="644"/>
      <c r="EE29" s="644"/>
      <c r="EF29" s="685">
        <f>EF28/EF27</f>
        <v>0.69901238454497527</v>
      </c>
      <c r="EG29" s="644"/>
      <c r="EH29" s="11">
        <v>0.71279999999999999</v>
      </c>
      <c r="EI29" s="644"/>
      <c r="EJ29" s="644"/>
      <c r="EK29" s="644"/>
      <c r="EL29" s="644"/>
      <c r="EM29" s="644"/>
      <c r="EN29" s="11" t="s">
        <v>1433</v>
      </c>
      <c r="EO29" s="644"/>
      <c r="EP29" s="11">
        <v>0.47870000000000001</v>
      </c>
      <c r="EQ29" s="644"/>
      <c r="ER29" s="644"/>
      <c r="ES29" s="644"/>
      <c r="ET29" s="11">
        <v>1</v>
      </c>
      <c r="EU29" s="644"/>
      <c r="EV29" s="11">
        <v>0.59640000000000004</v>
      </c>
      <c r="EW29" s="644"/>
      <c r="EX29" s="11">
        <v>0.997</v>
      </c>
      <c r="EY29" s="644"/>
      <c r="EZ29" s="11">
        <v>0.21099999999999999</v>
      </c>
      <c r="FA29" s="644"/>
      <c r="FB29" s="11">
        <v>0.253</v>
      </c>
      <c r="FC29" s="644"/>
      <c r="FD29" s="11">
        <v>0.39900000000000002</v>
      </c>
      <c r="FE29" s="644"/>
      <c r="FF29" s="11">
        <v>0.5292</v>
      </c>
      <c r="FG29" s="644"/>
      <c r="FH29" s="11">
        <v>0.70989999999999998</v>
      </c>
      <c r="FI29" s="644"/>
      <c r="FJ29" s="683">
        <f>FJ28/FJ27</f>
        <v>1.4873358281198077E-2</v>
      </c>
      <c r="FK29" s="644"/>
      <c r="FL29" s="793">
        <v>0.70040000000000002</v>
      </c>
      <c r="FM29" s="644"/>
      <c r="FN29" s="11">
        <f>284/319.668</f>
        <v>0.88842173755271092</v>
      </c>
      <c r="FO29" s="644"/>
      <c r="FP29" s="11">
        <f>FP28/FP27</f>
        <v>0.59776320863864252</v>
      </c>
      <c r="FQ29" s="644"/>
      <c r="FR29" s="644"/>
      <c r="FS29" s="644"/>
      <c r="FT29" s="644"/>
      <c r="FU29" s="644"/>
      <c r="FV29" s="644"/>
      <c r="FW29" s="644"/>
      <c r="FX29" s="11">
        <f>FX28/FX27</f>
        <v>0.89765835725800724</v>
      </c>
      <c r="FY29" s="644"/>
      <c r="FZ29" s="644"/>
      <c r="GA29" s="644"/>
      <c r="GB29" s="11">
        <f>GB28/GB27</f>
        <v>0.83724504051411008</v>
      </c>
      <c r="GC29" s="644"/>
      <c r="GD29" s="11">
        <v>0.76529999999999998</v>
      </c>
      <c r="GE29" s="644"/>
      <c r="GF29" s="665">
        <v>14.48</v>
      </c>
      <c r="GG29" s="644"/>
      <c r="GH29" s="11">
        <v>0.69779999999999998</v>
      </c>
      <c r="GI29" s="644"/>
      <c r="GJ29" s="793">
        <v>0.69920000000000004</v>
      </c>
      <c r="GK29" s="644"/>
      <c r="GL29" s="11">
        <v>1</v>
      </c>
      <c r="GM29" s="644"/>
      <c r="GN29" s="11">
        <v>1</v>
      </c>
      <c r="GO29" s="644"/>
      <c r="GP29" s="11">
        <v>1</v>
      </c>
      <c r="GQ29" s="644"/>
      <c r="GR29" s="11">
        <v>0.13669999999999999</v>
      </c>
      <c r="GS29" s="644"/>
      <c r="GT29" s="11">
        <v>0.49230000000000002</v>
      </c>
      <c r="GU29" s="644"/>
      <c r="GV29" s="11">
        <v>0.84799999999999998</v>
      </c>
      <c r="GW29" s="644"/>
      <c r="GX29" s="11">
        <v>0.99</v>
      </c>
      <c r="GY29" s="644"/>
      <c r="GZ29" s="11">
        <v>0.9899</v>
      </c>
      <c r="HA29" s="644"/>
      <c r="HB29" s="11">
        <f>HB28/HB27</f>
        <v>0.48397888714547815</v>
      </c>
      <c r="HC29" s="644"/>
      <c r="HD29" s="11">
        <f>HD28/HD27</f>
        <v>6.4101435716786961E-2</v>
      </c>
      <c r="HE29" s="644"/>
      <c r="HF29" s="11">
        <f>HF28/HF27</f>
        <v>9.2275842600020586E-2</v>
      </c>
      <c r="HG29" s="644"/>
      <c r="HH29" s="33">
        <v>1</v>
      </c>
      <c r="HI29" s="644"/>
      <c r="HJ29" s="644"/>
      <c r="HK29" s="644"/>
      <c r="HL29" s="11">
        <v>0.92349999999999999</v>
      </c>
      <c r="HM29" s="644"/>
      <c r="HN29" s="11">
        <f>HN28/HN27</f>
        <v>0.58492644508847391</v>
      </c>
      <c r="HO29" s="644"/>
      <c r="HP29" s="11">
        <v>6.0999999999999999E-2</v>
      </c>
      <c r="HQ29" s="644"/>
      <c r="HR29" s="11">
        <v>0.02</v>
      </c>
      <c r="HS29" s="644"/>
      <c r="HT29" s="686">
        <v>0.999</v>
      </c>
      <c r="HU29" s="644"/>
      <c r="HV29" s="11">
        <v>7.9000000000000001E-2</v>
      </c>
      <c r="HW29" s="644"/>
      <c r="HX29" s="11">
        <v>0.8</v>
      </c>
      <c r="HY29" s="644"/>
      <c r="HZ29" s="11">
        <v>0.24049999999999999</v>
      </c>
      <c r="IA29" s="644"/>
      <c r="IB29" s="644"/>
      <c r="IC29" s="644"/>
      <c r="ID29" s="11">
        <f>ID28/ID27</f>
        <v>0.59633867276887875</v>
      </c>
      <c r="IE29" s="644"/>
      <c r="IF29" s="11">
        <f>IF28/IF27</f>
        <v>0.71172325360091093</v>
      </c>
      <c r="IG29" s="789"/>
      <c r="IH29" s="11">
        <v>0.66500000000000004</v>
      </c>
      <c r="II29" s="644"/>
      <c r="IJ29" s="644"/>
      <c r="IK29" s="644"/>
      <c r="IL29" s="686">
        <f>IL28/IL27</f>
        <v>0.49669387635682732</v>
      </c>
      <c r="IM29" s="644"/>
      <c r="IN29" s="687">
        <v>0.73</v>
      </c>
      <c r="IO29" s="644"/>
      <c r="IP29" s="27">
        <v>68.13</v>
      </c>
      <c r="IQ29" s="644"/>
      <c r="IR29" s="27">
        <v>83.855000000000004</v>
      </c>
      <c r="IS29" s="644"/>
      <c r="IT29" s="11">
        <v>0.70699999999999996</v>
      </c>
      <c r="IU29" s="644"/>
      <c r="IV29" s="11">
        <v>0.17599999999999999</v>
      </c>
      <c r="IW29" s="644"/>
      <c r="IX29" s="688">
        <v>0.03</v>
      </c>
      <c r="IY29" s="644"/>
      <c r="IZ29" s="11">
        <v>0.58189999999999997</v>
      </c>
      <c r="JA29" s="644"/>
      <c r="JB29" s="11">
        <v>2.69964E-2</v>
      </c>
      <c r="JC29" s="644"/>
      <c r="JD29" s="11">
        <f>JD28/JD27</f>
        <v>0.42986747917460133</v>
      </c>
      <c r="JE29" s="644"/>
      <c r="JF29" s="644"/>
      <c r="JG29" s="644"/>
      <c r="JH29" s="11">
        <v>0.99</v>
      </c>
      <c r="JI29" s="644"/>
      <c r="JJ29" s="644"/>
      <c r="JK29" s="644"/>
      <c r="JL29" s="644"/>
      <c r="JM29" s="644"/>
      <c r="JN29" s="11">
        <v>1</v>
      </c>
      <c r="JO29" s="644"/>
      <c r="JP29" s="644"/>
      <c r="JQ29" s="644"/>
      <c r="JR29" s="689">
        <f>JR28/JR27</f>
        <v>0.64633473671833952</v>
      </c>
      <c r="JS29" s="644"/>
      <c r="JT29" s="11">
        <v>0.82</v>
      </c>
      <c r="JU29" s="644"/>
      <c r="JV29" s="11"/>
      <c r="JW29" s="644"/>
      <c r="JX29" s="11">
        <v>0.21199999999999999</v>
      </c>
      <c r="JY29" s="644"/>
    </row>
    <row r="30" spans="1:285" ht="84" customHeight="1" thickBot="1" x14ac:dyDescent="0.25">
      <c r="A30" s="1568"/>
      <c r="B30" s="1572"/>
      <c r="C30" s="72" t="s">
        <v>92</v>
      </c>
      <c r="D30" s="73" t="s">
        <v>264</v>
      </c>
      <c r="E30" s="755" t="s">
        <v>52</v>
      </c>
      <c r="F30" s="11">
        <v>2.9999999999999997E-4</v>
      </c>
      <c r="G30" s="756"/>
      <c r="H30" s="11">
        <f>+H28/(27795635881/1000000)</f>
        <v>1.2584709394581958E-4</v>
      </c>
      <c r="I30" s="644"/>
      <c r="J30" s="30">
        <f>+J28/27795.6</f>
        <v>2.2061045633121794E-5</v>
      </c>
      <c r="K30" s="644"/>
      <c r="L30" s="30">
        <f>+L28/27795.6</f>
        <v>6.7153070989653042E-6</v>
      </c>
      <c r="M30" s="644"/>
      <c r="N30" s="791">
        <v>1.8E-3</v>
      </c>
      <c r="O30" s="644"/>
      <c r="P30" s="681">
        <v>4.0000000000000003E-5</v>
      </c>
      <c r="Q30" s="644"/>
      <c r="R30" s="11">
        <v>1.57E-3</v>
      </c>
      <c r="S30" s="644"/>
      <c r="T30" s="644"/>
      <c r="U30" s="644"/>
      <c r="V30" s="644"/>
      <c r="W30" s="644"/>
      <c r="X30" s="644"/>
      <c r="Y30" s="644"/>
      <c r="Z30" s="11">
        <v>1.5E-3</v>
      </c>
      <c r="AA30" s="644"/>
      <c r="AB30" s="11">
        <v>8.9999999999999998E-4</v>
      </c>
      <c r="AC30" s="644"/>
      <c r="AD30" s="11">
        <v>6.1999999999999998E-3</v>
      </c>
      <c r="AE30" s="644"/>
      <c r="AF30" s="644"/>
      <c r="AG30" s="644"/>
      <c r="AH30" s="644"/>
      <c r="AI30" s="644"/>
      <c r="AJ30" s="681">
        <v>1.1999999999999999E-3</v>
      </c>
      <c r="AK30" s="644"/>
      <c r="AL30" s="11">
        <v>6.9999999999999999E-4</v>
      </c>
      <c r="AM30" s="644"/>
      <c r="AN30" s="11">
        <v>5.9999999999999995E-4</v>
      </c>
      <c r="AO30" s="644"/>
      <c r="AP30" s="11">
        <v>1.2999999999999999E-4</v>
      </c>
      <c r="AQ30" s="644"/>
      <c r="AR30" s="11">
        <v>8.0000000000000004E-4</v>
      </c>
      <c r="AS30" s="644"/>
      <c r="AT30" s="11">
        <f>AT28/135383.9</f>
        <v>7.6966315787918658E-4</v>
      </c>
      <c r="AU30" s="644"/>
      <c r="AV30" s="791">
        <v>1.5E-3</v>
      </c>
      <c r="AW30" s="644"/>
      <c r="AX30" s="11">
        <f>AX28/137598.04</f>
        <v>1.0493347143607568E-3</v>
      </c>
      <c r="AY30" s="644"/>
      <c r="AZ30" s="11">
        <f>AZ28/137598.04</f>
        <v>1.8232083829101053E-3</v>
      </c>
      <c r="BA30" s="644"/>
      <c r="BB30" s="644"/>
      <c r="BC30" s="644"/>
      <c r="BD30" s="5"/>
      <c r="BE30" s="644"/>
      <c r="BF30" s="11">
        <v>1E-4</v>
      </c>
      <c r="BG30" s="644"/>
      <c r="BH30" s="644"/>
      <c r="BI30" s="644"/>
      <c r="BJ30" s="11"/>
      <c r="BK30" s="644"/>
      <c r="BL30" s="11">
        <v>7.3999999999999999E-4</v>
      </c>
      <c r="BM30" s="644"/>
      <c r="BN30" s="11">
        <v>2.0000000000000001E-4</v>
      </c>
      <c r="BO30" s="644"/>
      <c r="BP30" s="683">
        <v>3.8E-3</v>
      </c>
      <c r="BQ30" s="644"/>
      <c r="BR30" s="11">
        <f>BR28/48708.5</f>
        <v>1.5233480809304333E-3</v>
      </c>
      <c r="BS30" s="644"/>
      <c r="BT30" s="11" t="s">
        <v>926</v>
      </c>
      <c r="BU30" s="644"/>
      <c r="BV30" s="11">
        <v>4.1544734819987088E-3</v>
      </c>
      <c r="BW30" s="644"/>
      <c r="BX30" s="683">
        <f>BX28/22318</f>
        <v>6.0874630343220716E-4</v>
      </c>
      <c r="BY30" s="644"/>
      <c r="BZ30" s="683">
        <f>BZ28/22318</f>
        <v>4.2956358096603639E-4</v>
      </c>
      <c r="CA30" s="644"/>
      <c r="CB30" s="11">
        <v>1.4E-3</v>
      </c>
      <c r="CC30" s="644"/>
      <c r="CD30" s="644"/>
      <c r="CE30" s="644"/>
      <c r="CF30" s="644"/>
      <c r="CG30" s="644"/>
      <c r="CH30" s="683">
        <v>8.0000000000000004E-4</v>
      </c>
      <c r="CI30" s="11"/>
      <c r="CJ30" s="11">
        <v>4.0000000000000002E-4</v>
      </c>
      <c r="CK30" s="11"/>
      <c r="CL30" s="11">
        <v>1E-3</v>
      </c>
      <c r="CM30" s="644"/>
      <c r="CN30" s="11">
        <v>2.0000000000000001E-4</v>
      </c>
      <c r="CO30" s="644"/>
      <c r="CP30" s="11">
        <v>2.0000000000000001E-4</v>
      </c>
      <c r="CQ30" s="644"/>
      <c r="CR30" s="11">
        <v>3.0000000000000001E-3</v>
      </c>
      <c r="CS30" s="644"/>
      <c r="CT30" s="11">
        <v>1.1558742665286469E-3</v>
      </c>
      <c r="CU30" s="644"/>
      <c r="CV30" s="28">
        <f>CV28/39702.2</f>
        <v>2.4180020250766961E-5</v>
      </c>
      <c r="CW30" s="644"/>
      <c r="CX30" s="11">
        <f>CX28/39702.2</f>
        <v>2.0124829354544586E-3</v>
      </c>
      <c r="CY30" s="644"/>
      <c r="CZ30" s="11">
        <f>CZ28/39702.2</f>
        <v>1.4812781155704219E-3</v>
      </c>
      <c r="DA30" s="644"/>
      <c r="DB30" s="11">
        <f>DB28/39702.2</f>
        <v>5.0778042526610618E-5</v>
      </c>
      <c r="DC30" s="644"/>
      <c r="DD30" s="684">
        <v>7.5000000000000002E-4</v>
      </c>
      <c r="DE30" s="644"/>
      <c r="DF30" s="644"/>
      <c r="DG30" s="644"/>
      <c r="DH30" s="11">
        <v>2.8E-3</v>
      </c>
      <c r="DI30" s="644"/>
      <c r="DJ30" s="792">
        <v>2.3000000000000001E-4</v>
      </c>
      <c r="DK30" s="644"/>
      <c r="DL30" s="644"/>
      <c r="DM30" s="644"/>
      <c r="DN30" s="11">
        <v>2.3E-3</v>
      </c>
      <c r="DO30" s="644"/>
      <c r="DP30" s="644"/>
      <c r="DQ30" s="644"/>
      <c r="DR30" s="644"/>
      <c r="DS30" s="644"/>
      <c r="DT30" s="644"/>
      <c r="DU30" s="644"/>
      <c r="DV30" s="11">
        <v>1.1999999999999999E-3</v>
      </c>
      <c r="DW30" s="644"/>
      <c r="DX30" s="11">
        <v>1.42E-3</v>
      </c>
      <c r="DY30" s="644"/>
      <c r="DZ30" s="11">
        <v>8.2700000000000004E-6</v>
      </c>
      <c r="EA30" s="644"/>
      <c r="EB30" s="644"/>
      <c r="EC30" s="644"/>
      <c r="ED30" s="644"/>
      <c r="EE30" s="644"/>
      <c r="EF30" s="11">
        <f>EF28/42815.1</f>
        <v>2.3802547138743107E-4</v>
      </c>
      <c r="EG30" s="644"/>
      <c r="EH30" s="11">
        <f>20.04638989/42815.1</f>
        <v>4.6820840988342902E-4</v>
      </c>
      <c r="EI30" s="644"/>
      <c r="EJ30" s="644"/>
      <c r="EK30" s="644"/>
      <c r="EL30" s="644"/>
      <c r="EM30" s="644"/>
      <c r="EN30" s="11">
        <v>6.6E-4</v>
      </c>
      <c r="EO30" s="644"/>
      <c r="EP30" s="11">
        <f>EP28/86603.858741*100</f>
        <v>3.7673840951562274E-2</v>
      </c>
      <c r="EQ30" s="644"/>
      <c r="ER30" s="644"/>
      <c r="ES30" s="644"/>
      <c r="ET30" s="11">
        <v>4.5999999999999999E-3</v>
      </c>
      <c r="EU30" s="644"/>
      <c r="EV30" s="11">
        <v>1.4E-3</v>
      </c>
      <c r="EW30" s="644"/>
      <c r="EX30" s="11">
        <v>4.1000000000000003E-3</v>
      </c>
      <c r="EY30" s="644"/>
      <c r="EZ30" s="11">
        <f>EZ28/45029.5</f>
        <v>9.3272188232158915E-5</v>
      </c>
      <c r="FA30" s="644"/>
      <c r="FB30" s="11">
        <f>FB27/45029.489</f>
        <v>7.2041679176061708E-3</v>
      </c>
      <c r="FC30" s="644"/>
      <c r="FD30" s="11">
        <v>1E-4</v>
      </c>
      <c r="FE30" s="644"/>
      <c r="FF30" s="11">
        <v>1.5E-3</v>
      </c>
      <c r="FG30" s="644"/>
      <c r="FH30" s="11">
        <f>FH28/45029.4894</f>
        <v>1.5545368364758763E-4</v>
      </c>
      <c r="FI30" s="644"/>
      <c r="FJ30" s="683">
        <v>1E-4</v>
      </c>
      <c r="FK30" s="644"/>
      <c r="FL30" s="793">
        <v>0.06</v>
      </c>
      <c r="FM30" s="644"/>
      <c r="FN30" s="11">
        <f>5.68/88695.59</f>
        <v>6.4039260576540503E-5</v>
      </c>
      <c r="FO30" s="644"/>
      <c r="FP30" s="11">
        <f>FP28/114059.065</f>
        <v>6.6588306681279567E-4</v>
      </c>
      <c r="FQ30" s="644"/>
      <c r="FR30" s="644"/>
      <c r="FS30" s="644"/>
      <c r="FT30" s="644"/>
      <c r="FU30" s="644"/>
      <c r="FV30" s="644"/>
      <c r="FW30" s="644"/>
      <c r="FX30" s="11">
        <f>FX28/141203.5485</f>
        <v>1.4704696674814799E-3</v>
      </c>
      <c r="FY30" s="644"/>
      <c r="FZ30" s="644"/>
      <c r="GA30" s="644"/>
      <c r="GB30" s="11">
        <f>GB28/46673.9</f>
        <v>2.5680305266969337E-4</v>
      </c>
      <c r="GC30" s="644"/>
      <c r="GD30" s="11">
        <v>8.9999999999999998E-4</v>
      </c>
      <c r="GE30" s="644"/>
      <c r="GF30" s="794">
        <v>3.0000000000000001E-5</v>
      </c>
      <c r="GG30" s="644"/>
      <c r="GH30" s="11">
        <f>GH28/67379.591</f>
        <v>2.5058327344254731E-3</v>
      </c>
      <c r="GI30" s="644"/>
      <c r="GJ30" s="793">
        <v>1.4E-3</v>
      </c>
      <c r="GK30" s="644"/>
      <c r="GL30" s="288">
        <f>'[2]Учетная политика'!$U$10</f>
        <v>4.2234665365231544E-3</v>
      </c>
      <c r="GM30" s="644"/>
      <c r="GN30" s="690">
        <f>'[2]Учетная политика'!$U$9/100</f>
        <v>2.0517530043320545E-4</v>
      </c>
      <c r="GO30" s="644"/>
      <c r="GP30" s="691">
        <f>GP28/710316981.1*100</f>
        <v>4.2234665365231548E-7</v>
      </c>
      <c r="GQ30" s="644"/>
      <c r="GR30" s="11">
        <v>1.0399999999999999E-3</v>
      </c>
      <c r="GS30" s="644"/>
      <c r="GT30" s="11">
        <v>2.2000000000000001E-3</v>
      </c>
      <c r="GU30" s="644"/>
      <c r="GV30" s="11">
        <v>6.9999999999999999E-4</v>
      </c>
      <c r="GW30" s="644"/>
      <c r="GX30" s="11">
        <v>2.5999999999999999E-3</v>
      </c>
      <c r="GY30" s="644"/>
      <c r="GZ30" s="11">
        <v>2.0999999999999999E-3</v>
      </c>
      <c r="HA30" s="644"/>
      <c r="HB30" s="30">
        <f>HB28/302864.3374</f>
        <v>2.009384892339589E-5</v>
      </c>
      <c r="HC30" s="644"/>
      <c r="HD30" s="11">
        <f>HD28/302864.3374</f>
        <v>4.0495754981550362E-4</v>
      </c>
      <c r="HE30" s="644"/>
      <c r="HF30" s="692">
        <f>HF28/302864.3374</f>
        <v>7.0381251166747637E-7</v>
      </c>
      <c r="HG30" s="644"/>
      <c r="HH30" s="11">
        <v>1.2999999999999999E-3</v>
      </c>
      <c r="HI30" s="644"/>
      <c r="HJ30" s="644"/>
      <c r="HK30" s="644"/>
      <c r="HL30" s="11">
        <v>1.6000000000000001E-4</v>
      </c>
      <c r="HM30" s="644"/>
      <c r="HN30" s="11">
        <f>HN28/145861.259</f>
        <v>2.9486719293983334E-3</v>
      </c>
      <c r="HO30" s="644"/>
      <c r="HP30" s="11">
        <v>6.0000000000000002E-5</v>
      </c>
      <c r="HQ30" s="644"/>
      <c r="HR30" s="11">
        <v>1E-4</v>
      </c>
      <c r="HS30" s="644"/>
      <c r="HT30" s="686">
        <v>3.5000000000000001E-3</v>
      </c>
      <c r="HU30" s="644"/>
      <c r="HV30" s="30">
        <v>2.0000000000000002E-5</v>
      </c>
      <c r="HW30" s="644"/>
      <c r="HX30" s="11">
        <v>2.0000000000000001E-4</v>
      </c>
      <c r="HY30" s="644"/>
      <c r="HZ30" s="30">
        <v>6.0000000000000002E-5</v>
      </c>
      <c r="IA30" s="644"/>
      <c r="IB30" s="644"/>
      <c r="IC30" s="644"/>
      <c r="ID30" s="693">
        <v>1.5E-5</v>
      </c>
      <c r="IE30" s="644"/>
      <c r="IF30" s="684">
        <v>4.6999999999999999E-4</v>
      </c>
      <c r="IG30" s="663" t="s">
        <v>2562</v>
      </c>
      <c r="IH30" s="11"/>
      <c r="II30" s="644"/>
      <c r="IJ30" s="644"/>
      <c r="IK30" s="644"/>
      <c r="IL30" s="686">
        <v>2.0000000000000001E-4</v>
      </c>
      <c r="IM30" s="644"/>
      <c r="IN30" s="687">
        <v>1.5E-3</v>
      </c>
      <c r="IO30" s="644"/>
      <c r="IP30" s="27">
        <v>0.19</v>
      </c>
      <c r="IQ30" s="644"/>
      <c r="IR30" s="27">
        <v>4.5499999999999999E-2</v>
      </c>
      <c r="IS30" s="644"/>
      <c r="IT30" s="11">
        <v>4.0000000000000002E-4</v>
      </c>
      <c r="IU30" s="644"/>
      <c r="IV30" s="11">
        <v>5.0000000000000001E-4</v>
      </c>
      <c r="IW30" s="644"/>
      <c r="IX30" s="683">
        <v>1E-4</v>
      </c>
      <c r="IY30" s="644"/>
      <c r="IZ30" s="11">
        <v>5.0000000000000001E-4</v>
      </c>
      <c r="JA30" s="644"/>
      <c r="JB30" s="11"/>
      <c r="JC30" s="644"/>
      <c r="JD30" s="11" t="s">
        <v>465</v>
      </c>
      <c r="JE30" s="644"/>
      <c r="JF30" s="644"/>
      <c r="JG30" s="644"/>
      <c r="JH30" s="11">
        <v>9.0000000000000006E-5</v>
      </c>
      <c r="JI30" s="772" t="s">
        <v>818</v>
      </c>
      <c r="JJ30" s="644"/>
      <c r="JK30" s="644"/>
      <c r="JL30" s="644"/>
      <c r="JM30" s="644"/>
      <c r="JN30" s="11">
        <v>6.6E-3</v>
      </c>
      <c r="JO30" s="644"/>
      <c r="JP30" s="644"/>
      <c r="JQ30" s="644"/>
      <c r="JR30" s="689">
        <f>JR28/71756.422</f>
        <v>6.3278001793344706E-3</v>
      </c>
      <c r="JS30" s="644"/>
      <c r="JT30" s="11">
        <v>8.0000000000000004E-4</v>
      </c>
      <c r="JU30" s="644"/>
      <c r="JV30" s="11"/>
      <c r="JW30" s="644"/>
      <c r="JX30" s="11">
        <v>2E-3</v>
      </c>
      <c r="JY30" s="644"/>
    </row>
    <row r="31" spans="1:285" ht="56.25" customHeight="1" x14ac:dyDescent="0.2">
      <c r="A31" s="1564" t="s">
        <v>85</v>
      </c>
      <c r="B31" s="1570" t="s">
        <v>232</v>
      </c>
      <c r="C31" s="55" t="s">
        <v>93</v>
      </c>
      <c r="D31" s="56" t="s">
        <v>265</v>
      </c>
      <c r="E31" s="784" t="s">
        <v>152</v>
      </c>
      <c r="F31" s="10">
        <v>2.5219999999999998</v>
      </c>
      <c r="G31" s="756"/>
      <c r="H31" s="10">
        <v>0.67</v>
      </c>
      <c r="I31" s="644"/>
      <c r="J31" s="10">
        <f>619.4/1000</f>
        <v>0.61939999999999995</v>
      </c>
      <c r="K31" s="644"/>
      <c r="L31" s="10">
        <v>3.1901774899999999</v>
      </c>
      <c r="M31" s="644"/>
      <c r="N31" s="785">
        <v>55.1</v>
      </c>
      <c r="O31" s="644"/>
      <c r="P31" s="666">
        <v>0.03</v>
      </c>
      <c r="Q31" s="644"/>
      <c r="R31" s="10">
        <v>26.277000000000001</v>
      </c>
      <c r="S31" s="644"/>
      <c r="T31" s="644"/>
      <c r="U31" s="644"/>
      <c r="V31" s="644"/>
      <c r="W31" s="644"/>
      <c r="X31" s="644"/>
      <c r="Y31" s="644"/>
      <c r="Z31" s="10">
        <v>88.608999999999995</v>
      </c>
      <c r="AA31" s="644"/>
      <c r="AB31" s="10">
        <v>30.114000000000001</v>
      </c>
      <c r="AC31" s="644"/>
      <c r="AD31" s="10">
        <v>110.468</v>
      </c>
      <c r="AE31" s="644"/>
      <c r="AF31" s="644"/>
      <c r="AG31" s="644"/>
      <c r="AH31" s="644"/>
      <c r="AI31" s="644"/>
      <c r="AJ31" s="666">
        <v>6.5</v>
      </c>
      <c r="AK31" s="644"/>
      <c r="AL31" s="10">
        <v>0</v>
      </c>
      <c r="AM31" s="644"/>
      <c r="AN31" s="10">
        <v>25.669</v>
      </c>
      <c r="AO31" s="644"/>
      <c r="AP31" s="10">
        <v>1.752</v>
      </c>
      <c r="AQ31" s="644"/>
      <c r="AR31" s="10"/>
      <c r="AS31" s="644"/>
      <c r="AT31" s="10">
        <v>34.4</v>
      </c>
      <c r="AU31" s="644"/>
      <c r="AV31" s="785">
        <v>42.256</v>
      </c>
      <c r="AW31" s="644"/>
      <c r="AX31" s="10">
        <f>30.28</f>
        <v>30.28</v>
      </c>
      <c r="AY31" s="644"/>
      <c r="AZ31" s="10">
        <v>45.61694</v>
      </c>
      <c r="BA31" s="644"/>
      <c r="BB31" s="644"/>
      <c r="BC31" s="644"/>
      <c r="BD31" s="5">
        <v>28.19</v>
      </c>
      <c r="BE31" s="644"/>
      <c r="BF31" s="10">
        <v>84.41</v>
      </c>
      <c r="BG31" s="644"/>
      <c r="BH31" s="644"/>
      <c r="BI31" s="644"/>
      <c r="BJ31" s="10">
        <v>1.78</v>
      </c>
      <c r="BK31" s="644"/>
      <c r="BL31" s="10">
        <v>11.40892556</v>
      </c>
      <c r="BM31" s="644"/>
      <c r="BN31" s="10">
        <v>0.8</v>
      </c>
      <c r="BO31" s="644"/>
      <c r="BP31" s="670">
        <v>98.2</v>
      </c>
      <c r="BQ31" s="644"/>
      <c r="BR31" s="10">
        <v>1.5</v>
      </c>
      <c r="BS31" s="644"/>
      <c r="BT31" s="10">
        <v>45.7</v>
      </c>
      <c r="BU31" s="644"/>
      <c r="BV31" s="10">
        <v>95.197000000000003</v>
      </c>
      <c r="BW31" s="644"/>
      <c r="BX31" s="671">
        <v>13.057</v>
      </c>
      <c r="BY31" s="644"/>
      <c r="BZ31" s="671">
        <v>1.4850000000000001</v>
      </c>
      <c r="CA31" s="644"/>
      <c r="CB31" s="10">
        <v>41.985999999999997</v>
      </c>
      <c r="CC31" s="644"/>
      <c r="CD31" s="644"/>
      <c r="CE31" s="644"/>
      <c r="CF31" s="644"/>
      <c r="CG31" s="644"/>
      <c r="CH31" s="671">
        <v>20.399999999999999</v>
      </c>
      <c r="CI31" s="10"/>
      <c r="CJ31" s="10">
        <v>1.5</v>
      </c>
      <c r="CK31" s="10"/>
      <c r="CL31" s="10">
        <v>44.5</v>
      </c>
      <c r="CM31" s="644"/>
      <c r="CN31" s="665" t="s">
        <v>2409</v>
      </c>
      <c r="CO31" s="644"/>
      <c r="CP31" s="665">
        <v>9.3000000000000007</v>
      </c>
      <c r="CQ31" s="644"/>
      <c r="CR31" s="10">
        <v>61.5</v>
      </c>
      <c r="CS31" s="644"/>
      <c r="CT31" s="10">
        <v>17.36</v>
      </c>
      <c r="CU31" s="644"/>
      <c r="CV31" s="27">
        <v>8.81</v>
      </c>
      <c r="CW31" s="644"/>
      <c r="CX31" s="15">
        <v>48</v>
      </c>
      <c r="CY31" s="644"/>
      <c r="CZ31" s="27">
        <v>58.81</v>
      </c>
      <c r="DA31" s="644"/>
      <c r="DB31" s="15">
        <v>70.12</v>
      </c>
      <c r="DC31" s="644"/>
      <c r="DD31" s="10">
        <v>0</v>
      </c>
      <c r="DE31" s="644"/>
      <c r="DF31" s="644"/>
      <c r="DG31" s="644"/>
      <c r="DH31" s="10">
        <v>53.506</v>
      </c>
      <c r="DI31" s="644"/>
      <c r="DJ31" s="786">
        <f>98/1000</f>
        <v>9.8000000000000004E-2</v>
      </c>
      <c r="DK31" s="644"/>
      <c r="DL31" s="644"/>
      <c r="DM31" s="644"/>
      <c r="DN31" s="10">
        <v>154.75800000000001</v>
      </c>
      <c r="DO31" s="644"/>
      <c r="DP31" s="644"/>
      <c r="DQ31" s="644"/>
      <c r="DR31" s="644"/>
      <c r="DS31" s="644"/>
      <c r="DT31" s="644"/>
      <c r="DU31" s="644"/>
      <c r="DV31" s="10">
        <v>47.898000000000003</v>
      </c>
      <c r="DW31" s="644"/>
      <c r="DX31" s="10">
        <v>66.701999999999998</v>
      </c>
      <c r="DY31" s="644"/>
      <c r="DZ31" s="10">
        <v>11.487</v>
      </c>
      <c r="EA31" s="644"/>
      <c r="EB31" s="644"/>
      <c r="EC31" s="644"/>
      <c r="ED31" s="644"/>
      <c r="EE31" s="644"/>
      <c r="EF31" s="27">
        <v>3.2669370099999999</v>
      </c>
      <c r="EG31" s="644"/>
      <c r="EH31" s="10">
        <v>3.7172360000000002</v>
      </c>
      <c r="EI31" s="644"/>
      <c r="EJ31" s="644"/>
      <c r="EK31" s="644"/>
      <c r="EL31" s="644"/>
      <c r="EM31" s="644"/>
      <c r="EN31" s="10" t="s">
        <v>1438</v>
      </c>
      <c r="EO31" s="644"/>
      <c r="EP31" s="10">
        <v>18.829999999999998</v>
      </c>
      <c r="EQ31" s="644"/>
      <c r="ER31" s="644"/>
      <c r="ES31" s="644"/>
      <c r="ET31" s="795"/>
      <c r="EU31" s="644"/>
      <c r="EV31" s="10">
        <v>167.59299999999999</v>
      </c>
      <c r="EW31" s="644"/>
      <c r="EX31" s="10">
        <v>0.53</v>
      </c>
      <c r="EY31" s="644"/>
      <c r="EZ31" s="10">
        <v>4.2</v>
      </c>
      <c r="FA31" s="644"/>
      <c r="FB31" s="10">
        <v>9.1</v>
      </c>
      <c r="FC31" s="644"/>
      <c r="FD31" s="10">
        <v>7.52</v>
      </c>
      <c r="FE31" s="644"/>
      <c r="FF31" s="10">
        <v>12.941000000000001</v>
      </c>
      <c r="FG31" s="644"/>
      <c r="FH31" s="10">
        <v>2.8610000000000002</v>
      </c>
      <c r="FI31" s="644"/>
      <c r="FJ31" s="671">
        <v>44.682000000000002</v>
      </c>
      <c r="FK31" s="644"/>
      <c r="FL31" s="788">
        <v>35.799999999999997</v>
      </c>
      <c r="FM31" s="644"/>
      <c r="FN31" s="10">
        <v>35.318462459999999</v>
      </c>
      <c r="FO31" s="644"/>
      <c r="FP31" s="10">
        <v>30.7</v>
      </c>
      <c r="FQ31" s="644"/>
      <c r="FR31" s="644"/>
      <c r="FS31" s="644"/>
      <c r="FT31" s="644"/>
      <c r="FU31" s="644"/>
      <c r="FV31" s="644"/>
      <c r="FW31" s="644"/>
      <c r="FX31" s="10">
        <v>0.11976630000000001</v>
      </c>
      <c r="FY31" s="644"/>
      <c r="FZ31" s="644"/>
      <c r="GA31" s="644"/>
      <c r="GB31" s="10">
        <v>2.2400000000000002</v>
      </c>
      <c r="GC31" s="644"/>
      <c r="GD31" s="27">
        <v>37.875999999999998</v>
      </c>
      <c r="GE31" s="644"/>
      <c r="GF31" s="665">
        <v>0.71799999999999997</v>
      </c>
      <c r="GG31" s="644"/>
      <c r="GH31" s="10">
        <v>39.370343640000002</v>
      </c>
      <c r="GI31" s="644"/>
      <c r="GJ31" s="788">
        <v>59.72</v>
      </c>
      <c r="GK31" s="644"/>
      <c r="GL31" s="10">
        <v>0</v>
      </c>
      <c r="GM31" s="644"/>
      <c r="GN31" s="10" t="s">
        <v>504</v>
      </c>
      <c r="GO31" s="644"/>
      <c r="GP31" s="10">
        <v>0</v>
      </c>
      <c r="GQ31" s="644"/>
      <c r="GR31" s="10">
        <v>28.024999999999999</v>
      </c>
      <c r="GS31" s="644"/>
      <c r="GT31" s="10">
        <v>128.19999999999999</v>
      </c>
      <c r="GU31" s="644"/>
      <c r="GV31" s="10">
        <v>23</v>
      </c>
      <c r="GW31" s="644"/>
      <c r="GX31" s="10">
        <v>4.3</v>
      </c>
      <c r="GY31" s="644"/>
      <c r="GZ31" s="10">
        <v>3.5</v>
      </c>
      <c r="HA31" s="644"/>
      <c r="HB31" s="10">
        <v>3.30900968</v>
      </c>
      <c r="HC31" s="644"/>
      <c r="HD31" s="667">
        <v>85.298199999999994</v>
      </c>
      <c r="HE31" s="644"/>
      <c r="HF31" s="10">
        <v>1.4872453999999999</v>
      </c>
      <c r="HG31" s="644"/>
      <c r="HH31" s="10" t="s">
        <v>465</v>
      </c>
      <c r="HI31" s="644"/>
      <c r="HJ31" s="644"/>
      <c r="HK31" s="644"/>
      <c r="HL31" s="10">
        <v>0.78</v>
      </c>
      <c r="HM31" s="644"/>
      <c r="HN31" s="10">
        <v>207.10300000000001</v>
      </c>
      <c r="HO31" s="644"/>
      <c r="HP31" s="10">
        <v>4.3419999999999996</v>
      </c>
      <c r="HQ31" s="644"/>
      <c r="HR31" s="10">
        <v>0.28399999999999997</v>
      </c>
      <c r="HS31" s="644"/>
      <c r="HT31" s="674">
        <v>0.19600000000000001</v>
      </c>
      <c r="HU31" s="644"/>
      <c r="HV31" s="10">
        <v>0.35099999999999998</v>
      </c>
      <c r="HW31" s="644"/>
      <c r="HX31" s="10">
        <v>0.8</v>
      </c>
      <c r="HY31" s="644"/>
      <c r="HZ31" s="10"/>
      <c r="IA31" s="644"/>
      <c r="IB31" s="644"/>
      <c r="IC31" s="644"/>
      <c r="ID31" s="10">
        <v>57.4</v>
      </c>
      <c r="IE31" s="644"/>
      <c r="IF31" s="10">
        <v>9.8301996099999993</v>
      </c>
      <c r="IG31" s="756"/>
      <c r="IH31" s="10">
        <v>121</v>
      </c>
      <c r="II31" s="644"/>
      <c r="IJ31" s="644"/>
      <c r="IK31" s="644"/>
      <c r="IL31" s="674">
        <v>11.566000000000001</v>
      </c>
      <c r="IM31" s="644"/>
      <c r="IN31" s="675">
        <v>0</v>
      </c>
      <c r="IO31" s="644"/>
      <c r="IP31" s="27">
        <v>23.77</v>
      </c>
      <c r="IQ31" s="644"/>
      <c r="IR31" s="27">
        <v>6.7</v>
      </c>
      <c r="IS31" s="644"/>
      <c r="IT31" s="10">
        <v>9</v>
      </c>
      <c r="IU31" s="644"/>
      <c r="IV31" s="10">
        <v>5.0750000000000002</v>
      </c>
      <c r="IW31" s="644"/>
      <c r="IX31" s="671">
        <v>18.899901010000001</v>
      </c>
      <c r="IY31" s="644"/>
      <c r="IZ31" s="10">
        <v>1.994</v>
      </c>
      <c r="JA31" s="644"/>
      <c r="JB31" s="10">
        <v>32.127000000000002</v>
      </c>
      <c r="JC31" s="644"/>
      <c r="JD31" s="10">
        <v>14.749000000000001</v>
      </c>
      <c r="JE31" s="644"/>
      <c r="JF31" s="644"/>
      <c r="JG31" s="644"/>
      <c r="JH31" s="10">
        <v>0.19950000000000001</v>
      </c>
      <c r="JI31" s="644"/>
      <c r="JJ31" s="644"/>
      <c r="JK31" s="644"/>
      <c r="JL31" s="644"/>
      <c r="JM31" s="644"/>
      <c r="JN31" s="10">
        <v>0</v>
      </c>
      <c r="JO31" s="644"/>
      <c r="JP31" s="644"/>
      <c r="JQ31" s="644"/>
      <c r="JR31" s="677">
        <f>120.1525+36.9567</f>
        <v>157.10919999999999</v>
      </c>
      <c r="JS31" s="644"/>
      <c r="JT31" s="27">
        <v>8.1</v>
      </c>
      <c r="JU31" s="644"/>
      <c r="JV31" s="10">
        <v>301.47500000000002</v>
      </c>
      <c r="JW31" s="644"/>
      <c r="JX31" s="10">
        <v>79.599999999999994</v>
      </c>
      <c r="JY31" s="644"/>
    </row>
    <row r="32" spans="1:285" ht="33.75" customHeight="1" thickBot="1" x14ac:dyDescent="0.25">
      <c r="A32" s="1565"/>
      <c r="B32" s="1571"/>
      <c r="C32" s="74" t="s">
        <v>94</v>
      </c>
      <c r="D32" s="75" t="s">
        <v>231</v>
      </c>
      <c r="E32" s="755" t="s">
        <v>52</v>
      </c>
      <c r="F32" s="11">
        <v>0.1734</v>
      </c>
      <c r="G32" s="756"/>
      <c r="H32" s="11">
        <f>+H31/$F$29</f>
        <v>0.97497089639115253</v>
      </c>
      <c r="I32" s="644"/>
      <c r="J32" s="11">
        <v>9.8499999999999994E-3</v>
      </c>
      <c r="K32" s="644"/>
      <c r="L32" s="11">
        <f>L31*100%/L27</f>
        <v>0.11629704459218465</v>
      </c>
      <c r="M32" s="644"/>
      <c r="N32" s="791">
        <v>0.16400000000000001</v>
      </c>
      <c r="O32" s="644"/>
      <c r="P32" s="681">
        <f>P31/P27</f>
        <v>5.0532519012569709E-3</v>
      </c>
      <c r="Q32" s="644"/>
      <c r="R32" s="11">
        <v>0.1424</v>
      </c>
      <c r="S32" s="644"/>
      <c r="T32" s="644"/>
      <c r="U32" s="644"/>
      <c r="V32" s="644"/>
      <c r="W32" s="644"/>
      <c r="X32" s="644"/>
      <c r="Y32" s="644"/>
      <c r="Z32" s="11">
        <v>0.15029999999999999</v>
      </c>
      <c r="AA32" s="644"/>
      <c r="AB32" s="11">
        <v>0.1171</v>
      </c>
      <c r="AC32" s="644"/>
      <c r="AD32" s="11">
        <v>6.3500000000000001E-2</v>
      </c>
      <c r="AE32" s="644"/>
      <c r="AF32" s="644"/>
      <c r="AG32" s="644"/>
      <c r="AH32" s="644"/>
      <c r="AI32" s="644"/>
      <c r="AJ32" s="681">
        <v>6.0199999999999997E-2</v>
      </c>
      <c r="AK32" s="644"/>
      <c r="AL32" s="11">
        <v>0</v>
      </c>
      <c r="AM32" s="644"/>
      <c r="AN32" s="11">
        <f>AN31/AN27*100%</f>
        <v>4.5513541116268846E-2</v>
      </c>
      <c r="AO32" s="644"/>
      <c r="AP32" s="11">
        <f>AP31/AP27</f>
        <v>3.6859766681043099E-2</v>
      </c>
      <c r="AQ32" s="644"/>
      <c r="AR32" s="11"/>
      <c r="AS32" s="644"/>
      <c r="AT32" s="11">
        <f>AT31/AT27</f>
        <v>0.24157303370786515</v>
      </c>
      <c r="AU32" s="644"/>
      <c r="AV32" s="791">
        <v>0.1867</v>
      </c>
      <c r="AW32" s="644"/>
      <c r="AX32" s="11">
        <f>AX31/AX27</f>
        <v>0.14897549825367065</v>
      </c>
      <c r="AY32" s="644"/>
      <c r="AZ32" s="11">
        <v>0.1469</v>
      </c>
      <c r="BA32" s="644"/>
      <c r="BB32" s="644"/>
      <c r="BC32" s="644"/>
      <c r="BD32" s="669">
        <f>BD31/BD27*100</f>
        <v>10.4546803144934</v>
      </c>
      <c r="BE32" s="644"/>
      <c r="BF32" s="11">
        <v>8.2799999999999999E-2</v>
      </c>
      <c r="BG32" s="644"/>
      <c r="BH32" s="644"/>
      <c r="BI32" s="644"/>
      <c r="BJ32" s="11">
        <v>0.08</v>
      </c>
      <c r="BK32" s="644"/>
      <c r="BL32" s="11">
        <f>BL31/BL27</f>
        <v>0.19151006236195323</v>
      </c>
      <c r="BM32" s="644"/>
      <c r="BN32" s="11">
        <v>0.16</v>
      </c>
      <c r="BO32" s="644"/>
      <c r="BP32" s="683">
        <v>0.10349999999999999</v>
      </c>
      <c r="BQ32" s="644"/>
      <c r="BR32" s="11">
        <f>BR31/BR27</f>
        <v>1.968503937007874E-2</v>
      </c>
      <c r="BS32" s="644"/>
      <c r="BT32" s="11">
        <v>0.2011</v>
      </c>
      <c r="BU32" s="644"/>
      <c r="BV32" s="11">
        <f>BV31/BV27</f>
        <v>0.2306397061673838</v>
      </c>
      <c r="BW32" s="644"/>
      <c r="BX32" s="683">
        <f>BX31/BX27</f>
        <v>0.1980704176210919</v>
      </c>
      <c r="BY32" s="644"/>
      <c r="BZ32" s="683">
        <f>BZ31/BZ27</f>
        <v>0.11561818748053568</v>
      </c>
      <c r="CA32" s="644"/>
      <c r="CB32" s="11">
        <f>CB31/CB27</f>
        <v>0.24174204432263743</v>
      </c>
      <c r="CC32" s="644"/>
      <c r="CD32" s="644"/>
      <c r="CE32" s="644"/>
      <c r="CF32" s="644"/>
      <c r="CG32" s="644"/>
      <c r="CH32" s="683">
        <f>CH31/CH27</f>
        <v>0.23556581986143188</v>
      </c>
      <c r="CI32" s="11"/>
      <c r="CJ32" s="11">
        <f>CJ31/CJ27</f>
        <v>4.6728971962616821E-2</v>
      </c>
      <c r="CK32" s="11"/>
      <c r="CL32" s="11">
        <v>0.27589999999999998</v>
      </c>
      <c r="CM32" s="644"/>
      <c r="CN32" s="11"/>
      <c r="CO32" s="644"/>
      <c r="CP32" s="11">
        <v>4.8000000000000001E-2</v>
      </c>
      <c r="CQ32" s="644"/>
      <c r="CR32" s="11">
        <v>0.18099999999999999</v>
      </c>
      <c r="CS32" s="644"/>
      <c r="CT32" s="11">
        <v>0.11559999999999999</v>
      </c>
      <c r="CU32" s="644"/>
      <c r="CV32" s="11">
        <f>CV31/CV27</f>
        <v>0.28146964856230033</v>
      </c>
      <c r="CW32" s="644"/>
      <c r="CX32" s="11">
        <f>CX31/CX27</f>
        <v>0.29538461538461541</v>
      </c>
      <c r="CY32" s="644"/>
      <c r="CZ32" s="11">
        <v>0.5</v>
      </c>
      <c r="DA32" s="644"/>
      <c r="DB32" s="11">
        <f>DB31/DB27</f>
        <v>0.25526028394612305</v>
      </c>
      <c r="DC32" s="644"/>
      <c r="DD32" s="11">
        <v>0</v>
      </c>
      <c r="DE32" s="644"/>
      <c r="DF32" s="644"/>
      <c r="DG32" s="644"/>
      <c r="DH32" s="11">
        <f>DH31/DH27</f>
        <v>8.24937134505178E-2</v>
      </c>
      <c r="DI32" s="644"/>
      <c r="DJ32" s="792">
        <f>DJ31/DJ27</f>
        <v>7.611714335157142E-3</v>
      </c>
      <c r="DK32" s="644"/>
      <c r="DL32" s="644"/>
      <c r="DM32" s="644"/>
      <c r="DN32" s="11">
        <v>0.46029999999999999</v>
      </c>
      <c r="DO32" s="644"/>
      <c r="DP32" s="644"/>
      <c r="DQ32" s="644"/>
      <c r="DR32" s="644"/>
      <c r="DS32" s="644"/>
      <c r="DT32" s="644"/>
      <c r="DU32" s="644"/>
      <c r="DV32" s="11">
        <v>0.18859999999999999</v>
      </c>
      <c r="DW32" s="644"/>
      <c r="DX32" s="11">
        <v>0.21479999999999999</v>
      </c>
      <c r="DY32" s="644"/>
      <c r="DZ32" s="11">
        <v>0.14000000000000001</v>
      </c>
      <c r="EA32" s="644"/>
      <c r="EB32" s="644"/>
      <c r="EC32" s="644"/>
      <c r="ED32" s="644"/>
      <c r="EE32" s="644"/>
      <c r="EF32" s="685">
        <f>EF31/EF27</f>
        <v>0.22408110352629165</v>
      </c>
      <c r="EG32" s="644"/>
      <c r="EH32" s="11">
        <v>0.1321</v>
      </c>
      <c r="EI32" s="644"/>
      <c r="EJ32" s="644"/>
      <c r="EK32" s="644"/>
      <c r="EL32" s="644"/>
      <c r="EM32" s="644"/>
      <c r="EN32" s="11" t="s">
        <v>1434</v>
      </c>
      <c r="EO32" s="644"/>
      <c r="EP32" s="11">
        <v>0.27629999999999999</v>
      </c>
      <c r="EQ32" s="644"/>
      <c r="ER32" s="644"/>
      <c r="ES32" s="644"/>
      <c r="ET32" s="796"/>
      <c r="EU32" s="644"/>
      <c r="EV32" s="11">
        <v>0.31590000000000001</v>
      </c>
      <c r="EW32" s="644"/>
      <c r="EX32" s="11">
        <v>3.0000000000000001E-3</v>
      </c>
      <c r="EY32" s="644"/>
      <c r="EZ32" s="11">
        <v>0.21099999999999999</v>
      </c>
      <c r="FA32" s="644"/>
      <c r="FB32" s="11">
        <v>2.8000000000000001E-2</v>
      </c>
      <c r="FC32" s="644"/>
      <c r="FD32" s="11">
        <v>0.60099999999999998</v>
      </c>
      <c r="FE32" s="644"/>
      <c r="FF32" s="11">
        <v>0.19500000000000001</v>
      </c>
      <c r="FG32" s="644"/>
      <c r="FH32" s="11">
        <v>0.29010000000000002</v>
      </c>
      <c r="FI32" s="644"/>
      <c r="FJ32" s="683">
        <f>FJ31/FJ27</f>
        <v>0.12911820375373856</v>
      </c>
      <c r="FK32" s="644"/>
      <c r="FL32" s="793">
        <v>0.21540000000000001</v>
      </c>
      <c r="FM32" s="644"/>
      <c r="FN32" s="11">
        <f>35.31846246/319.668</f>
        <v>0.11048482319156123</v>
      </c>
      <c r="FO32" s="644"/>
      <c r="FP32" s="11">
        <f>FP31/FP27</f>
        <v>0.24162383811989893</v>
      </c>
      <c r="FQ32" s="644"/>
      <c r="FR32" s="644"/>
      <c r="FS32" s="644"/>
      <c r="FT32" s="644"/>
      <c r="FU32" s="644"/>
      <c r="FV32" s="644"/>
      <c r="FW32" s="644"/>
      <c r="FX32" s="11">
        <f>FX31/FX27</f>
        <v>5.1777852046227006E-4</v>
      </c>
      <c r="FY32" s="644"/>
      <c r="FZ32" s="644"/>
      <c r="GA32" s="644"/>
      <c r="GB32" s="11">
        <f>GB31/GB27</f>
        <v>0.15646828723107015</v>
      </c>
      <c r="GC32" s="644"/>
      <c r="GD32" s="11">
        <v>0.1469</v>
      </c>
      <c r="GE32" s="644"/>
      <c r="GF32" s="684">
        <v>4.99E-2</v>
      </c>
      <c r="GG32" s="644"/>
      <c r="GH32" s="11">
        <v>0.16270000000000001</v>
      </c>
      <c r="GI32" s="644"/>
      <c r="GJ32" s="793">
        <v>0.1709</v>
      </c>
      <c r="GK32" s="644"/>
      <c r="GL32" s="11">
        <v>0</v>
      </c>
      <c r="GM32" s="644"/>
      <c r="GN32" s="11"/>
      <c r="GO32" s="644"/>
      <c r="GP32" s="11">
        <v>0</v>
      </c>
      <c r="GQ32" s="644"/>
      <c r="GR32" s="11">
        <v>2.768E-2</v>
      </c>
      <c r="GS32" s="644"/>
      <c r="GT32" s="11">
        <v>0.126</v>
      </c>
      <c r="GU32" s="644"/>
      <c r="GV32" s="11">
        <v>0.1298</v>
      </c>
      <c r="GW32" s="644"/>
      <c r="GX32" s="11">
        <v>0.01</v>
      </c>
      <c r="GY32" s="644"/>
      <c r="GZ32" s="11">
        <v>1.01E-2</v>
      </c>
      <c r="HA32" s="644"/>
      <c r="HB32" s="11">
        <f>HB31/HB27</f>
        <v>0.26315594389522146</v>
      </c>
      <c r="HC32" s="644"/>
      <c r="HD32" s="11">
        <f>HD31/HD27</f>
        <v>4.4581018433830021E-2</v>
      </c>
      <c r="HE32" s="644"/>
      <c r="HF32" s="11">
        <f>HF31/HF27</f>
        <v>0.64382158541126111</v>
      </c>
      <c r="HG32" s="644"/>
      <c r="HH32" s="11" t="s">
        <v>465</v>
      </c>
      <c r="HI32" s="644"/>
      <c r="HJ32" s="644"/>
      <c r="HK32" s="644"/>
      <c r="HL32" s="11">
        <v>7.6499999999999999E-2</v>
      </c>
      <c r="HM32" s="644"/>
      <c r="HN32" s="11">
        <f>HN31/HN27</f>
        <v>0.28165744368632711</v>
      </c>
      <c r="HO32" s="644"/>
      <c r="HP32" s="11">
        <v>8.2000000000000003E-2</v>
      </c>
      <c r="HQ32" s="644"/>
      <c r="HR32" s="11">
        <v>1E-3</v>
      </c>
      <c r="HS32" s="644"/>
      <c r="HT32" s="686">
        <v>1E-3</v>
      </c>
      <c r="HU32" s="644"/>
      <c r="HV32" s="11">
        <v>2.4E-2</v>
      </c>
      <c r="HW32" s="644"/>
      <c r="HX32" s="11">
        <v>0.16</v>
      </c>
      <c r="HY32" s="644"/>
      <c r="HZ32" s="11"/>
      <c r="IA32" s="644"/>
      <c r="IB32" s="644"/>
      <c r="IC32" s="644"/>
      <c r="ID32" s="11">
        <f>ID31/ID27</f>
        <v>0.26270022883295197</v>
      </c>
      <c r="IE32" s="644"/>
      <c r="IF32" s="11">
        <f>IF31/IF27</f>
        <v>0.17799647556426063</v>
      </c>
      <c r="IG32" s="756"/>
      <c r="IH32" s="11">
        <v>0.224</v>
      </c>
      <c r="II32" s="644"/>
      <c r="IJ32" s="644"/>
      <c r="IK32" s="644"/>
      <c r="IL32" s="686">
        <f>IL31/IL27</f>
        <v>0.16919746042891834</v>
      </c>
      <c r="IM32" s="644"/>
      <c r="IN32" s="687">
        <v>0</v>
      </c>
      <c r="IO32" s="644"/>
      <c r="IP32" s="27">
        <v>11.29</v>
      </c>
      <c r="IQ32" s="644"/>
      <c r="IR32" s="27">
        <v>16.14</v>
      </c>
      <c r="IS32" s="644"/>
      <c r="IT32" s="11">
        <v>0.20899999999999999</v>
      </c>
      <c r="IU32" s="644"/>
      <c r="IV32" s="11">
        <v>2.2100000000000002E-2</v>
      </c>
      <c r="IW32" s="644"/>
      <c r="IX32" s="688">
        <v>0.05</v>
      </c>
      <c r="IY32" s="644"/>
      <c r="IZ32" s="11">
        <v>1.55E-2</v>
      </c>
      <c r="JA32" s="644"/>
      <c r="JB32" s="11">
        <v>7.8426059500000006E-2</v>
      </c>
      <c r="JC32" s="644"/>
      <c r="JD32" s="11">
        <f>JD31/JD27</f>
        <v>0.14403460971298548</v>
      </c>
      <c r="JE32" s="644"/>
      <c r="JF32" s="644"/>
      <c r="JG32" s="644"/>
      <c r="JH32" s="11">
        <v>0.01</v>
      </c>
      <c r="JI32" s="644"/>
      <c r="JJ32" s="644"/>
      <c r="JK32" s="644"/>
      <c r="JL32" s="644"/>
      <c r="JM32" s="644"/>
      <c r="JN32" s="11">
        <v>0</v>
      </c>
      <c r="JO32" s="644"/>
      <c r="JP32" s="644"/>
      <c r="JQ32" s="644"/>
      <c r="JR32" s="689">
        <f>JR31/JR27</f>
        <v>0.22363799129329065</v>
      </c>
      <c r="JS32" s="644"/>
      <c r="JT32" s="11">
        <v>0.18</v>
      </c>
      <c r="JU32" s="644"/>
      <c r="JV32" s="11">
        <f>JV31/JV27</f>
        <v>0.97038081351371364</v>
      </c>
      <c r="JW32" s="644"/>
      <c r="JX32" s="11">
        <v>0.115</v>
      </c>
      <c r="JY32" s="644"/>
    </row>
    <row r="33" spans="1:285" ht="48.95" customHeight="1" thickBot="1" x14ac:dyDescent="0.25">
      <c r="A33" s="48"/>
      <c r="B33" s="76"/>
      <c r="C33" s="77" t="s">
        <v>2552</v>
      </c>
      <c r="D33" s="78" t="s">
        <v>2553</v>
      </c>
      <c r="E33" s="755" t="s">
        <v>52</v>
      </c>
      <c r="F33" s="11"/>
      <c r="G33" s="756"/>
      <c r="H33" s="11"/>
      <c r="I33" s="644"/>
      <c r="J33" s="11"/>
      <c r="K33" s="644"/>
      <c r="L33" s="11"/>
      <c r="M33" s="644"/>
      <c r="N33" s="791"/>
      <c r="O33" s="644"/>
      <c r="P33" s="681"/>
      <c r="Q33" s="644"/>
      <c r="R33" s="11"/>
      <c r="S33" s="644"/>
      <c r="T33" s="644"/>
      <c r="U33" s="644"/>
      <c r="V33" s="644"/>
      <c r="W33" s="644"/>
      <c r="X33" s="644"/>
      <c r="Y33" s="644"/>
      <c r="Z33" s="11"/>
      <c r="AA33" s="644"/>
      <c r="AB33" s="11"/>
      <c r="AC33" s="644"/>
      <c r="AD33" s="11"/>
      <c r="AE33" s="644"/>
      <c r="AF33" s="644"/>
      <c r="AG33" s="644"/>
      <c r="AH33" s="644"/>
      <c r="AI33" s="644"/>
      <c r="AJ33" s="681"/>
      <c r="AK33" s="644"/>
      <c r="AL33" s="11"/>
      <c r="AM33" s="644"/>
      <c r="AN33" s="11"/>
      <c r="AO33" s="644"/>
      <c r="AP33" s="11"/>
      <c r="AQ33" s="644"/>
      <c r="AR33" s="11"/>
      <c r="AS33" s="644"/>
      <c r="AT33" s="11"/>
      <c r="AU33" s="644"/>
      <c r="AV33" s="791"/>
      <c r="AW33" s="644"/>
      <c r="AX33" s="11"/>
      <c r="AY33" s="644"/>
      <c r="AZ33" s="11"/>
      <c r="BA33" s="644"/>
      <c r="BB33" s="644"/>
      <c r="BC33" s="644"/>
      <c r="BD33" s="669"/>
      <c r="BE33" s="644"/>
      <c r="BF33" s="11"/>
      <c r="BG33" s="644"/>
      <c r="BH33" s="644"/>
      <c r="BI33" s="644"/>
      <c r="BJ33" s="11"/>
      <c r="BK33" s="644"/>
      <c r="BL33" s="11"/>
      <c r="BM33" s="644"/>
      <c r="BN33" s="11"/>
      <c r="BO33" s="644"/>
      <c r="BP33" s="683"/>
      <c r="BQ33" s="644"/>
      <c r="BR33" s="11"/>
      <c r="BS33" s="644"/>
      <c r="BT33" s="11"/>
      <c r="BU33" s="644"/>
      <c r="BV33" s="11"/>
      <c r="BW33" s="644"/>
      <c r="BX33" s="683"/>
      <c r="BY33" s="644"/>
      <c r="BZ33" s="683"/>
      <c r="CA33" s="644"/>
      <c r="CB33" s="11"/>
      <c r="CC33" s="644"/>
      <c r="CD33" s="644"/>
      <c r="CE33" s="644"/>
      <c r="CF33" s="644"/>
      <c r="CG33" s="644"/>
      <c r="CH33" s="683"/>
      <c r="CI33" s="11"/>
      <c r="CJ33" s="11"/>
      <c r="CK33" s="11"/>
      <c r="CL33" s="11"/>
      <c r="CM33" s="644"/>
      <c r="CN33" s="11"/>
      <c r="CO33" s="644"/>
      <c r="CP33" s="11"/>
      <c r="CQ33" s="644"/>
      <c r="CR33" s="11"/>
      <c r="CS33" s="644"/>
      <c r="CT33" s="11"/>
      <c r="CU33" s="644"/>
      <c r="CV33" s="11"/>
      <c r="CW33" s="644"/>
      <c r="CX33" s="11"/>
      <c r="CY33" s="644"/>
      <c r="CZ33" s="11"/>
      <c r="DA33" s="644"/>
      <c r="DB33" s="11"/>
      <c r="DC33" s="644"/>
      <c r="DD33" s="11"/>
      <c r="DE33" s="644"/>
      <c r="DF33" s="644"/>
      <c r="DG33" s="644"/>
      <c r="DH33" s="11"/>
      <c r="DI33" s="644"/>
      <c r="DJ33" s="792"/>
      <c r="DK33" s="644"/>
      <c r="DL33" s="644"/>
      <c r="DM33" s="644"/>
      <c r="DN33" s="11"/>
      <c r="DO33" s="644"/>
      <c r="DP33" s="644"/>
      <c r="DQ33" s="644"/>
      <c r="DR33" s="644"/>
      <c r="DS33" s="644"/>
      <c r="DT33" s="644"/>
      <c r="DU33" s="644"/>
      <c r="DV33" s="11"/>
      <c r="DW33" s="644"/>
      <c r="DX33" s="11"/>
      <c r="DY33" s="644"/>
      <c r="DZ33" s="11"/>
      <c r="EA33" s="644"/>
      <c r="EB33" s="644"/>
      <c r="EC33" s="644"/>
      <c r="ED33" s="644"/>
      <c r="EE33" s="644"/>
      <c r="EF33" s="685"/>
      <c r="EG33" s="644"/>
      <c r="EH33" s="11"/>
      <c r="EI33" s="644"/>
      <c r="EJ33" s="644"/>
      <c r="EK33" s="644"/>
      <c r="EL33" s="644"/>
      <c r="EM33" s="644"/>
      <c r="EN33" s="11"/>
      <c r="EO33" s="644"/>
      <c r="EP33" s="11"/>
      <c r="EQ33" s="644"/>
      <c r="ER33" s="644"/>
      <c r="ES33" s="644"/>
      <c r="ET33" s="796"/>
      <c r="EU33" s="644"/>
      <c r="EV33" s="11"/>
      <c r="EW33" s="644"/>
      <c r="EX33" s="11"/>
      <c r="EY33" s="644"/>
      <c r="EZ33" s="11"/>
      <c r="FA33" s="644"/>
      <c r="FB33" s="11"/>
      <c r="FC33" s="644"/>
      <c r="FD33" s="11"/>
      <c r="FE33" s="644"/>
      <c r="FF33" s="11"/>
      <c r="FG33" s="644"/>
      <c r="FH33" s="11"/>
      <c r="FI33" s="644"/>
      <c r="FJ33" s="683"/>
      <c r="FK33" s="644"/>
      <c r="FL33" s="793"/>
      <c r="FM33" s="644"/>
      <c r="FN33" s="11"/>
      <c r="FO33" s="644"/>
      <c r="FP33" s="11"/>
      <c r="FQ33" s="644"/>
      <c r="FR33" s="644"/>
      <c r="FS33" s="644"/>
      <c r="FT33" s="644"/>
      <c r="FU33" s="644"/>
      <c r="FV33" s="644"/>
      <c r="FW33" s="644"/>
      <c r="FX33" s="11"/>
      <c r="FY33" s="644"/>
      <c r="FZ33" s="644"/>
      <c r="GA33" s="644"/>
      <c r="GB33" s="11"/>
      <c r="GC33" s="644"/>
      <c r="GD33" s="11"/>
      <c r="GE33" s="644"/>
      <c r="GF33" s="684"/>
      <c r="GG33" s="644"/>
      <c r="GH33" s="11"/>
      <c r="GI33" s="644"/>
      <c r="GJ33" s="793"/>
      <c r="GK33" s="644"/>
      <c r="GL33" s="11"/>
      <c r="GM33" s="644"/>
      <c r="GN33" s="11"/>
      <c r="GO33" s="644"/>
      <c r="GP33" s="11"/>
      <c r="GQ33" s="644"/>
      <c r="GR33" s="11"/>
      <c r="GS33" s="644"/>
      <c r="GT33" s="11"/>
      <c r="GU33" s="644"/>
      <c r="GV33" s="11"/>
      <c r="GW33" s="644"/>
      <c r="GX33" s="11"/>
      <c r="GY33" s="644"/>
      <c r="GZ33" s="11"/>
      <c r="HA33" s="644"/>
      <c r="HB33" s="11"/>
      <c r="HC33" s="644"/>
      <c r="HD33" s="11"/>
      <c r="HE33" s="644"/>
      <c r="HF33" s="11"/>
      <c r="HG33" s="644"/>
      <c r="HH33" s="11"/>
      <c r="HI33" s="644"/>
      <c r="HJ33" s="644"/>
      <c r="HK33" s="644"/>
      <c r="HL33" s="11"/>
      <c r="HM33" s="644"/>
      <c r="HN33" s="11"/>
      <c r="HO33" s="644"/>
      <c r="HP33" s="11"/>
      <c r="HQ33" s="644"/>
      <c r="HR33" s="11"/>
      <c r="HS33" s="644"/>
      <c r="HT33" s="686"/>
      <c r="HU33" s="644"/>
      <c r="HV33" s="11"/>
      <c r="HW33" s="644"/>
      <c r="HX33" s="11"/>
      <c r="HY33" s="644"/>
      <c r="HZ33" s="11"/>
      <c r="IA33" s="644"/>
      <c r="IB33" s="644"/>
      <c r="IC33" s="644"/>
      <c r="ID33" s="11"/>
      <c r="IE33" s="644"/>
      <c r="IF33" s="11"/>
      <c r="IG33" s="756"/>
      <c r="IH33" s="11"/>
      <c r="II33" s="644"/>
      <c r="IJ33" s="644"/>
      <c r="IK33" s="644"/>
      <c r="IL33" s="686"/>
      <c r="IM33" s="644"/>
      <c r="IN33" s="687"/>
      <c r="IO33" s="644"/>
      <c r="IP33" s="27"/>
      <c r="IQ33" s="644"/>
      <c r="IR33" s="27"/>
      <c r="IS33" s="644"/>
      <c r="IT33" s="11"/>
      <c r="IU33" s="644"/>
      <c r="IV33" s="11"/>
      <c r="IW33" s="644"/>
      <c r="IX33" s="688"/>
      <c r="IY33" s="644"/>
      <c r="IZ33" s="11"/>
      <c r="JA33" s="644"/>
      <c r="JB33" s="11"/>
      <c r="JC33" s="644"/>
      <c r="JD33" s="11"/>
      <c r="JE33" s="644"/>
      <c r="JF33" s="644"/>
      <c r="JG33" s="644"/>
      <c r="JH33" s="11"/>
      <c r="JI33" s="644"/>
      <c r="JJ33" s="644"/>
      <c r="JK33" s="644"/>
      <c r="JL33" s="644"/>
      <c r="JM33" s="644"/>
      <c r="JN33" s="11"/>
      <c r="JO33" s="644"/>
      <c r="JP33" s="644"/>
      <c r="JQ33" s="644"/>
      <c r="JR33" s="689"/>
      <c r="JS33" s="644"/>
      <c r="JT33" s="11"/>
      <c r="JU33" s="644"/>
      <c r="JV33" s="11"/>
      <c r="JW33" s="644"/>
      <c r="JX33" s="11"/>
      <c r="JY33" s="644"/>
    </row>
    <row r="34" spans="1:285" ht="36.75" customHeight="1" x14ac:dyDescent="0.2">
      <c r="A34" s="1564" t="s">
        <v>86</v>
      </c>
      <c r="B34" s="1570" t="s">
        <v>266</v>
      </c>
      <c r="C34" s="55" t="s">
        <v>95</v>
      </c>
      <c r="D34" s="56" t="s">
        <v>267</v>
      </c>
      <c r="E34" s="784" t="s">
        <v>152</v>
      </c>
      <c r="F34" s="10">
        <v>1.1779999999999999</v>
      </c>
      <c r="G34" s="756"/>
      <c r="H34" s="10">
        <v>0.27400000000000002</v>
      </c>
      <c r="I34" s="644"/>
      <c r="J34" s="10">
        <v>0.45700000000000002</v>
      </c>
      <c r="K34" s="644"/>
      <c r="L34" s="10">
        <v>2.2768199999999998</v>
      </c>
      <c r="M34" s="644"/>
      <c r="N34" s="785">
        <v>22.9</v>
      </c>
      <c r="O34" s="644"/>
      <c r="P34" s="666">
        <v>3.5560000000000001E-2</v>
      </c>
      <c r="Q34" s="644"/>
      <c r="R34" s="10">
        <v>3.6930000000000001</v>
      </c>
      <c r="S34" s="644"/>
      <c r="T34" s="644"/>
      <c r="U34" s="644"/>
      <c r="V34" s="644"/>
      <c r="W34" s="644"/>
      <c r="X34" s="644"/>
      <c r="Y34" s="644"/>
      <c r="Z34" s="10">
        <v>49.731999999999999</v>
      </c>
      <c r="AA34" s="644"/>
      <c r="AB34" s="10">
        <v>2.4350000000000001</v>
      </c>
      <c r="AC34" s="644"/>
      <c r="AD34" s="10">
        <v>16.54</v>
      </c>
      <c r="AE34" s="644"/>
      <c r="AF34" s="644"/>
      <c r="AG34" s="644"/>
      <c r="AH34" s="644"/>
      <c r="AI34" s="644"/>
      <c r="AJ34" s="666">
        <v>5.7</v>
      </c>
      <c r="AK34" s="644"/>
      <c r="AL34" s="10">
        <v>0</v>
      </c>
      <c r="AM34" s="644"/>
      <c r="AN34" s="10">
        <v>15.19</v>
      </c>
      <c r="AO34" s="644"/>
      <c r="AP34" s="10">
        <v>4.1349999999999998</v>
      </c>
      <c r="AQ34" s="644"/>
      <c r="AR34" s="10">
        <v>56.738</v>
      </c>
      <c r="AS34" s="644"/>
      <c r="AT34" s="10">
        <v>2.4</v>
      </c>
      <c r="AU34" s="644"/>
      <c r="AV34" s="785">
        <v>18.369</v>
      </c>
      <c r="AW34" s="644"/>
      <c r="AX34" s="10">
        <v>11.215</v>
      </c>
      <c r="AY34" s="644"/>
      <c r="AZ34" s="10">
        <v>2.20080915</v>
      </c>
      <c r="BA34" s="644"/>
      <c r="BB34" s="644"/>
      <c r="BC34" s="644"/>
      <c r="BD34" s="5">
        <v>0</v>
      </c>
      <c r="BE34" s="644"/>
      <c r="BF34" s="10">
        <v>0</v>
      </c>
      <c r="BG34" s="644"/>
      <c r="BH34" s="644"/>
      <c r="BI34" s="644"/>
      <c r="BJ34" s="10">
        <v>0.99</v>
      </c>
      <c r="BK34" s="644"/>
      <c r="BL34" s="10">
        <v>2.61990379</v>
      </c>
      <c r="BM34" s="644"/>
      <c r="BN34" s="10">
        <v>0.2</v>
      </c>
      <c r="BO34" s="644"/>
      <c r="BP34" s="671">
        <v>0</v>
      </c>
      <c r="BQ34" s="644"/>
      <c r="BR34" s="10">
        <v>0.5</v>
      </c>
      <c r="BS34" s="644"/>
      <c r="BT34" s="10" t="s">
        <v>504</v>
      </c>
      <c r="BU34" s="644"/>
      <c r="BV34" s="10">
        <v>13.303000000000001</v>
      </c>
      <c r="BW34" s="644"/>
      <c r="BX34" s="671"/>
      <c r="BY34" s="644"/>
      <c r="BZ34" s="671">
        <v>0.68400000000000005</v>
      </c>
      <c r="CA34" s="644"/>
      <c r="CB34" s="10">
        <v>8.7110000000000003</v>
      </c>
      <c r="CC34" s="644"/>
      <c r="CD34" s="644"/>
      <c r="CE34" s="644"/>
      <c r="CF34" s="644"/>
      <c r="CG34" s="644"/>
      <c r="CH34" s="671">
        <v>10.1</v>
      </c>
      <c r="CI34" s="10" t="s">
        <v>2114</v>
      </c>
      <c r="CJ34" s="10">
        <v>2.4</v>
      </c>
      <c r="CK34" s="10"/>
      <c r="CL34" s="10">
        <v>6.7</v>
      </c>
      <c r="CM34" s="644"/>
      <c r="CN34" s="10">
        <v>9.1519999999999992</v>
      </c>
      <c r="CO34" s="644"/>
      <c r="CP34" s="10"/>
      <c r="CQ34" s="644"/>
      <c r="CR34" s="10">
        <v>43.1</v>
      </c>
      <c r="CS34" s="644"/>
      <c r="CT34" s="10">
        <v>1.718</v>
      </c>
      <c r="CU34" s="644"/>
      <c r="CV34" s="10" t="s">
        <v>465</v>
      </c>
      <c r="CW34" s="644"/>
      <c r="CX34" s="15">
        <v>34.6</v>
      </c>
      <c r="CY34" s="644"/>
      <c r="CZ34" s="10" t="s">
        <v>465</v>
      </c>
      <c r="DA34" s="644"/>
      <c r="DB34" s="15">
        <v>3.036</v>
      </c>
      <c r="DC34" s="644"/>
      <c r="DD34" s="10">
        <v>0</v>
      </c>
      <c r="DE34" s="644"/>
      <c r="DF34" s="644"/>
      <c r="DG34" s="644"/>
      <c r="DH34" s="10">
        <v>5.3929999999999998</v>
      </c>
      <c r="DI34" s="644"/>
      <c r="DJ34" s="786">
        <v>0</v>
      </c>
      <c r="DK34" s="644"/>
      <c r="DL34" s="644"/>
      <c r="DM34" s="644"/>
      <c r="DN34" s="10">
        <v>14.53</v>
      </c>
      <c r="DO34" s="644"/>
      <c r="DP34" s="644"/>
      <c r="DQ34" s="644"/>
      <c r="DR34" s="644"/>
      <c r="DS34" s="644"/>
      <c r="DT34" s="644"/>
      <c r="DU34" s="644"/>
      <c r="DV34" s="10">
        <v>3.27E-2</v>
      </c>
      <c r="DW34" s="644"/>
      <c r="DX34" s="10">
        <v>2.6020000000000001E-2</v>
      </c>
      <c r="DY34" s="644"/>
      <c r="DZ34" s="10">
        <v>5.0350000000000001</v>
      </c>
      <c r="EA34" s="644"/>
      <c r="EB34" s="644"/>
      <c r="EC34" s="644"/>
      <c r="ED34" s="644"/>
      <c r="EE34" s="644"/>
      <c r="EF34" s="694">
        <v>1.12124015</v>
      </c>
      <c r="EG34" s="644"/>
      <c r="EH34" s="10">
        <v>4.3626040000000001</v>
      </c>
      <c r="EI34" s="644"/>
      <c r="EJ34" s="644"/>
      <c r="EK34" s="644"/>
      <c r="EL34" s="644"/>
      <c r="EM34" s="644"/>
      <c r="EN34" s="10">
        <v>13.767087269999999</v>
      </c>
      <c r="EO34" s="644"/>
      <c r="EP34" s="10">
        <v>5.2069999999999999</v>
      </c>
      <c r="EQ34" s="644"/>
      <c r="ER34" s="644"/>
      <c r="ES34" s="644"/>
      <c r="ET34" s="10" t="s">
        <v>465</v>
      </c>
      <c r="EU34" s="644"/>
      <c r="EV34" s="10">
        <v>17.992000000000001</v>
      </c>
      <c r="EW34" s="644"/>
      <c r="EX34" s="10">
        <v>0</v>
      </c>
      <c r="EY34" s="644"/>
      <c r="EZ34" s="10">
        <v>1.8</v>
      </c>
      <c r="FA34" s="644"/>
      <c r="FB34" s="10" t="s">
        <v>1509</v>
      </c>
      <c r="FC34" s="644"/>
      <c r="FD34" s="10">
        <v>0</v>
      </c>
      <c r="FE34" s="644"/>
      <c r="FF34" s="10">
        <v>4.5529999999999999</v>
      </c>
      <c r="FG34" s="644"/>
      <c r="FH34" s="10"/>
      <c r="FI34" s="644"/>
      <c r="FJ34" s="671">
        <v>14.8</v>
      </c>
      <c r="FK34" s="644"/>
      <c r="FL34" s="788">
        <v>13.4</v>
      </c>
      <c r="FM34" s="644"/>
      <c r="FN34" s="10">
        <v>0</v>
      </c>
      <c r="FO34" s="644"/>
      <c r="FP34" s="10">
        <v>11.513</v>
      </c>
      <c r="FQ34" s="644"/>
      <c r="FR34" s="644"/>
      <c r="FS34" s="644"/>
      <c r="FT34" s="644"/>
      <c r="FU34" s="644"/>
      <c r="FV34" s="644"/>
      <c r="FW34" s="644"/>
      <c r="FX34" s="10">
        <v>23.39551312</v>
      </c>
      <c r="FY34" s="644"/>
      <c r="FZ34" s="644"/>
      <c r="GA34" s="644"/>
      <c r="GB34" s="10">
        <v>0.04</v>
      </c>
      <c r="GC34" s="644"/>
      <c r="GD34" s="27">
        <v>14.231999999999999</v>
      </c>
      <c r="GE34" s="644"/>
      <c r="GF34" s="665">
        <v>0.22500000000000001</v>
      </c>
      <c r="GG34" s="644"/>
      <c r="GH34" s="10">
        <v>28.411355910000001</v>
      </c>
      <c r="GI34" s="644"/>
      <c r="GJ34" s="788">
        <v>18.3</v>
      </c>
      <c r="GK34" s="644"/>
      <c r="GL34" s="10">
        <v>0</v>
      </c>
      <c r="GM34" s="644"/>
      <c r="GN34" s="10" t="s">
        <v>504</v>
      </c>
      <c r="GO34" s="644"/>
      <c r="GP34" s="10">
        <v>0</v>
      </c>
      <c r="GQ34" s="644"/>
      <c r="GR34" s="10">
        <v>9.11</v>
      </c>
      <c r="GS34" s="644"/>
      <c r="GT34" s="10">
        <v>31.3</v>
      </c>
      <c r="GU34" s="644"/>
      <c r="GV34" s="10">
        <v>1.5</v>
      </c>
      <c r="GW34" s="644"/>
      <c r="GX34" s="10">
        <v>0</v>
      </c>
      <c r="GY34" s="644"/>
      <c r="GZ34" s="10">
        <v>0</v>
      </c>
      <c r="HA34" s="644"/>
      <c r="HB34" s="10">
        <v>0.56323336000000002</v>
      </c>
      <c r="HC34" s="644"/>
      <c r="HD34" s="667">
        <v>67.954477330000003</v>
      </c>
      <c r="HE34" s="644"/>
      <c r="HF34" s="10" t="s">
        <v>465</v>
      </c>
      <c r="HG34" s="644"/>
      <c r="HH34" s="10" t="s">
        <v>465</v>
      </c>
      <c r="HI34" s="644"/>
      <c r="HJ34" s="644"/>
      <c r="HK34" s="644"/>
      <c r="HL34" s="10">
        <v>0</v>
      </c>
      <c r="HM34" s="644"/>
      <c r="HN34" s="10">
        <v>26.004000000000001</v>
      </c>
      <c r="HO34" s="644"/>
      <c r="HP34" s="10">
        <v>0</v>
      </c>
      <c r="HQ34" s="644"/>
      <c r="HR34" s="10"/>
      <c r="HS34" s="644"/>
      <c r="HT34" s="695" t="s">
        <v>702</v>
      </c>
      <c r="HU34" s="644"/>
      <c r="HV34" s="10">
        <v>0</v>
      </c>
      <c r="HW34" s="644"/>
      <c r="HX34" s="10">
        <v>0.2</v>
      </c>
      <c r="HY34" s="644"/>
      <c r="HZ34" s="10"/>
      <c r="IA34" s="644"/>
      <c r="IB34" s="644"/>
      <c r="IC34" s="644"/>
      <c r="ID34" s="10">
        <v>30.7</v>
      </c>
      <c r="IE34" s="644"/>
      <c r="IF34" s="10">
        <v>4.0260939599999999</v>
      </c>
      <c r="IG34" s="756"/>
      <c r="IH34" s="10">
        <v>60</v>
      </c>
      <c r="II34" s="644"/>
      <c r="IJ34" s="644"/>
      <c r="IK34" s="644"/>
      <c r="IL34" s="674">
        <v>1.4999999999999999E-2</v>
      </c>
      <c r="IM34" s="644"/>
      <c r="IN34" s="675">
        <v>0</v>
      </c>
      <c r="IO34" s="644"/>
      <c r="IP34" s="27">
        <v>22.24</v>
      </c>
      <c r="IQ34" s="644"/>
      <c r="IR34" s="27">
        <v>0</v>
      </c>
      <c r="IS34" s="644"/>
      <c r="IT34" s="10">
        <v>3.5760000000000001</v>
      </c>
      <c r="IU34" s="644"/>
      <c r="IV34" s="10">
        <v>0</v>
      </c>
      <c r="IW34" s="644"/>
      <c r="IX34" s="671" t="s">
        <v>1104</v>
      </c>
      <c r="IY34" s="644"/>
      <c r="IZ34" s="10">
        <v>51.901000000000003</v>
      </c>
      <c r="JA34" s="644"/>
      <c r="JB34" s="10">
        <v>8.8960000000000008</v>
      </c>
      <c r="JC34" s="644"/>
      <c r="JD34" s="10">
        <v>5.734</v>
      </c>
      <c r="JE34" s="644"/>
      <c r="JF34" s="644"/>
      <c r="JG34" s="644"/>
      <c r="JH34" s="10" t="s">
        <v>806</v>
      </c>
      <c r="JI34" s="644"/>
      <c r="JJ34" s="644"/>
      <c r="JK34" s="644"/>
      <c r="JL34" s="644"/>
      <c r="JM34" s="644"/>
      <c r="JN34" s="10">
        <v>0</v>
      </c>
      <c r="JO34" s="644"/>
      <c r="JP34" s="644"/>
      <c r="JQ34" s="644"/>
      <c r="JR34" s="677">
        <f>74.0517+10.6911</f>
        <v>84.742800000000003</v>
      </c>
      <c r="JS34" s="644"/>
      <c r="JT34" s="27">
        <v>0.04</v>
      </c>
      <c r="JU34" s="644"/>
      <c r="JV34" s="10">
        <v>0.68799999999999994</v>
      </c>
      <c r="JW34" s="644"/>
      <c r="JX34" s="10">
        <v>3.7</v>
      </c>
      <c r="JY34" s="644"/>
    </row>
    <row r="35" spans="1:285" ht="36.75" customHeight="1" thickBot="1" x14ac:dyDescent="0.25">
      <c r="A35" s="1568"/>
      <c r="B35" s="1572"/>
      <c r="C35" s="74" t="s">
        <v>96</v>
      </c>
      <c r="D35" s="75" t="s">
        <v>231</v>
      </c>
      <c r="E35" s="755" t="s">
        <v>52</v>
      </c>
      <c r="F35" s="11">
        <v>8.1000000000000003E-2</v>
      </c>
      <c r="G35" s="756"/>
      <c r="H35" s="11">
        <f>+H34/$F$29</f>
        <v>0.39871944121071012</v>
      </c>
      <c r="I35" s="644"/>
      <c r="J35" s="11">
        <v>7.2700000000000004E-3</v>
      </c>
      <c r="K35" s="644"/>
      <c r="L35" s="11">
        <f>L34*100%/L27</f>
        <v>8.300084804008126E-2</v>
      </c>
      <c r="M35" s="644"/>
      <c r="N35" s="791">
        <v>6.8000000000000005E-2</v>
      </c>
      <c r="O35" s="644"/>
      <c r="P35" s="681">
        <f>P34/P27</f>
        <v>5.9897879202899301E-3</v>
      </c>
      <c r="Q35" s="644"/>
      <c r="R35" s="11">
        <v>0.02</v>
      </c>
      <c r="S35" s="644"/>
      <c r="T35" s="644"/>
      <c r="U35" s="644"/>
      <c r="V35" s="644"/>
      <c r="W35" s="644"/>
      <c r="X35" s="644"/>
      <c r="Y35" s="644"/>
      <c r="Z35" s="11">
        <v>8.4400000000000003E-2</v>
      </c>
      <c r="AA35" s="644"/>
      <c r="AB35" s="11">
        <v>9.4999999999999998E-3</v>
      </c>
      <c r="AC35" s="644"/>
      <c r="AD35" s="11">
        <v>9.4999999999999998E-3</v>
      </c>
      <c r="AE35" s="644"/>
      <c r="AF35" s="644"/>
      <c r="AG35" s="644"/>
      <c r="AH35" s="644"/>
      <c r="AI35" s="644"/>
      <c r="AJ35" s="681">
        <v>5.2900000000000003E-2</v>
      </c>
      <c r="AK35" s="644"/>
      <c r="AL35" s="11">
        <v>0</v>
      </c>
      <c r="AM35" s="644"/>
      <c r="AN35" s="11">
        <f>AN34/AN27*100%</f>
        <v>2.6933292670385436E-2</v>
      </c>
      <c r="AO35" s="644"/>
      <c r="AP35" s="11">
        <f>AP34/AP27</f>
        <v>8.6994940197553189E-2</v>
      </c>
      <c r="AQ35" s="644"/>
      <c r="AR35" s="11">
        <v>0.39889999999999998</v>
      </c>
      <c r="AS35" s="644"/>
      <c r="AT35" s="11">
        <f>AT34/AT27</f>
        <v>1.6853932584269662E-2</v>
      </c>
      <c r="AU35" s="644"/>
      <c r="AV35" s="791">
        <v>8.1100000000000005E-2</v>
      </c>
      <c r="AW35" s="644"/>
      <c r="AX35" s="11">
        <f>AX34/AX27</f>
        <v>5.5177021562579795E-2</v>
      </c>
      <c r="AY35" s="644"/>
      <c r="AZ35" s="11">
        <v>7.0800000000000004E-3</v>
      </c>
      <c r="BA35" s="644"/>
      <c r="BB35" s="644"/>
      <c r="BC35" s="644"/>
      <c r="BD35" s="5">
        <v>0</v>
      </c>
      <c r="BE35" s="644"/>
      <c r="BF35" s="11">
        <v>0</v>
      </c>
      <c r="BG35" s="644"/>
      <c r="BH35" s="644"/>
      <c r="BI35" s="644"/>
      <c r="BJ35" s="11">
        <v>0.05</v>
      </c>
      <c r="BK35" s="644"/>
      <c r="BL35" s="11">
        <f>BL34/BL27</f>
        <v>4.3977667797599131E-2</v>
      </c>
      <c r="BM35" s="644"/>
      <c r="BN35" s="11">
        <v>0.04</v>
      </c>
      <c r="BO35" s="644"/>
      <c r="BP35" s="683">
        <v>0</v>
      </c>
      <c r="BQ35" s="644"/>
      <c r="BR35" s="11">
        <f>BR34/BR27</f>
        <v>6.5616797900262466E-3</v>
      </c>
      <c r="BS35" s="644"/>
      <c r="BT35" s="11"/>
      <c r="BU35" s="644"/>
      <c r="BV35" s="11">
        <f>BV34/BV27</f>
        <v>3.2230007365197502E-2</v>
      </c>
      <c r="BW35" s="644"/>
      <c r="BX35" s="683">
        <f>BX34/BX27</f>
        <v>0</v>
      </c>
      <c r="BY35" s="644"/>
      <c r="BZ35" s="683">
        <f>BZ34/BZ27</f>
        <v>5.3254437869822494E-2</v>
      </c>
      <c r="CA35" s="644"/>
      <c r="CB35" s="11">
        <f>CB34/CB27</f>
        <v>5.0155169534952006E-2</v>
      </c>
      <c r="CC35" s="644"/>
      <c r="CD35" s="644"/>
      <c r="CE35" s="644"/>
      <c r="CF35" s="644"/>
      <c r="CG35" s="644"/>
      <c r="CH35" s="683">
        <f>CH34/CH27</f>
        <v>0.11662817551963049</v>
      </c>
      <c r="CI35" s="11"/>
      <c r="CJ35" s="11">
        <f>CJ34/CJ27</f>
        <v>7.476635514018691E-2</v>
      </c>
      <c r="CK35" s="11"/>
      <c r="CL35" s="11">
        <v>4.1500000000000002E-2</v>
      </c>
      <c r="CM35" s="644"/>
      <c r="CN35" s="11">
        <v>0.4</v>
      </c>
      <c r="CO35" s="644"/>
      <c r="CP35" s="11"/>
      <c r="CQ35" s="644"/>
      <c r="CR35" s="11">
        <v>0.127</v>
      </c>
      <c r="CS35" s="644"/>
      <c r="CT35" s="11">
        <v>1.14E-2</v>
      </c>
      <c r="CU35" s="644"/>
      <c r="CV35" s="11" t="s">
        <v>465</v>
      </c>
      <c r="CW35" s="644"/>
      <c r="CX35" s="11">
        <f>CX34/CX27</f>
        <v>0.21292307692307694</v>
      </c>
      <c r="CY35" s="644"/>
      <c r="CZ35" s="11" t="s">
        <v>465</v>
      </c>
      <c r="DA35" s="644"/>
      <c r="DB35" s="11">
        <f>DB34/DB27</f>
        <v>1.1052056789224609E-2</v>
      </c>
      <c r="DC35" s="644"/>
      <c r="DD35" s="11">
        <v>0</v>
      </c>
      <c r="DE35" s="644"/>
      <c r="DF35" s="644"/>
      <c r="DG35" s="644"/>
      <c r="DH35" s="11">
        <f>DH34/DH27</f>
        <v>8.3147422090726741E-3</v>
      </c>
      <c r="DI35" s="644"/>
      <c r="DJ35" s="792">
        <f>DJ34/DJ27</f>
        <v>0</v>
      </c>
      <c r="DK35" s="644"/>
      <c r="DL35" s="644"/>
      <c r="DM35" s="644"/>
      <c r="DN35" s="11">
        <v>4.3200000000000002E-2</v>
      </c>
      <c r="DO35" s="644"/>
      <c r="DP35" s="644"/>
      <c r="DQ35" s="644"/>
      <c r="DR35" s="644"/>
      <c r="DS35" s="644"/>
      <c r="DT35" s="644"/>
      <c r="DU35" s="644"/>
      <c r="DV35" s="11">
        <v>8.2999999999999998E-5</v>
      </c>
      <c r="DW35" s="644"/>
      <c r="DX35" s="11">
        <v>8.2999999999999998E-5</v>
      </c>
      <c r="DY35" s="644"/>
      <c r="DZ35" s="11">
        <v>0.06</v>
      </c>
      <c r="EA35" s="644"/>
      <c r="EB35" s="644"/>
      <c r="EC35" s="644"/>
      <c r="ED35" s="644"/>
      <c r="EE35" s="644"/>
      <c r="EF35" s="11">
        <f>EF34/EF27</f>
        <v>7.6906511928733143E-2</v>
      </c>
      <c r="EG35" s="644"/>
      <c r="EH35" s="11">
        <v>0.15509999999999999</v>
      </c>
      <c r="EI35" s="644"/>
      <c r="EJ35" s="644"/>
      <c r="EK35" s="644"/>
      <c r="EL35" s="644"/>
      <c r="EM35" s="644"/>
      <c r="EN35" s="11" t="s">
        <v>1435</v>
      </c>
      <c r="EO35" s="644"/>
      <c r="EP35" s="11">
        <v>7.6399999999999996E-2</v>
      </c>
      <c r="EQ35" s="644"/>
      <c r="ER35" s="644"/>
      <c r="ES35" s="644"/>
      <c r="ET35" s="11" t="s">
        <v>465</v>
      </c>
      <c r="EU35" s="644"/>
      <c r="EV35" s="11">
        <v>3.39E-2</v>
      </c>
      <c r="EW35" s="644"/>
      <c r="EX35" s="11">
        <v>0</v>
      </c>
      <c r="EY35" s="644"/>
      <c r="EZ35" s="11">
        <v>0.09</v>
      </c>
      <c r="FA35" s="644"/>
      <c r="FB35" s="11"/>
      <c r="FC35" s="644"/>
      <c r="FD35" s="11">
        <v>0</v>
      </c>
      <c r="FE35" s="644"/>
      <c r="FF35" s="11">
        <v>6.8599999999999994E-2</v>
      </c>
      <c r="FG35" s="644"/>
      <c r="FH35" s="11"/>
      <c r="FI35" s="644"/>
      <c r="FJ35" s="683">
        <f>FJ34/FJ27</f>
        <v>4.2767768129343603E-2</v>
      </c>
      <c r="FK35" s="644"/>
      <c r="FL35" s="793">
        <v>8.0600000000000005E-2</v>
      </c>
      <c r="FM35" s="644"/>
      <c r="FN35" s="11">
        <v>0</v>
      </c>
      <c r="FO35" s="644"/>
      <c r="FP35" s="11">
        <f>FP34/FP27</f>
        <v>9.0612874536625296E-2</v>
      </c>
      <c r="FQ35" s="644"/>
      <c r="FR35" s="644"/>
      <c r="FS35" s="644"/>
      <c r="FT35" s="644"/>
      <c r="FU35" s="644"/>
      <c r="FV35" s="644"/>
      <c r="FW35" s="644"/>
      <c r="FX35" s="11">
        <f>FX34/FX27</f>
        <v>0.10114443018385996</v>
      </c>
      <c r="FY35" s="644"/>
      <c r="FZ35" s="644"/>
      <c r="GA35" s="644"/>
      <c r="GB35" s="11">
        <f>GB34/GB27</f>
        <v>2.7940765576976809E-3</v>
      </c>
      <c r="GC35" s="644"/>
      <c r="GD35" s="11">
        <v>5.5199999999999999E-2</v>
      </c>
      <c r="GE35" s="644"/>
      <c r="GF35" s="684">
        <v>1.5699999999999999E-2</v>
      </c>
      <c r="GG35" s="644"/>
      <c r="GH35" s="11">
        <v>0.1174</v>
      </c>
      <c r="GI35" s="644"/>
      <c r="GJ35" s="793">
        <v>5.2499999999999998E-2</v>
      </c>
      <c r="GK35" s="644"/>
      <c r="GL35" s="11">
        <v>0</v>
      </c>
      <c r="GM35" s="644"/>
      <c r="GN35" s="11"/>
      <c r="GO35" s="644"/>
      <c r="GP35" s="11">
        <v>0</v>
      </c>
      <c r="GQ35" s="644"/>
      <c r="GR35" s="11">
        <v>8.9999999999999993E-3</v>
      </c>
      <c r="GS35" s="644"/>
      <c r="GT35" s="11">
        <v>3.0800000000000001E-2</v>
      </c>
      <c r="GU35" s="644"/>
      <c r="GV35" s="11">
        <v>8.5000000000000006E-3</v>
      </c>
      <c r="GW35" s="644"/>
      <c r="GX35" s="11">
        <v>0</v>
      </c>
      <c r="GY35" s="644"/>
      <c r="GZ35" s="11">
        <v>0</v>
      </c>
      <c r="HA35" s="644"/>
      <c r="HB35" s="11">
        <f>HB34/HB27</f>
        <v>4.4792315773484553E-2</v>
      </c>
      <c r="HC35" s="644"/>
      <c r="HD35" s="11">
        <f>HD34/HD27</f>
        <v>3.5516339225329666E-2</v>
      </c>
      <c r="HE35" s="644"/>
      <c r="HF35" s="11"/>
      <c r="HG35" s="644"/>
      <c r="HH35" s="11" t="s">
        <v>465</v>
      </c>
      <c r="HI35" s="644"/>
      <c r="HJ35" s="644"/>
      <c r="HK35" s="644"/>
      <c r="HL35" s="11">
        <v>0</v>
      </c>
      <c r="HM35" s="644"/>
      <c r="HN35" s="11">
        <f>HN34/HN27</f>
        <v>3.5365108982579919E-2</v>
      </c>
      <c r="HO35" s="644"/>
      <c r="HP35" s="11">
        <v>0</v>
      </c>
      <c r="HQ35" s="644"/>
      <c r="HR35" s="11"/>
      <c r="HS35" s="644"/>
      <c r="HT35" s="696" t="s">
        <v>702</v>
      </c>
      <c r="HU35" s="644"/>
      <c r="HV35" s="11">
        <v>0</v>
      </c>
      <c r="HW35" s="644"/>
      <c r="HX35" s="11">
        <v>0.04</v>
      </c>
      <c r="HY35" s="644"/>
      <c r="HZ35" s="11"/>
      <c r="IA35" s="644"/>
      <c r="IB35" s="644"/>
      <c r="IC35" s="644"/>
      <c r="ID35" s="11">
        <f>ID34/ID27</f>
        <v>0.14050343249427918</v>
      </c>
      <c r="IE35" s="644"/>
      <c r="IF35" s="11">
        <f>IF34/IF27</f>
        <v>7.2900913877837051E-2</v>
      </c>
      <c r="IG35" s="756"/>
      <c r="IH35" s="11">
        <v>0.111</v>
      </c>
      <c r="II35" s="644"/>
      <c r="IJ35" s="644"/>
      <c r="IK35" s="644"/>
      <c r="IL35" s="686">
        <f>IL34/IL27</f>
        <v>2.1943298516633017E-4</v>
      </c>
      <c r="IM35" s="644"/>
      <c r="IN35" s="687">
        <v>0</v>
      </c>
      <c r="IO35" s="644"/>
      <c r="IP35" s="27">
        <v>10.56</v>
      </c>
      <c r="IQ35" s="644"/>
      <c r="IR35" s="27"/>
      <c r="IS35" s="644"/>
      <c r="IT35" s="11">
        <v>8.3000000000000004E-2</v>
      </c>
      <c r="IU35" s="644"/>
      <c r="IV35" s="11">
        <v>0</v>
      </c>
      <c r="IW35" s="644"/>
      <c r="IX35" s="671" t="s">
        <v>1104</v>
      </c>
      <c r="IY35" s="644"/>
      <c r="IZ35" s="11">
        <v>0.4027</v>
      </c>
      <c r="JA35" s="644"/>
      <c r="JB35" s="11">
        <v>2.1716257999999999E-2</v>
      </c>
      <c r="JC35" s="644"/>
      <c r="JD35" s="11">
        <f>JD34/JD27</f>
        <v>5.5996640592193281E-2</v>
      </c>
      <c r="JE35" s="644"/>
      <c r="JF35" s="644"/>
      <c r="JG35" s="644"/>
      <c r="JH35" s="11" t="s">
        <v>702</v>
      </c>
      <c r="JI35" s="644"/>
      <c r="JJ35" s="644"/>
      <c r="JK35" s="644"/>
      <c r="JL35" s="644"/>
      <c r="JM35" s="644"/>
      <c r="JN35" s="11">
        <v>0</v>
      </c>
      <c r="JO35" s="644"/>
      <c r="JP35" s="644"/>
      <c r="JQ35" s="644"/>
      <c r="JR35" s="689">
        <f>JR34/JR27</f>
        <v>0.12062762440753994</v>
      </c>
      <c r="JS35" s="644"/>
      <c r="JT35" s="11">
        <v>8.9999999999999998E-4</v>
      </c>
      <c r="JU35" s="644"/>
      <c r="JV35" s="11">
        <f>JV34/JV27</f>
        <v>2.2145186157971138E-3</v>
      </c>
      <c r="JW35" s="644"/>
      <c r="JX35" s="11">
        <v>5.0000000000000001E-3</v>
      </c>
      <c r="JY35" s="644"/>
    </row>
    <row r="36" spans="1:285" ht="55.5" customHeight="1" x14ac:dyDescent="0.2">
      <c r="A36" s="1564" t="s">
        <v>87</v>
      </c>
      <c r="B36" s="1570" t="s">
        <v>268</v>
      </c>
      <c r="C36" s="79" t="s">
        <v>97</v>
      </c>
      <c r="D36" s="80" t="s">
        <v>269</v>
      </c>
      <c r="E36" s="784" t="s">
        <v>152</v>
      </c>
      <c r="F36" s="10">
        <v>0.84899999999999998</v>
      </c>
      <c r="G36" s="756"/>
      <c r="H36" s="10">
        <v>0.14099999999999999</v>
      </c>
      <c r="I36" s="644"/>
      <c r="J36" s="665">
        <v>0</v>
      </c>
      <c r="K36" s="644"/>
      <c r="L36" s="10">
        <v>3.2987000000000002</v>
      </c>
      <c r="M36" s="644"/>
      <c r="N36" s="785">
        <v>15</v>
      </c>
      <c r="O36" s="644"/>
      <c r="P36" s="666">
        <v>0.14699999999999999</v>
      </c>
      <c r="Q36" s="644"/>
      <c r="R36" s="10">
        <v>4.0629999999999997</v>
      </c>
      <c r="S36" s="644"/>
      <c r="T36" s="644"/>
      <c r="U36" s="644"/>
      <c r="V36" s="644"/>
      <c r="W36" s="644"/>
      <c r="X36" s="644"/>
      <c r="Y36" s="644"/>
      <c r="Z36" s="10">
        <v>51.491</v>
      </c>
      <c r="AA36" s="644"/>
      <c r="AB36" s="10" t="s">
        <v>465</v>
      </c>
      <c r="AC36" s="644"/>
      <c r="AD36" s="10" t="s">
        <v>465</v>
      </c>
      <c r="AE36" s="644"/>
      <c r="AF36" s="644"/>
      <c r="AG36" s="644"/>
      <c r="AH36" s="644"/>
      <c r="AI36" s="644"/>
      <c r="AJ36" s="666">
        <v>0</v>
      </c>
      <c r="AK36" s="644"/>
      <c r="AL36" s="10">
        <v>0</v>
      </c>
      <c r="AM36" s="644"/>
      <c r="AN36" s="10"/>
      <c r="AO36" s="644"/>
      <c r="AP36" s="10">
        <v>8.3729999999999993</v>
      </c>
      <c r="AQ36" s="644"/>
      <c r="AR36" s="10">
        <v>14.387</v>
      </c>
      <c r="AS36" s="644"/>
      <c r="AT36" s="10">
        <v>1.4</v>
      </c>
      <c r="AU36" s="644"/>
      <c r="AV36" s="785">
        <v>9.2200000000000006</v>
      </c>
      <c r="AW36" s="644"/>
      <c r="AX36" s="10">
        <f>11.816</f>
        <v>11.816000000000001</v>
      </c>
      <c r="AY36" s="644"/>
      <c r="AZ36" s="10">
        <v>11.833</v>
      </c>
      <c r="BA36" s="644"/>
      <c r="BB36" s="644"/>
      <c r="BC36" s="644"/>
      <c r="BD36" s="5">
        <v>60</v>
      </c>
      <c r="BE36" s="644"/>
      <c r="BF36" s="10">
        <v>0</v>
      </c>
      <c r="BG36" s="644"/>
      <c r="BH36" s="644"/>
      <c r="BI36" s="644"/>
      <c r="BJ36" s="10"/>
      <c r="BK36" s="644"/>
      <c r="BL36" s="10">
        <v>1.3423195699999999</v>
      </c>
      <c r="BM36" s="644"/>
      <c r="BN36" s="10">
        <v>0</v>
      </c>
      <c r="BO36" s="644"/>
      <c r="BP36" s="671">
        <v>0</v>
      </c>
      <c r="BQ36" s="644"/>
      <c r="BR36" s="10" t="s">
        <v>465</v>
      </c>
      <c r="BS36" s="644"/>
      <c r="BT36" s="10" t="s">
        <v>504</v>
      </c>
      <c r="BU36" s="644"/>
      <c r="BV36" s="10"/>
      <c r="BW36" s="644"/>
      <c r="BX36" s="671"/>
      <c r="BY36" s="644"/>
      <c r="BZ36" s="671">
        <v>1.087</v>
      </c>
      <c r="CA36" s="644"/>
      <c r="CB36" s="10">
        <v>2.8620000000000001</v>
      </c>
      <c r="CC36" s="644"/>
      <c r="CD36" s="644"/>
      <c r="CE36" s="644"/>
      <c r="CF36" s="644"/>
      <c r="CG36" s="644"/>
      <c r="CH36" s="683" t="s">
        <v>465</v>
      </c>
      <c r="CI36" s="10"/>
      <c r="CJ36" s="10">
        <v>1</v>
      </c>
      <c r="CK36" s="10"/>
      <c r="CL36" s="10">
        <v>8.5</v>
      </c>
      <c r="CM36" s="644"/>
      <c r="CN36" s="665" t="s">
        <v>2410</v>
      </c>
      <c r="CO36" s="644"/>
      <c r="CP36" s="10"/>
      <c r="CQ36" s="644"/>
      <c r="CR36" s="10">
        <v>25.6</v>
      </c>
      <c r="CS36" s="644"/>
      <c r="CT36" s="10">
        <v>8.2579999999999991</v>
      </c>
      <c r="CU36" s="644"/>
      <c r="CV36" s="27">
        <v>3.21</v>
      </c>
      <c r="CW36" s="644"/>
      <c r="CX36" s="10" t="s">
        <v>465</v>
      </c>
      <c r="CY36" s="644"/>
      <c r="CZ36" s="10" t="s">
        <v>465</v>
      </c>
      <c r="DA36" s="644"/>
      <c r="DB36" s="10" t="s">
        <v>465</v>
      </c>
      <c r="DC36" s="644"/>
      <c r="DD36" s="10">
        <v>0</v>
      </c>
      <c r="DE36" s="644"/>
      <c r="DF36" s="644"/>
      <c r="DG36" s="644"/>
      <c r="DH36" s="10">
        <v>1.008</v>
      </c>
      <c r="DI36" s="644"/>
      <c r="DJ36" s="786">
        <v>0</v>
      </c>
      <c r="DK36" s="644"/>
      <c r="DL36" s="644"/>
      <c r="DM36" s="644"/>
      <c r="DN36" s="10">
        <v>0.86899999999999999</v>
      </c>
      <c r="DO36" s="644"/>
      <c r="DP36" s="644"/>
      <c r="DQ36" s="644"/>
      <c r="DR36" s="644"/>
      <c r="DS36" s="644"/>
      <c r="DT36" s="644"/>
      <c r="DU36" s="644"/>
      <c r="DV36" s="10">
        <v>0.29499999999999998</v>
      </c>
      <c r="DW36" s="644"/>
      <c r="DX36" s="10">
        <v>0.31912000000000001</v>
      </c>
      <c r="DY36" s="644"/>
      <c r="DZ36" s="10" t="s">
        <v>465</v>
      </c>
      <c r="EA36" s="644"/>
      <c r="EB36" s="644"/>
      <c r="EC36" s="644"/>
      <c r="ED36" s="644"/>
      <c r="EE36" s="644"/>
      <c r="EF36" s="644"/>
      <c r="EG36" s="10" t="s">
        <v>2033</v>
      </c>
      <c r="EH36" s="797"/>
      <c r="EI36" s="10" t="s">
        <v>2033</v>
      </c>
      <c r="EJ36" s="644"/>
      <c r="EK36" s="644"/>
      <c r="EL36" s="644"/>
      <c r="EM36" s="644"/>
      <c r="EN36" s="10" t="s">
        <v>504</v>
      </c>
      <c r="EO36" s="644"/>
      <c r="EP36" s="10">
        <v>11.489000000000001</v>
      </c>
      <c r="EQ36" s="644"/>
      <c r="ER36" s="644"/>
      <c r="ES36" s="644"/>
      <c r="ET36" s="10" t="s">
        <v>465</v>
      </c>
      <c r="EU36" s="644"/>
      <c r="EV36" s="10">
        <v>28.582000000000001</v>
      </c>
      <c r="EW36" s="644"/>
      <c r="EX36" s="10">
        <v>0</v>
      </c>
      <c r="EY36" s="644"/>
      <c r="EZ36" s="10"/>
      <c r="FA36" s="644"/>
      <c r="FB36" s="10">
        <v>10.1</v>
      </c>
      <c r="FC36" s="644"/>
      <c r="FD36" s="10">
        <v>0</v>
      </c>
      <c r="FE36" s="644"/>
      <c r="FF36" s="10">
        <v>4.6319999999999997</v>
      </c>
      <c r="FG36" s="644"/>
      <c r="FH36" s="10"/>
      <c r="FI36" s="644"/>
      <c r="FJ36" s="10"/>
      <c r="FK36" s="644"/>
      <c r="FL36" s="788">
        <v>0.6</v>
      </c>
      <c r="FM36" s="644"/>
      <c r="FN36" s="10">
        <v>0.35</v>
      </c>
      <c r="FO36" s="644"/>
      <c r="FP36" s="10">
        <v>8.8930000000000007</v>
      </c>
      <c r="FQ36" s="644"/>
      <c r="FR36" s="644"/>
      <c r="FS36" s="644"/>
      <c r="FT36" s="644"/>
      <c r="FU36" s="644"/>
      <c r="FV36" s="644"/>
      <c r="FW36" s="644"/>
      <c r="FX36" s="10">
        <v>0.15715851</v>
      </c>
      <c r="FY36" s="644"/>
      <c r="FZ36" s="644"/>
      <c r="GA36" s="644"/>
      <c r="GB36" s="10">
        <v>0.05</v>
      </c>
      <c r="GC36" s="644"/>
      <c r="GD36" s="27">
        <v>8.4039999999999999</v>
      </c>
      <c r="GE36" s="644"/>
      <c r="GF36" s="665">
        <v>0.83899999999999997</v>
      </c>
      <c r="GG36" s="644"/>
      <c r="GH36" s="10">
        <v>5.3341229999999999</v>
      </c>
      <c r="GI36" s="644"/>
      <c r="GJ36" s="788">
        <v>27.04</v>
      </c>
      <c r="GK36" s="644"/>
      <c r="GL36" s="10">
        <v>0</v>
      </c>
      <c r="GM36" s="644"/>
      <c r="GN36" s="10" t="s">
        <v>504</v>
      </c>
      <c r="GO36" s="644"/>
      <c r="GP36" s="10">
        <v>0</v>
      </c>
      <c r="GQ36" s="644"/>
      <c r="GR36" s="10">
        <v>15.603</v>
      </c>
      <c r="GS36" s="644"/>
      <c r="GT36" s="10">
        <v>26.8</v>
      </c>
      <c r="GU36" s="644"/>
      <c r="GV36" s="10">
        <v>2.4</v>
      </c>
      <c r="GW36" s="644"/>
      <c r="GX36" s="10">
        <v>0</v>
      </c>
      <c r="GY36" s="644"/>
      <c r="GZ36" s="10">
        <v>0</v>
      </c>
      <c r="HA36" s="644"/>
      <c r="HB36" s="10">
        <v>2.6163767199999999</v>
      </c>
      <c r="HC36" s="644"/>
      <c r="HD36" s="667">
        <v>7.9748999999999999</v>
      </c>
      <c r="HE36" s="644"/>
      <c r="HF36" s="10">
        <v>0.17692477000000001</v>
      </c>
      <c r="HG36" s="644"/>
      <c r="HH36" s="10" t="s">
        <v>465</v>
      </c>
      <c r="HI36" s="644"/>
      <c r="HJ36" s="644"/>
      <c r="HK36" s="644"/>
      <c r="HL36" s="10">
        <v>0</v>
      </c>
      <c r="HM36" s="644"/>
      <c r="HN36" s="10">
        <v>72.096999999999994</v>
      </c>
      <c r="HO36" s="644"/>
      <c r="HP36" s="10">
        <v>0</v>
      </c>
      <c r="HQ36" s="644"/>
      <c r="HR36" s="10"/>
      <c r="HS36" s="644"/>
      <c r="HT36" s="695" t="s">
        <v>702</v>
      </c>
      <c r="HU36" s="644"/>
      <c r="HV36" s="10">
        <v>1.45</v>
      </c>
      <c r="HW36" s="644"/>
      <c r="HX36" s="10">
        <v>0</v>
      </c>
      <c r="HY36" s="644"/>
      <c r="HZ36" s="10">
        <v>62.856999999999999</v>
      </c>
      <c r="IA36" s="644"/>
      <c r="IB36" s="644"/>
      <c r="IC36" s="644"/>
      <c r="ID36" s="10">
        <f>ID27-ID28-ID31-ID34</f>
        <v>9.9999999999990763E-2</v>
      </c>
      <c r="IE36" s="644"/>
      <c r="IF36" s="10">
        <v>2.0643472699999998</v>
      </c>
      <c r="IG36" s="756"/>
      <c r="IH36" s="10"/>
      <c r="II36" s="772" t="s">
        <v>1326</v>
      </c>
      <c r="IJ36" s="644"/>
      <c r="IK36" s="644"/>
      <c r="IL36" s="674">
        <v>0</v>
      </c>
      <c r="IM36" s="644"/>
      <c r="IN36" s="675">
        <v>0</v>
      </c>
      <c r="IO36" s="644"/>
      <c r="IP36" s="27">
        <v>21.1</v>
      </c>
      <c r="IQ36" s="644"/>
      <c r="IR36" s="27">
        <v>0</v>
      </c>
      <c r="IS36" s="644"/>
      <c r="IT36" s="10">
        <v>4.2999999999999997E-2</v>
      </c>
      <c r="IU36" s="644"/>
      <c r="IV36" s="10">
        <v>0</v>
      </c>
      <c r="IW36" s="644"/>
      <c r="IX36" s="671" t="s">
        <v>1104</v>
      </c>
      <c r="IY36" s="644"/>
      <c r="IZ36" s="10" t="s">
        <v>504</v>
      </c>
      <c r="JA36" s="644"/>
      <c r="JB36" s="10"/>
      <c r="JC36" s="644"/>
      <c r="JD36" s="10">
        <v>6.1070000000000002</v>
      </c>
      <c r="JE36" s="644"/>
      <c r="JF36" s="644"/>
      <c r="JG36" s="644"/>
      <c r="JH36" s="10" t="s">
        <v>806</v>
      </c>
      <c r="JI36" s="644"/>
      <c r="JJ36" s="644"/>
      <c r="JK36" s="644"/>
      <c r="JL36" s="644"/>
      <c r="JM36" s="644"/>
      <c r="JN36" s="10">
        <v>0</v>
      </c>
      <c r="JO36" s="644"/>
      <c r="JP36" s="644"/>
      <c r="JQ36" s="644"/>
      <c r="JR36" s="677">
        <v>6.6020000000000003</v>
      </c>
      <c r="JS36" s="644"/>
      <c r="JT36" s="10" t="s">
        <v>465</v>
      </c>
      <c r="JU36" s="644"/>
      <c r="JV36" s="10">
        <v>7.3040000000000003</v>
      </c>
      <c r="JW36" s="644"/>
      <c r="JX36" s="10">
        <v>0.7</v>
      </c>
      <c r="JY36" s="644"/>
    </row>
    <row r="37" spans="1:285" ht="44.25" customHeight="1" thickBot="1" x14ac:dyDescent="0.25">
      <c r="A37" s="1568"/>
      <c r="B37" s="1572"/>
      <c r="C37" s="81" t="s">
        <v>98</v>
      </c>
      <c r="D37" s="73" t="s">
        <v>231</v>
      </c>
      <c r="E37" s="755" t="s">
        <v>52</v>
      </c>
      <c r="F37" s="11">
        <v>5.8400000000000001E-2</v>
      </c>
      <c r="G37" s="756"/>
      <c r="H37" s="11">
        <f>+H36/$F$29</f>
        <v>0.20518044237485444</v>
      </c>
      <c r="I37" s="644"/>
      <c r="J37" s="684">
        <f>J36/J27</f>
        <v>0</v>
      </c>
      <c r="K37" s="644"/>
      <c r="L37" s="11">
        <f>L36*100%/L27</f>
        <v>0.12025320290133434</v>
      </c>
      <c r="M37" s="644"/>
      <c r="N37" s="791">
        <v>4.4999999999999998E-2</v>
      </c>
      <c r="O37" s="644"/>
      <c r="P37" s="681">
        <f>P36/P27</f>
        <v>2.476093431615916E-2</v>
      </c>
      <c r="Q37" s="644"/>
      <c r="R37" s="11">
        <v>2.1999999999999999E-2</v>
      </c>
      <c r="S37" s="644"/>
      <c r="T37" s="644"/>
      <c r="U37" s="644"/>
      <c r="V37" s="644"/>
      <c r="W37" s="644"/>
      <c r="X37" s="644"/>
      <c r="Y37" s="644"/>
      <c r="Z37" s="11">
        <v>8.7300000000000003E-2</v>
      </c>
      <c r="AA37" s="644"/>
      <c r="AB37" s="11" t="s">
        <v>465</v>
      </c>
      <c r="AC37" s="644"/>
      <c r="AD37" s="11" t="s">
        <v>465</v>
      </c>
      <c r="AE37" s="644"/>
      <c r="AF37" s="644"/>
      <c r="AG37" s="644"/>
      <c r="AH37" s="644"/>
      <c r="AI37" s="644"/>
      <c r="AJ37" s="666">
        <v>0</v>
      </c>
      <c r="AK37" s="644"/>
      <c r="AL37" s="11">
        <v>0</v>
      </c>
      <c r="AM37" s="644"/>
      <c r="AN37" s="11"/>
      <c r="AO37" s="644"/>
      <c r="AP37" s="11">
        <f>AP36/AP27</f>
        <v>0.17615686439519054</v>
      </c>
      <c r="AQ37" s="644"/>
      <c r="AR37" s="11">
        <v>0.1011</v>
      </c>
      <c r="AS37" s="644"/>
      <c r="AT37" s="11">
        <f>AT36/AT27</f>
        <v>9.8314606741573031E-3</v>
      </c>
      <c r="AU37" s="644"/>
      <c r="AV37" s="791">
        <v>4.07E-2</v>
      </c>
      <c r="AW37" s="644"/>
      <c r="AX37" s="11">
        <f>AX36/AX27</f>
        <v>5.8133899846940965E-2</v>
      </c>
      <c r="AY37" s="644"/>
      <c r="AZ37" s="11">
        <v>3.8100000000000002E-2</v>
      </c>
      <c r="BA37" s="644"/>
      <c r="BB37" s="644"/>
      <c r="BC37" s="644"/>
      <c r="BD37" s="669">
        <f>BD36/BD27*100</f>
        <v>22.251891410769918</v>
      </c>
      <c r="BE37" s="644"/>
      <c r="BF37" s="11">
        <v>0</v>
      </c>
      <c r="BG37" s="644"/>
      <c r="BH37" s="644"/>
      <c r="BI37" s="644"/>
      <c r="BJ37" s="11"/>
      <c r="BK37" s="644"/>
      <c r="BL37" s="11">
        <f>BL36/BL27</f>
        <v>2.2532157231497461E-2</v>
      </c>
      <c r="BM37" s="644"/>
      <c r="BN37" s="11">
        <v>0</v>
      </c>
      <c r="BO37" s="644"/>
      <c r="BP37" s="683">
        <v>0</v>
      </c>
      <c r="BQ37" s="644"/>
      <c r="BR37" s="11" t="s">
        <v>465</v>
      </c>
      <c r="BS37" s="644"/>
      <c r="BT37" s="11"/>
      <c r="BU37" s="644"/>
      <c r="BV37" s="11"/>
      <c r="BW37" s="644"/>
      <c r="BX37" s="683">
        <f>BX36/BX27</f>
        <v>0</v>
      </c>
      <c r="BY37" s="644"/>
      <c r="BZ37" s="683">
        <f>BZ36/BZ27</f>
        <v>8.4630956088445966E-2</v>
      </c>
      <c r="CA37" s="644"/>
      <c r="CB37" s="11">
        <f>CB36/CB27</f>
        <v>1.6478486420506561E-2</v>
      </c>
      <c r="CC37" s="644"/>
      <c r="CD37" s="644"/>
      <c r="CE37" s="644"/>
      <c r="CF37" s="644"/>
      <c r="CG37" s="644"/>
      <c r="CH37" s="683" t="s">
        <v>465</v>
      </c>
      <c r="CI37" s="11"/>
      <c r="CJ37" s="11">
        <f>CJ36/CJ27</f>
        <v>3.1152647975077882E-2</v>
      </c>
      <c r="CK37" s="11"/>
      <c r="CL37" s="11">
        <v>5.2699999999999997E-2</v>
      </c>
      <c r="CM37" s="644"/>
      <c r="CN37" s="11"/>
      <c r="CO37" s="644"/>
      <c r="CP37" s="11"/>
      <c r="CQ37" s="644"/>
      <c r="CR37" s="11">
        <v>7.4999999999999997E-2</v>
      </c>
      <c r="CS37" s="644"/>
      <c r="CT37" s="11">
        <v>5.5E-2</v>
      </c>
      <c r="CU37" s="644"/>
      <c r="CV37" s="11">
        <f>CV36/CV27</f>
        <v>0.10255591054313098</v>
      </c>
      <c r="CW37" s="644"/>
      <c r="CX37" s="11" t="s">
        <v>465</v>
      </c>
      <c r="CY37" s="644"/>
      <c r="CZ37" s="11" t="s">
        <v>465</v>
      </c>
      <c r="DA37" s="644"/>
      <c r="DB37" s="11" t="s">
        <v>465</v>
      </c>
      <c r="DC37" s="644"/>
      <c r="DD37" s="11">
        <v>0</v>
      </c>
      <c r="DE37" s="644"/>
      <c r="DF37" s="644"/>
      <c r="DG37" s="644"/>
      <c r="DH37" s="11">
        <f>DH36/DH27</f>
        <v>1.5540997861571029E-3</v>
      </c>
      <c r="DI37" s="644"/>
      <c r="DJ37" s="792">
        <v>0</v>
      </c>
      <c r="DK37" s="644"/>
      <c r="DL37" s="644"/>
      <c r="DM37" s="644"/>
      <c r="DN37" s="11">
        <v>2.5999999999999999E-3</v>
      </c>
      <c r="DO37" s="644"/>
      <c r="DP37" s="644"/>
      <c r="DQ37" s="644"/>
      <c r="DR37" s="644"/>
      <c r="DS37" s="644"/>
      <c r="DT37" s="644"/>
      <c r="DU37" s="644"/>
      <c r="DV37" s="11">
        <v>1.1999999999999999E-3</v>
      </c>
      <c r="DW37" s="644"/>
      <c r="DX37" s="11">
        <v>1.0200000000000001E-3</v>
      </c>
      <c r="DY37" s="644"/>
      <c r="DZ37" s="11" t="s">
        <v>465</v>
      </c>
      <c r="EA37" s="644"/>
      <c r="EB37" s="644"/>
      <c r="EC37" s="644"/>
      <c r="ED37" s="644"/>
      <c r="EE37" s="644"/>
      <c r="EF37" s="644"/>
      <c r="EG37" s="11" t="s">
        <v>2034</v>
      </c>
      <c r="EH37" s="798"/>
      <c r="EI37" s="11" t="s">
        <v>2034</v>
      </c>
      <c r="EJ37" s="644"/>
      <c r="EK37" s="644"/>
      <c r="EL37" s="644"/>
      <c r="EM37" s="644"/>
      <c r="EN37" s="11">
        <v>0</v>
      </c>
      <c r="EO37" s="644"/>
      <c r="EP37" s="11">
        <v>0.1686</v>
      </c>
      <c r="EQ37" s="644"/>
      <c r="ER37" s="644"/>
      <c r="ES37" s="644"/>
      <c r="ET37" s="11" t="s">
        <v>465</v>
      </c>
      <c r="EU37" s="644"/>
      <c r="EV37" s="11">
        <v>5.3800000000000001E-2</v>
      </c>
      <c r="EW37" s="644"/>
      <c r="EX37" s="11">
        <v>0</v>
      </c>
      <c r="EY37" s="644"/>
      <c r="EZ37" s="11"/>
      <c r="FA37" s="644"/>
      <c r="FB37" s="11">
        <v>3.1E-2</v>
      </c>
      <c r="FC37" s="644"/>
      <c r="FD37" s="11">
        <v>0</v>
      </c>
      <c r="FE37" s="644"/>
      <c r="FF37" s="11">
        <v>6.9800000000000001E-2</v>
      </c>
      <c r="FG37" s="644"/>
      <c r="FH37" s="11"/>
      <c r="FI37" s="644"/>
      <c r="FJ37" s="11"/>
      <c r="FK37" s="644"/>
      <c r="FL37" s="793">
        <v>3.5999999999999999E-3</v>
      </c>
      <c r="FM37" s="644"/>
      <c r="FN37" s="11">
        <f>0.35/319.3668</f>
        <v>1.0959185488284943E-3</v>
      </c>
      <c r="FO37" s="644"/>
      <c r="FP37" s="11">
        <f>FP36/FP27</f>
        <v>6.9992208221506882E-2</v>
      </c>
      <c r="FQ37" s="644"/>
      <c r="FR37" s="644"/>
      <c r="FS37" s="644"/>
      <c r="FT37" s="644"/>
      <c r="FU37" s="644"/>
      <c r="FV37" s="644"/>
      <c r="FW37" s="644"/>
      <c r="FX37" s="11">
        <f>FX36/FX27</f>
        <v>6.794340376704872E-4</v>
      </c>
      <c r="FY37" s="644"/>
      <c r="FZ37" s="644"/>
      <c r="GA37" s="644"/>
      <c r="GB37" s="11">
        <f>GB36/GB27</f>
        <v>3.4925956971221012E-3</v>
      </c>
      <c r="GC37" s="644"/>
      <c r="GD37" s="11">
        <v>3.2599999999999997E-2</v>
      </c>
      <c r="GE37" s="644"/>
      <c r="GF37" s="684">
        <v>5.8400000000000001E-2</v>
      </c>
      <c r="GG37" s="644"/>
      <c r="GH37" s="11">
        <v>2.2100000000000002E-2</v>
      </c>
      <c r="GI37" s="644"/>
      <c r="GJ37" s="793">
        <v>7.7399999999999997E-2</v>
      </c>
      <c r="GK37" s="644"/>
      <c r="GL37" s="11">
        <v>0</v>
      </c>
      <c r="GM37" s="644"/>
      <c r="GN37" s="11"/>
      <c r="GO37" s="644"/>
      <c r="GP37" s="11">
        <v>0</v>
      </c>
      <c r="GQ37" s="644"/>
      <c r="GR37" s="11">
        <v>1.541E-2</v>
      </c>
      <c r="GS37" s="644"/>
      <c r="GT37" s="11">
        <v>2.5999999999999999E-2</v>
      </c>
      <c r="GU37" s="644"/>
      <c r="GV37" s="11">
        <v>1.35E-2</v>
      </c>
      <c r="GW37" s="644"/>
      <c r="GX37" s="11">
        <v>0</v>
      </c>
      <c r="GY37" s="644"/>
      <c r="GZ37" s="11">
        <v>0</v>
      </c>
      <c r="HA37" s="644"/>
      <c r="HB37" s="11">
        <f>HB36/HB27</f>
        <v>0.20807285318581586</v>
      </c>
      <c r="HC37" s="644"/>
      <c r="HD37" s="11">
        <f>HD36/HD27</f>
        <v>4.1680734635426197E-3</v>
      </c>
      <c r="HE37" s="644"/>
      <c r="HF37" s="11">
        <f>HF36/HF27</f>
        <v>7.6589906359718948E-2</v>
      </c>
      <c r="HG37" s="644"/>
      <c r="HH37" s="11" t="s">
        <v>465</v>
      </c>
      <c r="HI37" s="644"/>
      <c r="HJ37" s="644"/>
      <c r="HK37" s="644"/>
      <c r="HL37" s="11">
        <v>0</v>
      </c>
      <c r="HM37" s="644"/>
      <c r="HN37" s="11">
        <v>9.8100000000000007E-2</v>
      </c>
      <c r="HO37" s="644"/>
      <c r="HP37" s="11">
        <v>0</v>
      </c>
      <c r="HQ37" s="644"/>
      <c r="HR37" s="11"/>
      <c r="HS37" s="644"/>
      <c r="HT37" s="696" t="s">
        <v>702</v>
      </c>
      <c r="HU37" s="644"/>
      <c r="HV37" s="11">
        <v>9.8000000000000004E-2</v>
      </c>
      <c r="HW37" s="644"/>
      <c r="HX37" s="11">
        <v>0</v>
      </c>
      <c r="HY37" s="644"/>
      <c r="HZ37" s="11">
        <v>0.75949999999999995</v>
      </c>
      <c r="IA37" s="644"/>
      <c r="IB37" s="644"/>
      <c r="IC37" s="644"/>
      <c r="ID37" s="11">
        <f>ID36/ID27</f>
        <v>4.5766590389011792E-4</v>
      </c>
      <c r="IE37" s="644"/>
      <c r="IF37" s="11">
        <f>IF36/IF27</f>
        <v>3.7379356775920358E-2</v>
      </c>
      <c r="IG37" s="756"/>
      <c r="IH37" s="11"/>
      <c r="II37" s="644"/>
      <c r="IJ37" s="644"/>
      <c r="IK37" s="644"/>
      <c r="IL37" s="686">
        <v>0</v>
      </c>
      <c r="IM37" s="644"/>
      <c r="IN37" s="687">
        <v>0</v>
      </c>
      <c r="IO37" s="644"/>
      <c r="IP37" s="287">
        <v>10.02</v>
      </c>
      <c r="IQ37" s="644"/>
      <c r="IR37" s="287"/>
      <c r="IS37" s="644"/>
      <c r="IT37" s="11">
        <v>1E-3</v>
      </c>
      <c r="IU37" s="644"/>
      <c r="IV37" s="11">
        <v>0</v>
      </c>
      <c r="IW37" s="644"/>
      <c r="IX37" s="671" t="s">
        <v>1104</v>
      </c>
      <c r="IY37" s="644"/>
      <c r="IZ37" s="11" t="s">
        <v>504</v>
      </c>
      <c r="JA37" s="644"/>
      <c r="JB37" s="11"/>
      <c r="JC37" s="644"/>
      <c r="JD37" s="11">
        <f>JD36/JD27</f>
        <v>5.9639254289592672E-2</v>
      </c>
      <c r="JE37" s="644"/>
      <c r="JF37" s="644"/>
      <c r="JG37" s="644"/>
      <c r="JH37" s="11" t="s">
        <v>701</v>
      </c>
      <c r="JI37" s="644"/>
      <c r="JJ37" s="644"/>
      <c r="JK37" s="644"/>
      <c r="JL37" s="644"/>
      <c r="JM37" s="644"/>
      <c r="JN37" s="11">
        <v>0</v>
      </c>
      <c r="JO37" s="644"/>
      <c r="JP37" s="644"/>
      <c r="JQ37" s="644"/>
      <c r="JR37" s="689">
        <f>JR36/JR27</f>
        <v>9.3976547428050363E-3</v>
      </c>
      <c r="JS37" s="644"/>
      <c r="JT37" s="11" t="s">
        <v>465</v>
      </c>
      <c r="JU37" s="644"/>
      <c r="JV37" s="11">
        <f>JV36/JV27</f>
        <v>2.3509947630497269E-2</v>
      </c>
      <c r="JW37" s="644"/>
      <c r="JX37" s="11">
        <v>1E-3</v>
      </c>
      <c r="JY37" s="644"/>
    </row>
    <row r="38" spans="1:285" ht="47.25" customHeight="1" x14ac:dyDescent="0.2">
      <c r="A38" s="1564" t="s">
        <v>88</v>
      </c>
      <c r="B38" s="1570" t="s">
        <v>166</v>
      </c>
      <c r="C38" s="79" t="s">
        <v>99</v>
      </c>
      <c r="D38" s="80" t="s">
        <v>270</v>
      </c>
      <c r="E38" s="784" t="s">
        <v>152</v>
      </c>
      <c r="F38" s="10" t="s">
        <v>504</v>
      </c>
      <c r="G38" s="756"/>
      <c r="H38" s="10">
        <v>0</v>
      </c>
      <c r="I38" s="644"/>
      <c r="J38" s="10">
        <f>60709/1000</f>
        <v>60.709000000000003</v>
      </c>
      <c r="K38" s="644"/>
      <c r="L38" s="10">
        <v>18.47893651</v>
      </c>
      <c r="M38" s="644"/>
      <c r="N38" s="785"/>
      <c r="O38" s="644"/>
      <c r="P38" s="666"/>
      <c r="Q38" s="644"/>
      <c r="R38" s="10" t="s">
        <v>479</v>
      </c>
      <c r="S38" s="644"/>
      <c r="T38" s="644"/>
      <c r="U38" s="644"/>
      <c r="V38" s="644"/>
      <c r="W38" s="644"/>
      <c r="X38" s="644"/>
      <c r="Y38" s="644"/>
      <c r="Z38" s="10" t="s">
        <v>465</v>
      </c>
      <c r="AA38" s="644"/>
      <c r="AB38" s="10" t="s">
        <v>465</v>
      </c>
      <c r="AC38" s="644"/>
      <c r="AD38" s="10" t="s">
        <v>465</v>
      </c>
      <c r="AE38" s="644"/>
      <c r="AF38" s="644"/>
      <c r="AG38" s="644"/>
      <c r="AH38" s="644"/>
      <c r="AI38" s="644"/>
      <c r="AJ38" s="666">
        <v>0</v>
      </c>
      <c r="AK38" s="644"/>
      <c r="AL38" s="10">
        <v>0</v>
      </c>
      <c r="AM38" s="644"/>
      <c r="AN38" s="10">
        <v>477.959</v>
      </c>
      <c r="AO38" s="644"/>
      <c r="AP38" s="10">
        <v>24.007200000000001</v>
      </c>
      <c r="AQ38" s="644"/>
      <c r="AR38" s="10"/>
      <c r="AS38" s="644"/>
      <c r="AT38" s="10"/>
      <c r="AU38" s="644"/>
      <c r="AV38" s="785" t="s">
        <v>465</v>
      </c>
      <c r="AW38" s="644"/>
      <c r="AX38" s="10" t="s">
        <v>504</v>
      </c>
      <c r="AY38" s="644"/>
      <c r="AZ38" s="10">
        <v>0</v>
      </c>
      <c r="BA38" s="644"/>
      <c r="BB38" s="644"/>
      <c r="BC38" s="644"/>
      <c r="BD38" s="5"/>
      <c r="BE38" s="644"/>
      <c r="BF38" s="10">
        <v>925.53920000000005</v>
      </c>
      <c r="BG38" s="644"/>
      <c r="BH38" s="644"/>
      <c r="BI38" s="644"/>
      <c r="BJ38" s="10">
        <v>8.5</v>
      </c>
      <c r="BK38" s="644"/>
      <c r="BL38" s="10">
        <v>0</v>
      </c>
      <c r="BM38" s="644"/>
      <c r="BN38" s="10">
        <v>0</v>
      </c>
      <c r="BO38" s="644"/>
      <c r="BP38" s="671">
        <v>0</v>
      </c>
      <c r="BQ38" s="644"/>
      <c r="BR38" s="10">
        <v>73.400000000000006</v>
      </c>
      <c r="BS38" s="644"/>
      <c r="BT38" s="10" t="s">
        <v>504</v>
      </c>
      <c r="BU38" s="644"/>
      <c r="BV38" s="10">
        <v>285.73500000000001</v>
      </c>
      <c r="BW38" s="644"/>
      <c r="BX38" s="671">
        <v>52.335000000000001</v>
      </c>
      <c r="BY38" s="644"/>
      <c r="BZ38" s="671"/>
      <c r="CA38" s="644"/>
      <c r="CB38" s="10">
        <v>0</v>
      </c>
      <c r="CC38" s="644"/>
      <c r="CD38" s="644"/>
      <c r="CE38" s="644"/>
      <c r="CF38" s="644"/>
      <c r="CG38" s="644"/>
      <c r="CH38" s="671" t="s">
        <v>465</v>
      </c>
      <c r="CI38" s="10"/>
      <c r="CJ38" s="10" t="s">
        <v>465</v>
      </c>
      <c r="CK38" s="10"/>
      <c r="CL38" s="10">
        <v>0</v>
      </c>
      <c r="CM38" s="644"/>
      <c r="CN38" s="665" t="s">
        <v>2411</v>
      </c>
      <c r="CO38" s="644"/>
      <c r="CP38" s="665"/>
      <c r="CQ38" s="644"/>
      <c r="CR38" s="10" t="s">
        <v>465</v>
      </c>
      <c r="CS38" s="644"/>
      <c r="CT38" s="10" t="s">
        <v>504</v>
      </c>
      <c r="CU38" s="644"/>
      <c r="CV38" s="27">
        <v>18.32</v>
      </c>
      <c r="CW38" s="644"/>
      <c r="CX38" s="10" t="s">
        <v>465</v>
      </c>
      <c r="CY38" s="644"/>
      <c r="CZ38" s="10" t="s">
        <v>465</v>
      </c>
      <c r="DA38" s="644"/>
      <c r="DB38" s="15">
        <v>199.6</v>
      </c>
      <c r="DC38" s="644"/>
      <c r="DD38" s="10">
        <v>0</v>
      </c>
      <c r="DE38" s="644"/>
      <c r="DF38" s="644"/>
      <c r="DG38" s="644"/>
      <c r="DH38" s="10">
        <v>434.77699999999999</v>
      </c>
      <c r="DI38" s="644"/>
      <c r="DJ38" s="786">
        <f>8712.89408/1000</f>
        <v>8.7128940799999999</v>
      </c>
      <c r="DK38" s="644"/>
      <c r="DL38" s="644"/>
      <c r="DM38" s="644"/>
      <c r="DN38" s="10" t="s">
        <v>1146</v>
      </c>
      <c r="DO38" s="644"/>
      <c r="DP38" s="644"/>
      <c r="DQ38" s="644"/>
      <c r="DR38" s="644"/>
      <c r="DS38" s="644"/>
      <c r="DT38" s="644"/>
      <c r="DU38" s="644"/>
      <c r="DV38" s="10" t="s">
        <v>465</v>
      </c>
      <c r="DW38" s="644"/>
      <c r="DX38" s="10" t="s">
        <v>465</v>
      </c>
      <c r="DY38" s="644"/>
      <c r="DZ38" s="10" t="s">
        <v>465</v>
      </c>
      <c r="EA38" s="644"/>
      <c r="EB38" s="644"/>
      <c r="EC38" s="644"/>
      <c r="ED38" s="644"/>
      <c r="EE38" s="644"/>
      <c r="EF38" s="672">
        <v>10.08917376</v>
      </c>
      <c r="EG38" s="644"/>
      <c r="EH38" s="797" t="s">
        <v>504</v>
      </c>
      <c r="EI38" s="644"/>
      <c r="EJ38" s="644"/>
      <c r="EK38" s="644"/>
      <c r="EL38" s="644"/>
      <c r="EM38" s="644"/>
      <c r="EN38" s="10" t="s">
        <v>504</v>
      </c>
      <c r="EO38" s="644"/>
      <c r="EP38" s="10">
        <v>0</v>
      </c>
      <c r="EQ38" s="644"/>
      <c r="ER38" s="644"/>
      <c r="ES38" s="644"/>
      <c r="ET38" s="10" t="s">
        <v>465</v>
      </c>
      <c r="EU38" s="644"/>
      <c r="EV38" s="10" t="s">
        <v>465</v>
      </c>
      <c r="EW38" s="644"/>
      <c r="EX38" s="10">
        <v>0</v>
      </c>
      <c r="EY38" s="644"/>
      <c r="EZ38" s="10">
        <v>9.6999999999999993</v>
      </c>
      <c r="FA38" s="644"/>
      <c r="FB38" s="10">
        <v>223.1</v>
      </c>
      <c r="FC38" s="644"/>
      <c r="FD38" s="10">
        <v>0</v>
      </c>
      <c r="FE38" s="644"/>
      <c r="FF38" s="10">
        <v>0</v>
      </c>
      <c r="FG38" s="644"/>
      <c r="FH38" s="10"/>
      <c r="FI38" s="644"/>
      <c r="FJ38" s="671">
        <f>166.426+115</f>
        <v>281.42599999999999</v>
      </c>
      <c r="FK38" s="644"/>
      <c r="FL38" s="788" t="s">
        <v>504</v>
      </c>
      <c r="FM38" s="644"/>
      <c r="FN38" s="10">
        <v>278.32</v>
      </c>
      <c r="FO38" s="644"/>
      <c r="FP38" s="10">
        <v>0</v>
      </c>
      <c r="FQ38" s="644"/>
      <c r="FR38" s="644"/>
      <c r="FS38" s="644"/>
      <c r="FT38" s="644"/>
      <c r="FU38" s="644"/>
      <c r="FV38" s="644"/>
      <c r="FW38" s="644"/>
      <c r="FX38" s="10" t="s">
        <v>465</v>
      </c>
      <c r="FY38" s="644"/>
      <c r="FZ38" s="644"/>
      <c r="GA38" s="644"/>
      <c r="GB38" s="10">
        <v>0</v>
      </c>
      <c r="GC38" s="644"/>
      <c r="GD38" s="10" t="s">
        <v>2499</v>
      </c>
      <c r="GE38" s="644"/>
      <c r="GF38" s="5">
        <v>7.9720000000000004</v>
      </c>
      <c r="GG38" s="644"/>
      <c r="GH38" s="10">
        <v>0</v>
      </c>
      <c r="GI38" s="644"/>
      <c r="GJ38" s="788">
        <v>0</v>
      </c>
      <c r="GK38" s="644"/>
      <c r="GL38" s="10" t="s">
        <v>504</v>
      </c>
      <c r="GM38" s="644"/>
      <c r="GN38" s="10" t="s">
        <v>504</v>
      </c>
      <c r="GO38" s="644"/>
      <c r="GP38" s="10">
        <v>0</v>
      </c>
      <c r="GQ38" s="644"/>
      <c r="GR38" s="10">
        <f>770.1+50.922</f>
        <v>821.02200000000005</v>
      </c>
      <c r="GS38" s="644"/>
      <c r="GT38" s="10">
        <v>0</v>
      </c>
      <c r="GU38" s="644"/>
      <c r="GV38" s="10">
        <v>0</v>
      </c>
      <c r="GW38" s="644"/>
      <c r="GX38" s="10">
        <v>0</v>
      </c>
      <c r="GY38" s="644"/>
      <c r="GZ38" s="10">
        <v>0</v>
      </c>
      <c r="HA38" s="644"/>
      <c r="HB38" s="5" t="s">
        <v>465</v>
      </c>
      <c r="HC38" s="644"/>
      <c r="HD38" s="667">
        <v>1629.4552000000001</v>
      </c>
      <c r="HE38" s="644"/>
      <c r="HF38" s="10">
        <v>0.43271821999999999</v>
      </c>
      <c r="HG38" s="644"/>
      <c r="HH38" s="10" t="s">
        <v>465</v>
      </c>
      <c r="HI38" s="644"/>
      <c r="HJ38" s="644"/>
      <c r="HK38" s="644"/>
      <c r="HL38" s="10">
        <v>0</v>
      </c>
      <c r="HM38" s="644"/>
      <c r="HN38" s="10" t="s">
        <v>465</v>
      </c>
      <c r="HO38" s="644"/>
      <c r="HP38" s="10">
        <v>32.9</v>
      </c>
      <c r="HQ38" s="644"/>
      <c r="HR38" s="10">
        <v>278.96199999999999</v>
      </c>
      <c r="HS38" s="644"/>
      <c r="HT38" s="695" t="s">
        <v>465</v>
      </c>
      <c r="HU38" s="644"/>
      <c r="HV38" s="10">
        <v>11.867000000000001</v>
      </c>
      <c r="HW38" s="644"/>
      <c r="HX38" s="10">
        <v>0</v>
      </c>
      <c r="HY38" s="644"/>
      <c r="HZ38" s="10"/>
      <c r="IA38" s="644"/>
      <c r="IB38" s="644"/>
      <c r="IC38" s="644"/>
      <c r="ID38" s="10">
        <v>0</v>
      </c>
      <c r="IE38" s="644"/>
      <c r="IF38" s="665">
        <v>0</v>
      </c>
      <c r="IG38" s="756"/>
      <c r="IH38" s="10" t="s">
        <v>504</v>
      </c>
      <c r="II38" s="644"/>
      <c r="IJ38" s="644"/>
      <c r="IK38" s="644"/>
      <c r="IL38" s="674">
        <v>9.5760000000000005</v>
      </c>
      <c r="IM38" s="644"/>
      <c r="IN38" s="675">
        <v>114.88800000000001</v>
      </c>
      <c r="IO38" s="644"/>
      <c r="IP38" s="10"/>
      <c r="IQ38" s="644"/>
      <c r="IR38" s="10"/>
      <c r="IS38" s="644"/>
      <c r="IT38" s="10" t="s">
        <v>465</v>
      </c>
      <c r="IU38" s="644"/>
      <c r="IV38" s="10">
        <v>183.89</v>
      </c>
      <c r="IW38" s="644"/>
      <c r="IX38" s="671">
        <v>348.3252</v>
      </c>
      <c r="IY38" s="644"/>
      <c r="IZ38" s="10" t="s">
        <v>504</v>
      </c>
      <c r="JA38" s="644"/>
      <c r="JB38" s="10">
        <v>357.54500000000002</v>
      </c>
      <c r="JC38" s="644"/>
      <c r="JD38" s="10">
        <v>19.07</v>
      </c>
      <c r="JE38" s="644"/>
      <c r="JF38" s="644"/>
      <c r="JG38" s="644"/>
      <c r="JH38" s="10" t="s">
        <v>504</v>
      </c>
      <c r="JI38" s="644"/>
      <c r="JJ38" s="644"/>
      <c r="JK38" s="644"/>
      <c r="JL38" s="644"/>
      <c r="JM38" s="644"/>
      <c r="JN38" s="10">
        <v>0</v>
      </c>
      <c r="JO38" s="644"/>
      <c r="JP38" s="644"/>
      <c r="JQ38" s="644"/>
      <c r="JR38" s="677" t="s">
        <v>465</v>
      </c>
      <c r="JS38" s="644"/>
      <c r="JT38" s="10" t="s">
        <v>465</v>
      </c>
      <c r="JU38" s="644"/>
      <c r="JV38" s="10">
        <v>0</v>
      </c>
      <c r="JW38" s="644"/>
      <c r="JX38" s="10">
        <v>460.4</v>
      </c>
      <c r="JY38" s="644"/>
    </row>
    <row r="39" spans="1:285" ht="16.5" customHeight="1" x14ac:dyDescent="0.2">
      <c r="A39" s="1565"/>
      <c r="B39" s="1571"/>
      <c r="C39" s="82" t="s">
        <v>100</v>
      </c>
      <c r="D39" s="83" t="s">
        <v>224</v>
      </c>
      <c r="E39" s="755" t="s">
        <v>52</v>
      </c>
      <c r="F39" s="11"/>
      <c r="G39" s="756"/>
      <c r="H39" s="11">
        <f>+H38/$F$29</f>
        <v>0</v>
      </c>
      <c r="I39" s="644"/>
      <c r="J39" s="11">
        <f>+J38/J27</f>
        <v>0.97292246941437788</v>
      </c>
      <c r="K39" s="644"/>
      <c r="L39" s="11">
        <f>L38*100%/L27</f>
        <v>0.67364455741289153</v>
      </c>
      <c r="M39" s="644"/>
      <c r="N39" s="791"/>
      <c r="O39" s="644"/>
      <c r="P39" s="681"/>
      <c r="Q39" s="644"/>
      <c r="R39" s="11"/>
      <c r="S39" s="644"/>
      <c r="T39" s="644"/>
      <c r="U39" s="644"/>
      <c r="V39" s="644"/>
      <c r="W39" s="644"/>
      <c r="X39" s="644"/>
      <c r="Y39" s="644"/>
      <c r="Z39" s="11" t="s">
        <v>465</v>
      </c>
      <c r="AA39" s="644"/>
      <c r="AB39" s="11" t="s">
        <v>465</v>
      </c>
      <c r="AC39" s="644"/>
      <c r="AD39" s="11" t="s">
        <v>465</v>
      </c>
      <c r="AE39" s="644"/>
      <c r="AF39" s="644"/>
      <c r="AG39" s="644"/>
      <c r="AH39" s="644"/>
      <c r="AI39" s="644"/>
      <c r="AJ39" s="666">
        <v>0</v>
      </c>
      <c r="AK39" s="644"/>
      <c r="AL39" s="11">
        <v>0</v>
      </c>
      <c r="AM39" s="644"/>
      <c r="AN39" s="11">
        <f>AN38/AN27*100%</f>
        <v>0.84746607185284739</v>
      </c>
      <c r="AO39" s="644"/>
      <c r="AP39" s="11">
        <f>AP38/AP27</f>
        <v>0.50507978919243024</v>
      </c>
      <c r="AQ39" s="644"/>
      <c r="AR39" s="11"/>
      <c r="AS39" s="644"/>
      <c r="AT39" s="11"/>
      <c r="AU39" s="644"/>
      <c r="AV39" s="791"/>
      <c r="AW39" s="644"/>
      <c r="AX39" s="11"/>
      <c r="AY39" s="644"/>
      <c r="AZ39" s="11">
        <v>0</v>
      </c>
      <c r="BA39" s="644"/>
      <c r="BB39" s="644"/>
      <c r="BC39" s="644"/>
      <c r="BD39" s="5"/>
      <c r="BE39" s="644"/>
      <c r="BF39" s="11">
        <v>0.90800000000000003</v>
      </c>
      <c r="BG39" s="644"/>
      <c r="BH39" s="644"/>
      <c r="BI39" s="644"/>
      <c r="BJ39" s="11">
        <v>0.39</v>
      </c>
      <c r="BK39" s="644"/>
      <c r="BL39" s="11"/>
      <c r="BM39" s="644"/>
      <c r="BN39" s="11">
        <v>0</v>
      </c>
      <c r="BO39" s="644"/>
      <c r="BP39" s="683">
        <v>0</v>
      </c>
      <c r="BQ39" s="644"/>
      <c r="BR39" s="11">
        <f>BR38/BR27</f>
        <v>0.96325459317585305</v>
      </c>
      <c r="BS39" s="644"/>
      <c r="BT39" s="11"/>
      <c r="BU39" s="644"/>
      <c r="BV39" s="11">
        <f>BV38/BV27</f>
        <v>0.69226799627863711</v>
      </c>
      <c r="BW39" s="644"/>
      <c r="BX39" s="683">
        <f>BX38/BX27</f>
        <v>0.79390482547291452</v>
      </c>
      <c r="BY39" s="644"/>
      <c r="BZ39" s="683"/>
      <c r="CA39" s="644"/>
      <c r="CB39" s="11">
        <v>0</v>
      </c>
      <c r="CC39" s="644"/>
      <c r="CD39" s="644"/>
      <c r="CE39" s="644"/>
      <c r="CF39" s="644"/>
      <c r="CG39" s="644"/>
      <c r="CH39" s="683" t="s">
        <v>465</v>
      </c>
      <c r="CI39" s="11"/>
      <c r="CJ39" s="11" t="s">
        <v>465</v>
      </c>
      <c r="CK39" s="11"/>
      <c r="CL39" s="11">
        <v>0</v>
      </c>
      <c r="CM39" s="644"/>
      <c r="CN39" s="11"/>
      <c r="CO39" s="644"/>
      <c r="CP39" s="11"/>
      <c r="CQ39" s="644"/>
      <c r="CR39" s="11" t="s">
        <v>465</v>
      </c>
      <c r="CS39" s="644"/>
      <c r="CT39" s="11" t="s">
        <v>52</v>
      </c>
      <c r="CU39" s="644"/>
      <c r="CV39" s="11">
        <f>CV38/CV27</f>
        <v>0.58530351437699679</v>
      </c>
      <c r="CW39" s="644"/>
      <c r="CX39" s="11" t="s">
        <v>465</v>
      </c>
      <c r="CY39" s="644"/>
      <c r="CZ39" s="11" t="s">
        <v>465</v>
      </c>
      <c r="DA39" s="644"/>
      <c r="DB39" s="11">
        <v>0.72629999999999995</v>
      </c>
      <c r="DC39" s="644"/>
      <c r="DD39" s="11">
        <v>0</v>
      </c>
      <c r="DE39" s="644"/>
      <c r="DF39" s="644"/>
      <c r="DG39" s="644"/>
      <c r="DH39" s="11">
        <f>DH38/DH27</f>
        <v>0.67032424873613761</v>
      </c>
      <c r="DI39" s="644"/>
      <c r="DJ39" s="792">
        <f>DJ38/DJ27</f>
        <v>0.67673531397389586</v>
      </c>
      <c r="DK39" s="644"/>
      <c r="DL39" s="644"/>
      <c r="DM39" s="644"/>
      <c r="DN39" s="11"/>
      <c r="DO39" s="644"/>
      <c r="DP39" s="644"/>
      <c r="DQ39" s="644"/>
      <c r="DR39" s="644"/>
      <c r="DS39" s="644"/>
      <c r="DT39" s="644"/>
      <c r="DU39" s="644"/>
      <c r="DV39" s="11" t="s">
        <v>465</v>
      </c>
      <c r="DW39" s="644"/>
      <c r="DX39" s="11" t="s">
        <v>465</v>
      </c>
      <c r="DY39" s="644"/>
      <c r="DZ39" s="11" t="s">
        <v>465</v>
      </c>
      <c r="EA39" s="644"/>
      <c r="EB39" s="644"/>
      <c r="EC39" s="644"/>
      <c r="ED39" s="644"/>
      <c r="EE39" s="644"/>
      <c r="EF39" s="11">
        <f>EF38/EF27</f>
        <v>0.69202227740819067</v>
      </c>
      <c r="EG39" s="644"/>
      <c r="EH39" s="798" t="s">
        <v>504</v>
      </c>
      <c r="EI39" s="644"/>
      <c r="EJ39" s="644"/>
      <c r="EK39" s="644"/>
      <c r="EL39" s="644"/>
      <c r="EM39" s="644"/>
      <c r="EN39" s="11"/>
      <c r="EO39" s="644"/>
      <c r="EP39" s="11">
        <v>0</v>
      </c>
      <c r="EQ39" s="644"/>
      <c r="ER39" s="644"/>
      <c r="ES39" s="644"/>
      <c r="ET39" s="11" t="s">
        <v>465</v>
      </c>
      <c r="EU39" s="644"/>
      <c r="EV39" s="11" t="s">
        <v>465</v>
      </c>
      <c r="EW39" s="644"/>
      <c r="EX39" s="11">
        <v>0</v>
      </c>
      <c r="EY39" s="644"/>
      <c r="EZ39" s="11">
        <v>0.48799999999999999</v>
      </c>
      <c r="FA39" s="644"/>
      <c r="FB39" s="11">
        <v>0.68799999999999994</v>
      </c>
      <c r="FC39" s="644"/>
      <c r="FD39" s="11">
        <v>0</v>
      </c>
      <c r="FE39" s="644"/>
      <c r="FF39" s="11">
        <v>0</v>
      </c>
      <c r="FG39" s="644"/>
      <c r="FH39" s="11"/>
      <c r="FI39" s="644"/>
      <c r="FJ39" s="683">
        <f>FJ38/FJ27</f>
        <v>0.81324066983571974</v>
      </c>
      <c r="FK39" s="644"/>
      <c r="FL39" s="793" t="s">
        <v>504</v>
      </c>
      <c r="FM39" s="644"/>
      <c r="FN39" s="11">
        <f>278.32/319.668</f>
        <v>0.87065330280165665</v>
      </c>
      <c r="FO39" s="644"/>
      <c r="FP39" s="11">
        <v>0</v>
      </c>
      <c r="FQ39" s="644"/>
      <c r="FR39" s="644"/>
      <c r="FS39" s="644"/>
      <c r="FT39" s="644"/>
      <c r="FU39" s="644"/>
      <c r="FV39" s="644"/>
      <c r="FW39" s="644"/>
      <c r="FX39" s="11" t="s">
        <v>465</v>
      </c>
      <c r="FY39" s="644"/>
      <c r="FZ39" s="644"/>
      <c r="GA39" s="644"/>
      <c r="GB39" s="11">
        <v>0</v>
      </c>
      <c r="GC39" s="644"/>
      <c r="GD39" s="11" t="s">
        <v>2499</v>
      </c>
      <c r="GE39" s="644"/>
      <c r="GF39" s="5">
        <v>55.51</v>
      </c>
      <c r="GG39" s="644"/>
      <c r="GH39" s="11">
        <v>0</v>
      </c>
      <c r="GI39" s="644"/>
      <c r="GJ39" s="793">
        <v>0</v>
      </c>
      <c r="GK39" s="644"/>
      <c r="GL39" s="11"/>
      <c r="GM39" s="644"/>
      <c r="GN39" s="11"/>
      <c r="GO39" s="644"/>
      <c r="GP39" s="11">
        <v>0</v>
      </c>
      <c r="GQ39" s="644"/>
      <c r="GR39" s="11">
        <v>0.81115999999999999</v>
      </c>
      <c r="GS39" s="644"/>
      <c r="GT39" s="11">
        <v>0</v>
      </c>
      <c r="GU39" s="644"/>
      <c r="GV39" s="11">
        <v>0</v>
      </c>
      <c r="GW39" s="644"/>
      <c r="GX39" s="11">
        <v>0</v>
      </c>
      <c r="GY39" s="644"/>
      <c r="GZ39" s="11">
        <v>0</v>
      </c>
      <c r="HA39" s="644"/>
      <c r="HB39" s="5" t="s">
        <v>465</v>
      </c>
      <c r="HC39" s="644"/>
      <c r="HD39" s="11">
        <f>HD38/HD27</f>
        <v>0.85163312131205815</v>
      </c>
      <c r="HE39" s="644"/>
      <c r="HF39" s="11">
        <f>HF38/HF27</f>
        <v>0.18732169582554359</v>
      </c>
      <c r="HG39" s="644"/>
      <c r="HH39" s="11" t="s">
        <v>465</v>
      </c>
      <c r="HI39" s="644"/>
      <c r="HJ39" s="644"/>
      <c r="HK39" s="644"/>
      <c r="HL39" s="11">
        <v>0</v>
      </c>
      <c r="HM39" s="644"/>
      <c r="HN39" s="11" t="s">
        <v>465</v>
      </c>
      <c r="HO39" s="644"/>
      <c r="HP39" s="11">
        <v>0.62</v>
      </c>
      <c r="HQ39" s="644"/>
      <c r="HR39" s="11">
        <v>0.97899999999999998</v>
      </c>
      <c r="HS39" s="644"/>
      <c r="HT39" s="696" t="s">
        <v>702</v>
      </c>
      <c r="HU39" s="644"/>
      <c r="HV39" s="11">
        <v>0.8</v>
      </c>
      <c r="HW39" s="644"/>
      <c r="HX39" s="11">
        <v>0</v>
      </c>
      <c r="HY39" s="644"/>
      <c r="HZ39" s="11"/>
      <c r="IA39" s="644"/>
      <c r="IB39" s="644"/>
      <c r="IC39" s="644"/>
      <c r="ID39" s="11">
        <v>0</v>
      </c>
      <c r="IE39" s="644"/>
      <c r="IF39" s="684">
        <v>0</v>
      </c>
      <c r="IG39" s="756"/>
      <c r="IH39" s="11"/>
      <c r="II39" s="644"/>
      <c r="IJ39" s="644"/>
      <c r="IK39" s="644"/>
      <c r="IL39" s="686">
        <f>IL38/IL27</f>
        <v>0.1400860177301852</v>
      </c>
      <c r="IM39" s="644"/>
      <c r="IN39" s="687">
        <v>0.27</v>
      </c>
      <c r="IO39" s="644"/>
      <c r="IP39" s="11"/>
      <c r="IQ39" s="644"/>
      <c r="IR39" s="11"/>
      <c r="IS39" s="644"/>
      <c r="IT39" s="11" t="s">
        <v>465</v>
      </c>
      <c r="IU39" s="644"/>
      <c r="IV39" s="11">
        <v>0.80184999999999995</v>
      </c>
      <c r="IW39" s="644"/>
      <c r="IX39" s="688">
        <v>0.92</v>
      </c>
      <c r="IY39" s="644"/>
      <c r="IZ39" s="11" t="s">
        <v>504</v>
      </c>
      <c r="JA39" s="644"/>
      <c r="JB39" s="11">
        <v>0.87285999999999997</v>
      </c>
      <c r="JC39" s="644"/>
      <c r="JD39" s="11">
        <f>JD38/JD27</f>
        <v>0.18623228742468187</v>
      </c>
      <c r="JE39" s="644"/>
      <c r="JF39" s="644"/>
      <c r="JG39" s="644"/>
      <c r="JH39" s="11" t="s">
        <v>701</v>
      </c>
      <c r="JI39" s="644"/>
      <c r="JJ39" s="644"/>
      <c r="JK39" s="644"/>
      <c r="JL39" s="644"/>
      <c r="JM39" s="644"/>
      <c r="JN39" s="11">
        <v>0</v>
      </c>
      <c r="JO39" s="644"/>
      <c r="JP39" s="644"/>
      <c r="JQ39" s="644"/>
      <c r="JR39" s="689" t="s">
        <v>465</v>
      </c>
      <c r="JS39" s="644"/>
      <c r="JT39" s="11" t="s">
        <v>465</v>
      </c>
      <c r="JU39" s="644"/>
      <c r="JV39" s="11"/>
      <c r="JW39" s="644"/>
      <c r="JX39" s="11">
        <v>0.66600000000000004</v>
      </c>
      <c r="JY39" s="644"/>
    </row>
    <row r="40" spans="1:285" ht="47.25" customHeight="1" x14ac:dyDescent="0.2">
      <c r="A40" s="1565"/>
      <c r="B40" s="1571"/>
      <c r="C40" s="82" t="s">
        <v>103</v>
      </c>
      <c r="D40" s="83" t="s">
        <v>220</v>
      </c>
      <c r="E40" s="755" t="s">
        <v>48</v>
      </c>
      <c r="F40" s="9"/>
      <c r="G40" s="756"/>
      <c r="H40" s="9" t="s">
        <v>465</v>
      </c>
      <c r="I40" s="644"/>
      <c r="J40" s="5" t="s">
        <v>2267</v>
      </c>
      <c r="K40" s="644"/>
      <c r="L40" s="10" t="s">
        <v>824</v>
      </c>
      <c r="M40" s="644"/>
      <c r="N40" s="757"/>
      <c r="O40" s="644"/>
      <c r="P40" s="84"/>
      <c r="Q40" s="644"/>
      <c r="R40" s="9"/>
      <c r="S40" s="644"/>
      <c r="T40" s="644"/>
      <c r="U40" s="644"/>
      <c r="V40" s="644"/>
      <c r="W40" s="644"/>
      <c r="X40" s="644"/>
      <c r="Y40" s="644"/>
      <c r="Z40" s="9" t="s">
        <v>465</v>
      </c>
      <c r="AA40" s="644"/>
      <c r="AB40" s="9" t="s">
        <v>465</v>
      </c>
      <c r="AC40" s="644"/>
      <c r="AD40" s="9" t="s">
        <v>465</v>
      </c>
      <c r="AE40" s="644"/>
      <c r="AF40" s="644"/>
      <c r="AG40" s="644"/>
      <c r="AH40" s="644"/>
      <c r="AI40" s="644"/>
      <c r="AJ40" s="84" t="s">
        <v>504</v>
      </c>
      <c r="AK40" s="644"/>
      <c r="AL40" s="9" t="s">
        <v>504</v>
      </c>
      <c r="AM40" s="644"/>
      <c r="AN40" s="9" t="s">
        <v>978</v>
      </c>
      <c r="AO40" s="644"/>
      <c r="AP40" s="9" t="s">
        <v>995</v>
      </c>
      <c r="AQ40" s="644"/>
      <c r="AR40" s="9"/>
      <c r="AS40" s="644"/>
      <c r="AT40" s="9"/>
      <c r="AU40" s="644"/>
      <c r="AV40" s="757"/>
      <c r="AW40" s="644"/>
      <c r="AX40" s="9"/>
      <c r="AY40" s="644"/>
      <c r="AZ40" s="9"/>
      <c r="BA40" s="644"/>
      <c r="BB40" s="644"/>
      <c r="BC40" s="644"/>
      <c r="BD40" s="5"/>
      <c r="BE40" s="644"/>
      <c r="BF40" s="20" t="s">
        <v>2391</v>
      </c>
      <c r="BG40" s="644"/>
      <c r="BH40" s="644"/>
      <c r="BI40" s="644"/>
      <c r="BJ40" s="9" t="s">
        <v>784</v>
      </c>
      <c r="BK40" s="644"/>
      <c r="BL40" s="9"/>
      <c r="BM40" s="644"/>
      <c r="BN40" s="9">
        <v>0</v>
      </c>
      <c r="BO40" s="644"/>
      <c r="BP40" s="632"/>
      <c r="BQ40" s="644"/>
      <c r="BR40" s="9" t="s">
        <v>967</v>
      </c>
      <c r="BS40" s="644"/>
      <c r="BT40" s="9"/>
      <c r="BU40" s="644"/>
      <c r="BV40" s="9" t="s">
        <v>945</v>
      </c>
      <c r="BW40" s="644"/>
      <c r="BX40" s="9" t="s">
        <v>2150</v>
      </c>
      <c r="BY40" s="644"/>
      <c r="BZ40" s="632"/>
      <c r="CA40" s="644"/>
      <c r="CB40" s="9"/>
      <c r="CC40" s="644"/>
      <c r="CD40" s="644"/>
      <c r="CE40" s="644"/>
      <c r="CF40" s="644"/>
      <c r="CG40" s="644"/>
      <c r="CH40" s="632" t="s">
        <v>465</v>
      </c>
      <c r="CI40" s="9"/>
      <c r="CJ40" s="9" t="s">
        <v>465</v>
      </c>
      <c r="CK40" s="9"/>
      <c r="CL40" s="9" t="s">
        <v>504</v>
      </c>
      <c r="CM40" s="644"/>
      <c r="CN40" s="9"/>
      <c r="CO40" s="644"/>
      <c r="CP40" s="9"/>
      <c r="CQ40" s="644"/>
      <c r="CR40" s="9" t="s">
        <v>465</v>
      </c>
      <c r="CS40" s="644"/>
      <c r="CT40" s="9" t="s">
        <v>504</v>
      </c>
      <c r="CU40" s="644"/>
      <c r="CV40" s="9" t="s">
        <v>824</v>
      </c>
      <c r="CW40" s="644"/>
      <c r="CX40" s="9" t="s">
        <v>465</v>
      </c>
      <c r="CY40" s="644"/>
      <c r="CZ40" s="9" t="s">
        <v>465</v>
      </c>
      <c r="DA40" s="644"/>
      <c r="DB40" s="9" t="s">
        <v>862</v>
      </c>
      <c r="DC40" s="644"/>
      <c r="DD40" s="9"/>
      <c r="DE40" s="644"/>
      <c r="DF40" s="644"/>
      <c r="DG40" s="644"/>
      <c r="DH40" s="5" t="s">
        <v>873</v>
      </c>
      <c r="DI40" s="644"/>
      <c r="DJ40" s="758" t="s">
        <v>887</v>
      </c>
      <c r="DK40" s="644"/>
      <c r="DL40" s="644"/>
      <c r="DM40" s="644"/>
      <c r="DN40" s="9"/>
      <c r="DO40" s="644"/>
      <c r="DP40" s="644"/>
      <c r="DQ40" s="644"/>
      <c r="DR40" s="644"/>
      <c r="DS40" s="644"/>
      <c r="DT40" s="644"/>
      <c r="DU40" s="644"/>
      <c r="DV40" s="9" t="s">
        <v>465</v>
      </c>
      <c r="DW40" s="644"/>
      <c r="DX40" s="9" t="s">
        <v>465</v>
      </c>
      <c r="DY40" s="644"/>
      <c r="DZ40" s="9" t="s">
        <v>465</v>
      </c>
      <c r="EA40" s="644"/>
      <c r="EB40" s="644"/>
      <c r="EC40" s="644"/>
      <c r="ED40" s="644"/>
      <c r="EE40" s="644"/>
      <c r="EF40" s="9" t="s">
        <v>2035</v>
      </c>
      <c r="EG40" s="644"/>
      <c r="EH40" s="759" t="s">
        <v>504</v>
      </c>
      <c r="EI40" s="644"/>
      <c r="EJ40" s="644"/>
      <c r="EK40" s="644"/>
      <c r="EL40" s="644"/>
      <c r="EM40" s="644"/>
      <c r="EN40" s="9"/>
      <c r="EO40" s="644"/>
      <c r="EP40" s="9" t="s">
        <v>504</v>
      </c>
      <c r="EQ40" s="644"/>
      <c r="ER40" s="644"/>
      <c r="ES40" s="644"/>
      <c r="ET40" s="9" t="s">
        <v>465</v>
      </c>
      <c r="EU40" s="644"/>
      <c r="EV40" s="9" t="s">
        <v>465</v>
      </c>
      <c r="EW40" s="644"/>
      <c r="EX40" s="9" t="s">
        <v>465</v>
      </c>
      <c r="EY40" s="644"/>
      <c r="EZ40" s="9" t="s">
        <v>1503</v>
      </c>
      <c r="FA40" s="644"/>
      <c r="FB40" s="9" t="s">
        <v>1503</v>
      </c>
      <c r="FC40" s="644"/>
      <c r="FD40" s="9" t="s">
        <v>465</v>
      </c>
      <c r="FE40" s="644"/>
      <c r="FF40" s="9" t="s">
        <v>465</v>
      </c>
      <c r="FG40" s="644"/>
      <c r="FH40" s="9"/>
      <c r="FI40" s="644"/>
      <c r="FJ40" s="774" t="s">
        <v>1585</v>
      </c>
      <c r="FK40" s="644"/>
      <c r="FL40" s="780" t="s">
        <v>504</v>
      </c>
      <c r="FM40" s="644"/>
      <c r="FN40" s="9" t="s">
        <v>1621</v>
      </c>
      <c r="FO40" s="644"/>
      <c r="FP40" s="9"/>
      <c r="FQ40" s="644"/>
      <c r="FR40" s="644"/>
      <c r="FS40" s="644"/>
      <c r="FT40" s="644"/>
      <c r="FU40" s="644"/>
      <c r="FV40" s="644"/>
      <c r="FW40" s="644"/>
      <c r="FX40" s="9" t="s">
        <v>465</v>
      </c>
      <c r="FY40" s="644"/>
      <c r="FZ40" s="644"/>
      <c r="GA40" s="644"/>
      <c r="GB40" s="9" t="s">
        <v>1628</v>
      </c>
      <c r="GC40" s="644"/>
      <c r="GD40" s="9" t="s">
        <v>2499</v>
      </c>
      <c r="GE40" s="644"/>
      <c r="GF40" s="5" t="s">
        <v>1994</v>
      </c>
      <c r="GG40" s="644"/>
      <c r="GH40" s="9" t="s">
        <v>2008</v>
      </c>
      <c r="GI40" s="644"/>
      <c r="GJ40" s="780" t="s">
        <v>465</v>
      </c>
      <c r="GK40" s="644"/>
      <c r="GL40" s="9"/>
      <c r="GM40" s="644"/>
      <c r="GN40" s="9"/>
      <c r="GO40" s="644"/>
      <c r="GP40" s="9" t="s">
        <v>504</v>
      </c>
      <c r="GQ40" s="644"/>
      <c r="GR40" s="9" t="s">
        <v>1947</v>
      </c>
      <c r="GS40" s="644"/>
      <c r="GT40" s="9" t="s">
        <v>504</v>
      </c>
      <c r="GU40" s="644"/>
      <c r="GV40" s="9" t="s">
        <v>504</v>
      </c>
      <c r="GW40" s="644"/>
      <c r="GX40" s="5" t="s">
        <v>504</v>
      </c>
      <c r="GY40" s="644"/>
      <c r="GZ40" s="9" t="s">
        <v>504</v>
      </c>
      <c r="HA40" s="644"/>
      <c r="HB40" s="5" t="s">
        <v>465</v>
      </c>
      <c r="HC40" s="644"/>
      <c r="HD40" s="9" t="s">
        <v>1827</v>
      </c>
      <c r="HE40" s="644"/>
      <c r="HF40" s="9" t="s">
        <v>1856</v>
      </c>
      <c r="HG40" s="644"/>
      <c r="HH40" s="9" t="s">
        <v>465</v>
      </c>
      <c r="HI40" s="644"/>
      <c r="HJ40" s="644"/>
      <c r="HK40" s="644"/>
      <c r="HL40" s="9">
        <v>0</v>
      </c>
      <c r="HM40" s="644"/>
      <c r="HN40" s="9" t="s">
        <v>465</v>
      </c>
      <c r="HO40" s="644"/>
      <c r="HP40" s="9" t="s">
        <v>1280</v>
      </c>
      <c r="HQ40" s="644"/>
      <c r="HR40" s="9" t="s">
        <v>1292</v>
      </c>
      <c r="HS40" s="644"/>
      <c r="HT40" s="656" t="s">
        <v>702</v>
      </c>
      <c r="HU40" s="644"/>
      <c r="HV40" s="9" t="s">
        <v>1280</v>
      </c>
      <c r="HW40" s="644"/>
      <c r="HX40" s="9">
        <v>0</v>
      </c>
      <c r="HY40" s="644"/>
      <c r="HZ40" s="9"/>
      <c r="IA40" s="644"/>
      <c r="IB40" s="644"/>
      <c r="IC40" s="644"/>
      <c r="ID40" s="9" t="s">
        <v>702</v>
      </c>
      <c r="IE40" s="644"/>
      <c r="IF40" s="5" t="s">
        <v>504</v>
      </c>
      <c r="IG40" s="756"/>
      <c r="IH40" s="9"/>
      <c r="II40" s="644"/>
      <c r="IJ40" s="644"/>
      <c r="IK40" s="644"/>
      <c r="IL40" s="651" t="s">
        <v>1343</v>
      </c>
      <c r="IM40" s="644"/>
      <c r="IN40" s="634" t="s">
        <v>862</v>
      </c>
      <c r="IO40" s="644"/>
      <c r="IP40" s="9"/>
      <c r="IQ40" s="644"/>
      <c r="IR40" s="9"/>
      <c r="IS40" s="644"/>
      <c r="IT40" s="9" t="s">
        <v>465</v>
      </c>
      <c r="IU40" s="644"/>
      <c r="IV40" s="9" t="s">
        <v>824</v>
      </c>
      <c r="IW40" s="644"/>
      <c r="IX40" s="632" t="s">
        <v>1108</v>
      </c>
      <c r="IY40" s="644"/>
      <c r="IZ40" s="9" t="s">
        <v>504</v>
      </c>
      <c r="JA40" s="644"/>
      <c r="JB40" s="9" t="s">
        <v>1292</v>
      </c>
      <c r="JC40" s="644"/>
      <c r="JD40" s="9" t="s">
        <v>1412</v>
      </c>
      <c r="JE40" s="644"/>
      <c r="JF40" s="644"/>
      <c r="JG40" s="644"/>
      <c r="JH40" s="9" t="s">
        <v>701</v>
      </c>
      <c r="JI40" s="644"/>
      <c r="JJ40" s="644"/>
      <c r="JK40" s="644"/>
      <c r="JL40" s="644"/>
      <c r="JM40" s="644"/>
      <c r="JN40" s="9" t="s">
        <v>504</v>
      </c>
      <c r="JO40" s="644"/>
      <c r="JP40" s="644"/>
      <c r="JQ40" s="644"/>
      <c r="JR40" s="20" t="s">
        <v>465</v>
      </c>
      <c r="JS40" s="644"/>
      <c r="JT40" s="9" t="s">
        <v>465</v>
      </c>
      <c r="JU40" s="644"/>
      <c r="JV40" s="9"/>
      <c r="JW40" s="644"/>
      <c r="JX40" s="9" t="s">
        <v>708</v>
      </c>
      <c r="JY40" s="644"/>
    </row>
    <row r="41" spans="1:285" ht="89.25" x14ac:dyDescent="0.2">
      <c r="A41" s="1565"/>
      <c r="B41" s="1571"/>
      <c r="C41" s="82" t="s">
        <v>104</v>
      </c>
      <c r="D41" s="83" t="s">
        <v>14</v>
      </c>
      <c r="E41" s="755" t="s">
        <v>48</v>
      </c>
      <c r="F41" s="9"/>
      <c r="G41" s="756"/>
      <c r="H41" s="9" t="s">
        <v>465</v>
      </c>
      <c r="I41" s="644"/>
      <c r="J41" s="5" t="s">
        <v>946</v>
      </c>
      <c r="K41" s="644"/>
      <c r="L41" s="9" t="s">
        <v>2284</v>
      </c>
      <c r="M41" s="644"/>
      <c r="N41" s="757"/>
      <c r="O41" s="644"/>
      <c r="P41" s="84"/>
      <c r="Q41" s="644"/>
      <c r="R41" s="9"/>
      <c r="S41" s="644"/>
      <c r="T41" s="644"/>
      <c r="U41" s="644"/>
      <c r="V41" s="644"/>
      <c r="W41" s="644"/>
      <c r="X41" s="644"/>
      <c r="Y41" s="644"/>
      <c r="Z41" s="9" t="s">
        <v>465</v>
      </c>
      <c r="AA41" s="644"/>
      <c r="AB41" s="9" t="s">
        <v>465</v>
      </c>
      <c r="AC41" s="644"/>
      <c r="AD41" s="9" t="s">
        <v>465</v>
      </c>
      <c r="AE41" s="644"/>
      <c r="AF41" s="644"/>
      <c r="AG41" s="644"/>
      <c r="AH41" s="644"/>
      <c r="AI41" s="644"/>
      <c r="AJ41" s="84" t="s">
        <v>504</v>
      </c>
      <c r="AK41" s="644"/>
      <c r="AL41" s="9" t="s">
        <v>504</v>
      </c>
      <c r="AM41" s="644"/>
      <c r="AN41" s="9" t="s">
        <v>946</v>
      </c>
      <c r="AO41" s="644"/>
      <c r="AP41" s="9" t="s">
        <v>825</v>
      </c>
      <c r="AQ41" s="644"/>
      <c r="AR41" s="9"/>
      <c r="AS41" s="644"/>
      <c r="AT41" s="9"/>
      <c r="AU41" s="644"/>
      <c r="AV41" s="757"/>
      <c r="AW41" s="644"/>
      <c r="AX41" s="9"/>
      <c r="AY41" s="644"/>
      <c r="AZ41" s="9"/>
      <c r="BA41" s="644"/>
      <c r="BB41" s="644"/>
      <c r="BC41" s="644"/>
      <c r="BD41" s="5"/>
      <c r="BE41" s="644"/>
      <c r="BF41" s="9" t="s">
        <v>709</v>
      </c>
      <c r="BG41" s="644"/>
      <c r="BH41" s="644"/>
      <c r="BI41" s="644"/>
      <c r="BJ41" s="9" t="s">
        <v>789</v>
      </c>
      <c r="BK41" s="644"/>
      <c r="BL41" s="9"/>
      <c r="BM41" s="644"/>
      <c r="BN41" s="9">
        <v>0</v>
      </c>
      <c r="BO41" s="644"/>
      <c r="BP41" s="632"/>
      <c r="BQ41" s="644"/>
      <c r="BR41" s="9" t="s">
        <v>968</v>
      </c>
      <c r="BS41" s="644"/>
      <c r="BT41" s="9"/>
      <c r="BU41" s="644"/>
      <c r="BV41" s="9" t="s">
        <v>946</v>
      </c>
      <c r="BW41" s="644"/>
      <c r="BX41" s="9" t="s">
        <v>825</v>
      </c>
      <c r="BY41" s="644"/>
      <c r="BZ41" s="632"/>
      <c r="CA41" s="644"/>
      <c r="CB41" s="9"/>
      <c r="CC41" s="644"/>
      <c r="CD41" s="644"/>
      <c r="CE41" s="644"/>
      <c r="CF41" s="644"/>
      <c r="CG41" s="644"/>
      <c r="CH41" s="632" t="s">
        <v>465</v>
      </c>
      <c r="CI41" s="9"/>
      <c r="CJ41" s="9" t="s">
        <v>465</v>
      </c>
      <c r="CK41" s="9"/>
      <c r="CL41" s="9" t="s">
        <v>504</v>
      </c>
      <c r="CM41" s="644"/>
      <c r="CN41" s="9"/>
      <c r="CO41" s="644"/>
      <c r="CP41" s="9"/>
      <c r="CQ41" s="644"/>
      <c r="CR41" s="9" t="s">
        <v>465</v>
      </c>
      <c r="CS41" s="644"/>
      <c r="CT41" s="9" t="s">
        <v>504</v>
      </c>
      <c r="CU41" s="644"/>
      <c r="CV41" s="9" t="s">
        <v>825</v>
      </c>
      <c r="CW41" s="644"/>
      <c r="CX41" s="9" t="s">
        <v>465</v>
      </c>
      <c r="CY41" s="644"/>
      <c r="CZ41" s="9" t="s">
        <v>465</v>
      </c>
      <c r="DA41" s="644"/>
      <c r="DB41" s="9" t="s">
        <v>709</v>
      </c>
      <c r="DC41" s="644"/>
      <c r="DD41" s="9"/>
      <c r="DE41" s="644"/>
      <c r="DF41" s="644"/>
      <c r="DG41" s="644"/>
      <c r="DH41" s="9" t="s">
        <v>874</v>
      </c>
      <c r="DI41" s="644"/>
      <c r="DJ41" s="758" t="s">
        <v>825</v>
      </c>
      <c r="DK41" s="644"/>
      <c r="DL41" s="644"/>
      <c r="DM41" s="644"/>
      <c r="DN41" s="9"/>
      <c r="DO41" s="644"/>
      <c r="DP41" s="644"/>
      <c r="DQ41" s="644"/>
      <c r="DR41" s="644"/>
      <c r="DS41" s="644"/>
      <c r="DT41" s="644"/>
      <c r="DU41" s="644"/>
      <c r="DV41" s="9" t="s">
        <v>465</v>
      </c>
      <c r="DW41" s="644"/>
      <c r="DX41" s="9" t="s">
        <v>465</v>
      </c>
      <c r="DY41" s="644"/>
      <c r="DZ41" s="9" t="s">
        <v>465</v>
      </c>
      <c r="EA41" s="644"/>
      <c r="EB41" s="644"/>
      <c r="EC41" s="644"/>
      <c r="ED41" s="644"/>
      <c r="EE41" s="644"/>
      <c r="EF41" s="9" t="s">
        <v>825</v>
      </c>
      <c r="EG41" s="644"/>
      <c r="EH41" s="759" t="s">
        <v>504</v>
      </c>
      <c r="EI41" s="644"/>
      <c r="EJ41" s="644"/>
      <c r="EK41" s="644"/>
      <c r="EL41" s="644"/>
      <c r="EM41" s="644"/>
      <c r="EN41" s="9"/>
      <c r="EO41" s="644"/>
      <c r="EP41" s="9" t="s">
        <v>504</v>
      </c>
      <c r="EQ41" s="644"/>
      <c r="ER41" s="644"/>
      <c r="ES41" s="644"/>
      <c r="ET41" s="9" t="s">
        <v>465</v>
      </c>
      <c r="EU41" s="644"/>
      <c r="EV41" s="9" t="s">
        <v>465</v>
      </c>
      <c r="EW41" s="644"/>
      <c r="EX41" s="9" t="s">
        <v>465</v>
      </c>
      <c r="EY41" s="644"/>
      <c r="EZ41" s="5" t="s">
        <v>1504</v>
      </c>
      <c r="FA41" s="644"/>
      <c r="FB41" s="5" t="s">
        <v>1504</v>
      </c>
      <c r="FC41" s="644"/>
      <c r="FD41" s="9" t="s">
        <v>465</v>
      </c>
      <c r="FE41" s="644"/>
      <c r="FF41" s="9" t="s">
        <v>465</v>
      </c>
      <c r="FG41" s="644"/>
      <c r="FH41" s="9"/>
      <c r="FI41" s="644"/>
      <c r="FJ41" s="774" t="s">
        <v>946</v>
      </c>
      <c r="FK41" s="644"/>
      <c r="FL41" s="780" t="s">
        <v>504</v>
      </c>
      <c r="FM41" s="644"/>
      <c r="FN41" s="9" t="s">
        <v>946</v>
      </c>
      <c r="FO41" s="644"/>
      <c r="FP41" s="9"/>
      <c r="FQ41" s="644"/>
      <c r="FR41" s="644"/>
      <c r="FS41" s="644"/>
      <c r="FT41" s="644"/>
      <c r="FU41" s="644"/>
      <c r="FV41" s="644"/>
      <c r="FW41" s="644"/>
      <c r="FX41" s="9" t="s">
        <v>465</v>
      </c>
      <c r="FY41" s="644"/>
      <c r="FZ41" s="644"/>
      <c r="GA41" s="644"/>
      <c r="GB41" s="9"/>
      <c r="GC41" s="644"/>
      <c r="GD41" s="9" t="s">
        <v>2499</v>
      </c>
      <c r="GE41" s="644"/>
      <c r="GF41" s="5" t="s">
        <v>825</v>
      </c>
      <c r="GG41" s="644"/>
      <c r="GH41" s="9" t="s">
        <v>2008</v>
      </c>
      <c r="GI41" s="644"/>
      <c r="GJ41" s="780" t="s">
        <v>465</v>
      </c>
      <c r="GK41" s="644"/>
      <c r="GL41" s="9"/>
      <c r="GM41" s="644"/>
      <c r="GN41" s="9"/>
      <c r="GO41" s="644"/>
      <c r="GP41" s="9" t="s">
        <v>504</v>
      </c>
      <c r="GQ41" s="644"/>
      <c r="GR41" s="9" t="s">
        <v>1948</v>
      </c>
      <c r="GS41" s="644"/>
      <c r="GT41" s="9" t="s">
        <v>504</v>
      </c>
      <c r="GU41" s="644"/>
      <c r="GV41" s="9" t="s">
        <v>504</v>
      </c>
      <c r="GW41" s="644"/>
      <c r="GX41" s="5" t="s">
        <v>504</v>
      </c>
      <c r="GY41" s="644"/>
      <c r="GZ41" s="9" t="s">
        <v>504</v>
      </c>
      <c r="HA41" s="644"/>
      <c r="HB41" s="5" t="s">
        <v>465</v>
      </c>
      <c r="HC41" s="644"/>
      <c r="HD41" s="9" t="s">
        <v>946</v>
      </c>
      <c r="HE41" s="644"/>
      <c r="HF41" s="9" t="s">
        <v>825</v>
      </c>
      <c r="HG41" s="644"/>
      <c r="HH41" s="9" t="s">
        <v>465</v>
      </c>
      <c r="HI41" s="644"/>
      <c r="HJ41" s="644"/>
      <c r="HK41" s="644"/>
      <c r="HL41" s="9">
        <v>0</v>
      </c>
      <c r="HM41" s="644"/>
      <c r="HN41" s="9" t="s">
        <v>465</v>
      </c>
      <c r="HO41" s="644"/>
      <c r="HP41" s="9" t="s">
        <v>825</v>
      </c>
      <c r="HQ41" s="644"/>
      <c r="HR41" s="9" t="s">
        <v>968</v>
      </c>
      <c r="HS41" s="644"/>
      <c r="HT41" s="656" t="s">
        <v>702</v>
      </c>
      <c r="HU41" s="644"/>
      <c r="HV41" s="9" t="s">
        <v>825</v>
      </c>
      <c r="HW41" s="644"/>
      <c r="HX41" s="9">
        <v>0</v>
      </c>
      <c r="HY41" s="644"/>
      <c r="HZ41" s="9"/>
      <c r="IA41" s="644"/>
      <c r="IB41" s="644"/>
      <c r="IC41" s="644"/>
      <c r="ID41" s="9" t="s">
        <v>702</v>
      </c>
      <c r="IE41" s="644"/>
      <c r="IF41" s="5" t="s">
        <v>504</v>
      </c>
      <c r="IG41" s="756"/>
      <c r="IH41" s="9"/>
      <c r="II41" s="644"/>
      <c r="IJ41" s="644"/>
      <c r="IK41" s="644"/>
      <c r="IL41" s="651" t="s">
        <v>825</v>
      </c>
      <c r="IM41" s="644"/>
      <c r="IN41" s="634" t="s">
        <v>946</v>
      </c>
      <c r="IO41" s="644"/>
      <c r="IP41" s="9"/>
      <c r="IQ41" s="644"/>
      <c r="IR41" s="9"/>
      <c r="IS41" s="644"/>
      <c r="IT41" s="9" t="s">
        <v>465</v>
      </c>
      <c r="IU41" s="644"/>
      <c r="IV41" s="84" t="s">
        <v>1095</v>
      </c>
      <c r="IW41" s="644"/>
      <c r="IX41" s="632" t="s">
        <v>946</v>
      </c>
      <c r="IY41" s="644"/>
      <c r="IZ41" s="9" t="s">
        <v>504</v>
      </c>
      <c r="JA41" s="644"/>
      <c r="JB41" s="9" t="s">
        <v>946</v>
      </c>
      <c r="JC41" s="644"/>
      <c r="JD41" s="9" t="s">
        <v>825</v>
      </c>
      <c r="JE41" s="644"/>
      <c r="JF41" s="644"/>
      <c r="JG41" s="644"/>
      <c r="JH41" s="9" t="s">
        <v>701</v>
      </c>
      <c r="JI41" s="644"/>
      <c r="JJ41" s="644"/>
      <c r="JK41" s="644"/>
      <c r="JL41" s="644"/>
      <c r="JM41" s="644"/>
      <c r="JN41" s="9" t="s">
        <v>504</v>
      </c>
      <c r="JO41" s="644"/>
      <c r="JP41" s="644"/>
      <c r="JQ41" s="644"/>
      <c r="JR41" s="20" t="s">
        <v>465</v>
      </c>
      <c r="JS41" s="644"/>
      <c r="JT41" s="9" t="s">
        <v>465</v>
      </c>
      <c r="JU41" s="644"/>
      <c r="JV41" s="9"/>
      <c r="JW41" s="644"/>
      <c r="JX41" s="9" t="s">
        <v>709</v>
      </c>
      <c r="JY41" s="644"/>
    </row>
    <row r="42" spans="1:285" ht="115.5" thickBot="1" x14ac:dyDescent="0.25">
      <c r="A42" s="1568"/>
      <c r="B42" s="1572"/>
      <c r="C42" s="85" t="s">
        <v>105</v>
      </c>
      <c r="D42" s="86" t="s">
        <v>15</v>
      </c>
      <c r="E42" s="755" t="s">
        <v>48</v>
      </c>
      <c r="F42" s="9"/>
      <c r="G42" s="756"/>
      <c r="H42" s="9" t="s">
        <v>465</v>
      </c>
      <c r="I42" s="644"/>
      <c r="J42" s="5" t="s">
        <v>2265</v>
      </c>
      <c r="K42" s="644"/>
      <c r="L42" s="5" t="s">
        <v>2282</v>
      </c>
      <c r="M42" s="644"/>
      <c r="N42" s="757"/>
      <c r="O42" s="644"/>
      <c r="P42" s="84"/>
      <c r="Q42" s="644"/>
      <c r="R42" s="9"/>
      <c r="S42" s="644"/>
      <c r="T42" s="644"/>
      <c r="U42" s="644"/>
      <c r="V42" s="644"/>
      <c r="W42" s="644"/>
      <c r="X42" s="644"/>
      <c r="Y42" s="644"/>
      <c r="Z42" s="9" t="s">
        <v>465</v>
      </c>
      <c r="AA42" s="644"/>
      <c r="AB42" s="9" t="s">
        <v>465</v>
      </c>
      <c r="AC42" s="644"/>
      <c r="AD42" s="9" t="s">
        <v>465</v>
      </c>
      <c r="AE42" s="644"/>
      <c r="AF42" s="644"/>
      <c r="AG42" s="644"/>
      <c r="AH42" s="644"/>
      <c r="AI42" s="644"/>
      <c r="AJ42" s="84">
        <v>0</v>
      </c>
      <c r="AK42" s="644"/>
      <c r="AL42" s="9" t="s">
        <v>504</v>
      </c>
      <c r="AM42" s="644"/>
      <c r="AN42" s="9" t="s">
        <v>976</v>
      </c>
      <c r="AO42" s="644"/>
      <c r="AP42" s="9" t="s">
        <v>993</v>
      </c>
      <c r="AQ42" s="644"/>
      <c r="AR42" s="9"/>
      <c r="AS42" s="644"/>
      <c r="AT42" s="9"/>
      <c r="AU42" s="644"/>
      <c r="AV42" s="757"/>
      <c r="AW42" s="644"/>
      <c r="AX42" s="9"/>
      <c r="AY42" s="644"/>
      <c r="AZ42" s="9"/>
      <c r="BA42" s="644"/>
      <c r="BB42" s="644"/>
      <c r="BC42" s="644"/>
      <c r="BD42" s="5"/>
      <c r="BE42" s="644"/>
      <c r="BF42" s="9" t="s">
        <v>2392</v>
      </c>
      <c r="BG42" s="644"/>
      <c r="BH42" s="644"/>
      <c r="BI42" s="644"/>
      <c r="BJ42" s="9" t="s">
        <v>789</v>
      </c>
      <c r="BK42" s="644"/>
      <c r="BL42" s="9"/>
      <c r="BM42" s="644"/>
      <c r="BN42" s="9">
        <v>0</v>
      </c>
      <c r="BO42" s="644"/>
      <c r="BP42" s="632"/>
      <c r="BQ42" s="644"/>
      <c r="BR42" s="9" t="s">
        <v>965</v>
      </c>
      <c r="BS42" s="644"/>
      <c r="BT42" s="9"/>
      <c r="BU42" s="644"/>
      <c r="BV42" s="9" t="s">
        <v>923</v>
      </c>
      <c r="BW42" s="644"/>
      <c r="BX42" s="9" t="s">
        <v>2148</v>
      </c>
      <c r="BY42" s="644"/>
      <c r="BZ42" s="632"/>
      <c r="CA42" s="644"/>
      <c r="CB42" s="9"/>
      <c r="CC42" s="644"/>
      <c r="CD42" s="644"/>
      <c r="CE42" s="644"/>
      <c r="CF42" s="644"/>
      <c r="CG42" s="644"/>
      <c r="CH42" s="632" t="s">
        <v>465</v>
      </c>
      <c r="CI42" s="9"/>
      <c r="CJ42" s="9" t="s">
        <v>465</v>
      </c>
      <c r="CK42" s="9"/>
      <c r="CL42" s="9" t="s">
        <v>504</v>
      </c>
      <c r="CM42" s="644"/>
      <c r="CN42" s="9"/>
      <c r="CO42" s="644"/>
      <c r="CP42" s="9"/>
      <c r="CQ42" s="644"/>
      <c r="CR42" s="9" t="s">
        <v>465</v>
      </c>
      <c r="CS42" s="644"/>
      <c r="CT42" s="9" t="s">
        <v>504</v>
      </c>
      <c r="CU42" s="644"/>
      <c r="CV42" s="9" t="s">
        <v>822</v>
      </c>
      <c r="CW42" s="644"/>
      <c r="CX42" s="9" t="s">
        <v>465</v>
      </c>
      <c r="CY42" s="644"/>
      <c r="CZ42" s="9" t="s">
        <v>465</v>
      </c>
      <c r="DA42" s="644"/>
      <c r="DB42" s="9" t="s">
        <v>861</v>
      </c>
      <c r="DC42" s="644"/>
      <c r="DD42" s="9"/>
      <c r="DE42" s="644"/>
      <c r="DF42" s="644"/>
      <c r="DG42" s="644"/>
      <c r="DH42" s="9" t="s">
        <v>871</v>
      </c>
      <c r="DI42" s="644"/>
      <c r="DJ42" s="758" t="s">
        <v>886</v>
      </c>
      <c r="DK42" s="644"/>
      <c r="DL42" s="644"/>
      <c r="DM42" s="644"/>
      <c r="DN42" s="9"/>
      <c r="DO42" s="644"/>
      <c r="DP42" s="644"/>
      <c r="DQ42" s="644"/>
      <c r="DR42" s="644"/>
      <c r="DS42" s="644"/>
      <c r="DT42" s="644"/>
      <c r="DU42" s="644"/>
      <c r="DV42" s="9" t="s">
        <v>465</v>
      </c>
      <c r="DW42" s="644"/>
      <c r="DX42" s="9" t="s">
        <v>465</v>
      </c>
      <c r="DY42" s="644"/>
      <c r="DZ42" s="9" t="s">
        <v>465</v>
      </c>
      <c r="EA42" s="644"/>
      <c r="EB42" s="644"/>
      <c r="EC42" s="644"/>
      <c r="ED42" s="644"/>
      <c r="EE42" s="644"/>
      <c r="EF42" s="9" t="s">
        <v>2031</v>
      </c>
      <c r="EG42" s="644"/>
      <c r="EH42" s="759" t="s">
        <v>504</v>
      </c>
      <c r="EI42" s="644"/>
      <c r="EJ42" s="644"/>
      <c r="EK42" s="644"/>
      <c r="EL42" s="644"/>
      <c r="EM42" s="644"/>
      <c r="EN42" s="9"/>
      <c r="EO42" s="644"/>
      <c r="EP42" s="9" t="s">
        <v>504</v>
      </c>
      <c r="EQ42" s="644"/>
      <c r="ER42" s="644"/>
      <c r="ES42" s="644"/>
      <c r="ET42" s="9" t="s">
        <v>465</v>
      </c>
      <c r="EU42" s="644"/>
      <c r="EV42" s="9" t="s">
        <v>465</v>
      </c>
      <c r="EW42" s="644"/>
      <c r="EX42" s="9" t="s">
        <v>465</v>
      </c>
      <c r="EY42" s="644"/>
      <c r="EZ42" s="5" t="s">
        <v>1501</v>
      </c>
      <c r="FA42" s="644"/>
      <c r="FB42" s="5" t="s">
        <v>1501</v>
      </c>
      <c r="FC42" s="644"/>
      <c r="FD42" s="9" t="s">
        <v>465</v>
      </c>
      <c r="FE42" s="644"/>
      <c r="FF42" s="9" t="s">
        <v>465</v>
      </c>
      <c r="FG42" s="644"/>
      <c r="FH42" s="9"/>
      <c r="FI42" s="644"/>
      <c r="FJ42" s="774" t="s">
        <v>1584</v>
      </c>
      <c r="FK42" s="644"/>
      <c r="FL42" s="780" t="s">
        <v>504</v>
      </c>
      <c r="FM42" s="644"/>
      <c r="FN42" s="9" t="s">
        <v>1619</v>
      </c>
      <c r="FO42" s="644"/>
      <c r="FP42" s="9"/>
      <c r="FQ42" s="644"/>
      <c r="FR42" s="644"/>
      <c r="FS42" s="644"/>
      <c r="FT42" s="644"/>
      <c r="FU42" s="644"/>
      <c r="FV42" s="644"/>
      <c r="FW42" s="644"/>
      <c r="FX42" s="9" t="s">
        <v>465</v>
      </c>
      <c r="FY42" s="644"/>
      <c r="FZ42" s="644"/>
      <c r="GA42" s="644"/>
      <c r="GB42" s="9"/>
      <c r="GC42" s="644"/>
      <c r="GD42" s="9" t="s">
        <v>2499</v>
      </c>
      <c r="GE42" s="644"/>
      <c r="GF42" s="684" t="s">
        <v>1990</v>
      </c>
      <c r="GG42" s="644"/>
      <c r="GH42" s="9" t="s">
        <v>2008</v>
      </c>
      <c r="GI42" s="644"/>
      <c r="GJ42" s="780" t="s">
        <v>465</v>
      </c>
      <c r="GK42" s="644"/>
      <c r="GL42" s="9"/>
      <c r="GM42" s="644"/>
      <c r="GN42" s="9"/>
      <c r="GO42" s="644"/>
      <c r="GP42" s="9" t="s">
        <v>504</v>
      </c>
      <c r="GQ42" s="644"/>
      <c r="GR42" s="9" t="s">
        <v>1949</v>
      </c>
      <c r="GS42" s="644"/>
      <c r="GT42" s="9" t="s">
        <v>504</v>
      </c>
      <c r="GU42" s="644"/>
      <c r="GV42" s="9" t="s">
        <v>504</v>
      </c>
      <c r="GW42" s="644"/>
      <c r="GX42" s="5" t="s">
        <v>504</v>
      </c>
      <c r="GY42" s="644"/>
      <c r="GZ42" s="9" t="s">
        <v>504</v>
      </c>
      <c r="HA42" s="644"/>
      <c r="HB42" s="5" t="s">
        <v>465</v>
      </c>
      <c r="HC42" s="644"/>
      <c r="HD42" s="9" t="s">
        <v>1826</v>
      </c>
      <c r="HE42" s="644"/>
      <c r="HF42" s="9" t="s">
        <v>1854</v>
      </c>
      <c r="HG42" s="644"/>
      <c r="HH42" s="9" t="s">
        <v>465</v>
      </c>
      <c r="HI42" s="644"/>
      <c r="HJ42" s="644"/>
      <c r="HK42" s="644"/>
      <c r="HL42" s="9">
        <v>0</v>
      </c>
      <c r="HM42" s="644"/>
      <c r="HN42" s="9" t="s">
        <v>465</v>
      </c>
      <c r="HO42" s="644"/>
      <c r="HP42" s="9" t="s">
        <v>1278</v>
      </c>
      <c r="HQ42" s="644"/>
      <c r="HR42" s="9" t="s">
        <v>1290</v>
      </c>
      <c r="HS42" s="644"/>
      <c r="HT42" s="656" t="s">
        <v>702</v>
      </c>
      <c r="HU42" s="644"/>
      <c r="HV42" s="9" t="s">
        <v>1278</v>
      </c>
      <c r="HW42" s="644"/>
      <c r="HX42" s="9">
        <v>0</v>
      </c>
      <c r="HY42" s="644"/>
      <c r="HZ42" s="9"/>
      <c r="IA42" s="644"/>
      <c r="IB42" s="644"/>
      <c r="IC42" s="644"/>
      <c r="ID42" s="9" t="s">
        <v>702</v>
      </c>
      <c r="IE42" s="644"/>
      <c r="IF42" s="5" t="s">
        <v>504</v>
      </c>
      <c r="IG42" s="756"/>
      <c r="IH42" s="9"/>
      <c r="II42" s="644"/>
      <c r="IJ42" s="644"/>
      <c r="IK42" s="644"/>
      <c r="IL42" s="651" t="s">
        <v>1341</v>
      </c>
      <c r="IM42" s="644"/>
      <c r="IN42" s="634" t="s">
        <v>1355</v>
      </c>
      <c r="IO42" s="644"/>
      <c r="IP42" s="9"/>
      <c r="IQ42" s="644"/>
      <c r="IR42" s="9"/>
      <c r="IS42" s="644"/>
      <c r="IT42" s="9" t="s">
        <v>465</v>
      </c>
      <c r="IU42" s="644"/>
      <c r="IV42" s="9" t="s">
        <v>1092</v>
      </c>
      <c r="IW42" s="644"/>
      <c r="IX42" s="632" t="s">
        <v>1109</v>
      </c>
      <c r="IY42" s="644"/>
      <c r="IZ42" s="9" t="s">
        <v>504</v>
      </c>
      <c r="JA42" s="644"/>
      <c r="JB42" s="9" t="s">
        <v>1397</v>
      </c>
      <c r="JC42" s="644"/>
      <c r="JD42" s="9" t="s">
        <v>1409</v>
      </c>
      <c r="JE42" s="644"/>
      <c r="JF42" s="644"/>
      <c r="JG42" s="644"/>
      <c r="JH42" s="9" t="s">
        <v>701</v>
      </c>
      <c r="JI42" s="644"/>
      <c r="JJ42" s="644"/>
      <c r="JK42" s="644"/>
      <c r="JL42" s="644"/>
      <c r="JM42" s="644"/>
      <c r="JN42" s="9" t="s">
        <v>504</v>
      </c>
      <c r="JO42" s="644"/>
      <c r="JP42" s="644"/>
      <c r="JQ42" s="644"/>
      <c r="JR42" s="20" t="s">
        <v>465</v>
      </c>
      <c r="JS42" s="644"/>
      <c r="JT42" s="9" t="s">
        <v>465</v>
      </c>
      <c r="JU42" s="644"/>
      <c r="JV42" s="9"/>
      <c r="JW42" s="644"/>
      <c r="JX42" s="9" t="s">
        <v>710</v>
      </c>
      <c r="JY42" s="644"/>
    </row>
    <row r="43" spans="1:285" ht="31.5" customHeight="1" x14ac:dyDescent="0.2">
      <c r="A43" s="1564" t="s">
        <v>89</v>
      </c>
      <c r="B43" s="1570" t="s">
        <v>271</v>
      </c>
      <c r="C43" s="79" t="s">
        <v>101</v>
      </c>
      <c r="D43" s="80" t="s">
        <v>143</v>
      </c>
      <c r="E43" s="755" t="s">
        <v>55</v>
      </c>
      <c r="F43" s="9" t="s">
        <v>500</v>
      </c>
      <c r="G43" s="756"/>
      <c r="H43" s="9" t="s">
        <v>500</v>
      </c>
      <c r="I43" s="644"/>
      <c r="J43" s="9" t="s">
        <v>504</v>
      </c>
      <c r="K43" s="644"/>
      <c r="L43" s="9" t="s">
        <v>500</v>
      </c>
      <c r="M43" s="644"/>
      <c r="N43" s="757" t="s">
        <v>471</v>
      </c>
      <c r="O43" s="644"/>
      <c r="P43" s="84" t="s">
        <v>500</v>
      </c>
      <c r="Q43" s="644"/>
      <c r="R43" s="9" t="s">
        <v>471</v>
      </c>
      <c r="S43" s="644"/>
      <c r="T43" s="644"/>
      <c r="U43" s="644"/>
      <c r="V43" s="644"/>
      <c r="W43" s="644"/>
      <c r="X43" s="644"/>
      <c r="Y43" s="644"/>
      <c r="Z43" s="5" t="s">
        <v>471</v>
      </c>
      <c r="AA43" s="644"/>
      <c r="AB43" s="5" t="s">
        <v>471</v>
      </c>
      <c r="AC43" s="644"/>
      <c r="AD43" s="9" t="s">
        <v>479</v>
      </c>
      <c r="AE43" s="644"/>
      <c r="AF43" s="644"/>
      <c r="AG43" s="644"/>
      <c r="AH43" s="644"/>
      <c r="AI43" s="644"/>
      <c r="AJ43" s="84" t="s">
        <v>504</v>
      </c>
      <c r="AK43" s="644"/>
      <c r="AL43" s="9" t="s">
        <v>504</v>
      </c>
      <c r="AM43" s="644"/>
      <c r="AN43" s="9" t="s">
        <v>479</v>
      </c>
      <c r="AO43" s="644"/>
      <c r="AP43" s="9" t="s">
        <v>471</v>
      </c>
      <c r="AQ43" s="644"/>
      <c r="AR43" s="9"/>
      <c r="AS43" s="644"/>
      <c r="AT43" s="9"/>
      <c r="AU43" s="644"/>
      <c r="AV43" s="757" t="s">
        <v>471</v>
      </c>
      <c r="AW43" s="644"/>
      <c r="AX43" s="9" t="s">
        <v>500</v>
      </c>
      <c r="AY43" s="644"/>
      <c r="AZ43" s="10"/>
      <c r="BA43" s="644"/>
      <c r="BB43" s="644"/>
      <c r="BC43" s="644"/>
      <c r="BD43" s="5"/>
      <c r="BE43" s="644"/>
      <c r="BF43" s="9" t="s">
        <v>504</v>
      </c>
      <c r="BG43" s="644"/>
      <c r="BH43" s="644"/>
      <c r="BI43" s="644"/>
      <c r="BJ43" s="9" t="s">
        <v>500</v>
      </c>
      <c r="BK43" s="644"/>
      <c r="BL43" s="9" t="s">
        <v>500</v>
      </c>
      <c r="BM43" s="644"/>
      <c r="BN43" s="9">
        <v>0</v>
      </c>
      <c r="BO43" s="644"/>
      <c r="BP43" s="632" t="s">
        <v>504</v>
      </c>
      <c r="BQ43" s="644"/>
      <c r="BR43" s="9" t="s">
        <v>504</v>
      </c>
      <c r="BS43" s="644"/>
      <c r="BT43" s="9" t="s">
        <v>504</v>
      </c>
      <c r="BU43" s="644"/>
      <c r="BV43" s="9"/>
      <c r="BW43" s="644"/>
      <c r="BX43" s="9" t="s">
        <v>500</v>
      </c>
      <c r="BY43" s="644"/>
      <c r="BZ43" s="632" t="s">
        <v>500</v>
      </c>
      <c r="CA43" s="644"/>
      <c r="CB43" s="9" t="s">
        <v>500</v>
      </c>
      <c r="CC43" s="644"/>
      <c r="CD43" s="644"/>
      <c r="CE43" s="644"/>
      <c r="CF43" s="644"/>
      <c r="CG43" s="644"/>
      <c r="CH43" s="632" t="s">
        <v>504</v>
      </c>
      <c r="CI43" s="9"/>
      <c r="CJ43" s="9" t="s">
        <v>504</v>
      </c>
      <c r="CK43" s="9"/>
      <c r="CL43" s="9" t="s">
        <v>504</v>
      </c>
      <c r="CM43" s="644"/>
      <c r="CN43" s="9"/>
      <c r="CO43" s="644"/>
      <c r="CP43" s="9"/>
      <c r="CQ43" s="644"/>
      <c r="CR43" s="9" t="s">
        <v>500</v>
      </c>
      <c r="CS43" s="644"/>
      <c r="CT43" s="9" t="s">
        <v>500</v>
      </c>
      <c r="CU43" s="644"/>
      <c r="CV43" s="9" t="s">
        <v>504</v>
      </c>
      <c r="CW43" s="644"/>
      <c r="CX43" s="9" t="s">
        <v>500</v>
      </c>
      <c r="CY43" s="644"/>
      <c r="CZ43" s="9" t="s">
        <v>504</v>
      </c>
      <c r="DA43" s="644"/>
      <c r="DB43" s="9" t="s">
        <v>500</v>
      </c>
      <c r="DC43" s="644"/>
      <c r="DD43" s="9" t="s">
        <v>504</v>
      </c>
      <c r="DE43" s="644"/>
      <c r="DF43" s="644"/>
      <c r="DG43" s="644"/>
      <c r="DH43" s="9" t="s">
        <v>504</v>
      </c>
      <c r="DI43" s="644"/>
      <c r="DJ43" s="758" t="s">
        <v>500</v>
      </c>
      <c r="DK43" s="644"/>
      <c r="DL43" s="644"/>
      <c r="DM43" s="644"/>
      <c r="DN43" s="9" t="s">
        <v>504</v>
      </c>
      <c r="DO43" s="644"/>
      <c r="DP43" s="644"/>
      <c r="DQ43" s="644"/>
      <c r="DR43" s="644"/>
      <c r="DS43" s="644"/>
      <c r="DT43" s="644"/>
      <c r="DU43" s="644"/>
      <c r="DV43" s="9" t="s">
        <v>500</v>
      </c>
      <c r="DW43" s="644"/>
      <c r="DX43" s="9" t="s">
        <v>500</v>
      </c>
      <c r="DY43" s="644"/>
      <c r="DZ43" s="10" t="s">
        <v>465</v>
      </c>
      <c r="EA43" s="644"/>
      <c r="EB43" s="644"/>
      <c r="EC43" s="644"/>
      <c r="ED43" s="644"/>
      <c r="EE43" s="644"/>
      <c r="EF43" s="9" t="s">
        <v>500</v>
      </c>
      <c r="EG43" s="644"/>
      <c r="EH43" s="9" t="s">
        <v>500</v>
      </c>
      <c r="EI43" s="644"/>
      <c r="EJ43" s="644"/>
      <c r="EK43" s="644"/>
      <c r="EL43" s="644"/>
      <c r="EM43" s="644"/>
      <c r="EN43" s="9" t="s">
        <v>504</v>
      </c>
      <c r="EO43" s="644"/>
      <c r="EP43" s="9" t="s">
        <v>504</v>
      </c>
      <c r="EQ43" s="644"/>
      <c r="ER43" s="644"/>
      <c r="ES43" s="644"/>
      <c r="ET43" s="9" t="s">
        <v>504</v>
      </c>
      <c r="EU43" s="644"/>
      <c r="EV43" s="9" t="s">
        <v>500</v>
      </c>
      <c r="EW43" s="644"/>
      <c r="EX43" s="9" t="s">
        <v>504</v>
      </c>
      <c r="EY43" s="644"/>
      <c r="EZ43" s="697">
        <v>0</v>
      </c>
      <c r="FA43" s="644"/>
      <c r="FB43" s="697" t="s">
        <v>504</v>
      </c>
      <c r="FC43" s="644"/>
      <c r="FD43" s="9" t="s">
        <v>504</v>
      </c>
      <c r="FE43" s="644"/>
      <c r="FF43" s="9" t="s">
        <v>500</v>
      </c>
      <c r="FG43" s="644"/>
      <c r="FH43" s="9"/>
      <c r="FI43" s="644"/>
      <c r="FJ43" s="632" t="s">
        <v>500</v>
      </c>
      <c r="FK43" s="644"/>
      <c r="FL43" s="780" t="s">
        <v>500</v>
      </c>
      <c r="FM43" s="644"/>
      <c r="FN43" s="9" t="s">
        <v>504</v>
      </c>
      <c r="FO43" s="644"/>
      <c r="FP43" s="9" t="s">
        <v>471</v>
      </c>
      <c r="FQ43" s="644"/>
      <c r="FR43" s="644"/>
      <c r="FS43" s="644"/>
      <c r="FT43" s="644"/>
      <c r="FU43" s="644"/>
      <c r="FV43" s="644"/>
      <c r="FW43" s="644"/>
      <c r="FX43" s="9" t="s">
        <v>504</v>
      </c>
      <c r="FY43" s="644"/>
      <c r="FZ43" s="644"/>
      <c r="GA43" s="644"/>
      <c r="GB43" s="9" t="s">
        <v>500</v>
      </c>
      <c r="GC43" s="644"/>
      <c r="GD43" s="9" t="s">
        <v>500</v>
      </c>
      <c r="GE43" s="644"/>
      <c r="GF43" s="665" t="s">
        <v>500</v>
      </c>
      <c r="GG43" s="644"/>
      <c r="GH43" s="9" t="s">
        <v>504</v>
      </c>
      <c r="GI43" s="644"/>
      <c r="GJ43" s="760" t="s">
        <v>471</v>
      </c>
      <c r="GK43" s="644"/>
      <c r="GL43" s="9" t="s">
        <v>504</v>
      </c>
      <c r="GM43" s="644"/>
      <c r="GN43" s="9" t="s">
        <v>504</v>
      </c>
      <c r="GO43" s="644"/>
      <c r="GP43" s="9" t="s">
        <v>504</v>
      </c>
      <c r="GQ43" s="644"/>
      <c r="GR43" s="9" t="s">
        <v>500</v>
      </c>
      <c r="GS43" s="644"/>
      <c r="GT43" s="9" t="s">
        <v>500</v>
      </c>
      <c r="GU43" s="644"/>
      <c r="GV43" s="9" t="s">
        <v>500</v>
      </c>
      <c r="GW43" s="644"/>
      <c r="GX43" s="5" t="s">
        <v>504</v>
      </c>
      <c r="GY43" s="644"/>
      <c r="GZ43" s="9" t="s">
        <v>504</v>
      </c>
      <c r="HA43" s="644"/>
      <c r="HB43" s="9" t="s">
        <v>504</v>
      </c>
      <c r="HC43" s="644"/>
      <c r="HD43" s="9" t="s">
        <v>500</v>
      </c>
      <c r="HE43" s="644"/>
      <c r="HF43" s="9" t="s">
        <v>504</v>
      </c>
      <c r="HG43" s="644"/>
      <c r="HH43" s="9" t="s">
        <v>465</v>
      </c>
      <c r="HI43" s="644"/>
      <c r="HJ43" s="644"/>
      <c r="HK43" s="644"/>
      <c r="HL43" s="9" t="s">
        <v>500</v>
      </c>
      <c r="HM43" s="644"/>
      <c r="HN43" s="9" t="s">
        <v>500</v>
      </c>
      <c r="HO43" s="644"/>
      <c r="HP43" s="9" t="s">
        <v>656</v>
      </c>
      <c r="HQ43" s="644"/>
      <c r="HR43" s="9" t="s">
        <v>504</v>
      </c>
      <c r="HS43" s="644"/>
      <c r="HT43" s="633" t="s">
        <v>504</v>
      </c>
      <c r="HU43" s="644"/>
      <c r="HV43" s="9" t="s">
        <v>504</v>
      </c>
      <c r="HW43" s="644"/>
      <c r="HX43" s="9">
        <v>0</v>
      </c>
      <c r="HY43" s="644"/>
      <c r="HZ43" s="9" t="s">
        <v>504</v>
      </c>
      <c r="IA43" s="644"/>
      <c r="IB43" s="644"/>
      <c r="IC43" s="644"/>
      <c r="ID43" s="9" t="s">
        <v>504</v>
      </c>
      <c r="IE43" s="644"/>
      <c r="IF43" s="5" t="s">
        <v>500</v>
      </c>
      <c r="IG43" s="756"/>
      <c r="IH43" s="9" t="s">
        <v>504</v>
      </c>
      <c r="II43" s="644"/>
      <c r="IJ43" s="644"/>
      <c r="IK43" s="644"/>
      <c r="IL43" s="633" t="s">
        <v>500</v>
      </c>
      <c r="IM43" s="644"/>
      <c r="IN43" s="634" t="s">
        <v>504</v>
      </c>
      <c r="IO43" s="644"/>
      <c r="IP43" s="9" t="s">
        <v>741</v>
      </c>
      <c r="IQ43" s="644"/>
      <c r="IR43" s="9" t="s">
        <v>504</v>
      </c>
      <c r="IS43" s="644"/>
      <c r="IT43" s="20" t="s">
        <v>1075</v>
      </c>
      <c r="IU43" s="644"/>
      <c r="IV43" s="9" t="s">
        <v>500</v>
      </c>
      <c r="IW43" s="644"/>
      <c r="IX43" s="632" t="s">
        <v>504</v>
      </c>
      <c r="IY43" s="644"/>
      <c r="IZ43" s="9" t="s">
        <v>500</v>
      </c>
      <c r="JA43" s="644"/>
      <c r="JB43" s="9"/>
      <c r="JC43" s="644"/>
      <c r="JD43" s="9" t="s">
        <v>471</v>
      </c>
      <c r="JE43" s="644"/>
      <c r="JF43" s="644"/>
      <c r="JG43" s="644"/>
      <c r="JH43" s="9" t="s">
        <v>504</v>
      </c>
      <c r="JI43" s="644"/>
      <c r="JJ43" s="644"/>
      <c r="JK43" s="644"/>
      <c r="JL43" s="644"/>
      <c r="JM43" s="644"/>
      <c r="JN43" s="9" t="s">
        <v>504</v>
      </c>
      <c r="JO43" s="644"/>
      <c r="JP43" s="644"/>
      <c r="JQ43" s="644"/>
      <c r="JR43" s="20" t="s">
        <v>504</v>
      </c>
      <c r="JS43" s="644"/>
      <c r="JT43" s="9" t="s">
        <v>500</v>
      </c>
      <c r="JU43" s="644"/>
      <c r="JV43" s="9" t="s">
        <v>500</v>
      </c>
      <c r="JW43" s="644"/>
      <c r="JX43" s="9" t="s">
        <v>500</v>
      </c>
      <c r="JY43" s="644"/>
    </row>
    <row r="44" spans="1:285" ht="51.95" customHeight="1" x14ac:dyDescent="0.2">
      <c r="A44" s="1565"/>
      <c r="B44" s="1571"/>
      <c r="C44" s="82" t="s">
        <v>102</v>
      </c>
      <c r="D44" s="83" t="s">
        <v>46</v>
      </c>
      <c r="E44" s="755" t="s">
        <v>48</v>
      </c>
      <c r="F44" s="9" t="s">
        <v>1652</v>
      </c>
      <c r="G44" s="756"/>
      <c r="H44" s="9" t="s">
        <v>2250</v>
      </c>
      <c r="I44" s="644"/>
      <c r="J44" s="9" t="s">
        <v>2268</v>
      </c>
      <c r="K44" s="644"/>
      <c r="L44" s="9" t="s">
        <v>2285</v>
      </c>
      <c r="M44" s="644"/>
      <c r="N44" s="757" t="s">
        <v>472</v>
      </c>
      <c r="O44" s="644"/>
      <c r="P44" s="84" t="s">
        <v>501</v>
      </c>
      <c r="Q44" s="644"/>
      <c r="R44" s="9" t="s">
        <v>521</v>
      </c>
      <c r="S44" s="644"/>
      <c r="T44" s="644"/>
      <c r="U44" s="644"/>
      <c r="V44" s="644"/>
      <c r="W44" s="644"/>
      <c r="X44" s="644"/>
      <c r="Y44" s="644"/>
      <c r="Z44" s="5" t="s">
        <v>2300</v>
      </c>
      <c r="AA44" s="644"/>
      <c r="AB44" s="5" t="s">
        <v>2326</v>
      </c>
      <c r="AC44" s="644"/>
      <c r="AD44" s="9" t="s">
        <v>465</v>
      </c>
      <c r="AE44" s="644"/>
      <c r="AF44" s="644"/>
      <c r="AG44" s="644"/>
      <c r="AH44" s="644"/>
      <c r="AI44" s="644"/>
      <c r="AJ44" s="84" t="s">
        <v>504</v>
      </c>
      <c r="AK44" s="644"/>
      <c r="AL44" s="9"/>
      <c r="AM44" s="644"/>
      <c r="AN44" s="9"/>
      <c r="AO44" s="644"/>
      <c r="AP44" s="9" t="s">
        <v>996</v>
      </c>
      <c r="AQ44" s="644"/>
      <c r="AR44" s="9"/>
      <c r="AS44" s="644"/>
      <c r="AT44" s="9"/>
      <c r="AU44" s="644"/>
      <c r="AV44" s="757" t="s">
        <v>578</v>
      </c>
      <c r="AW44" s="644"/>
      <c r="AX44" s="9" t="s">
        <v>539</v>
      </c>
      <c r="AY44" s="644"/>
      <c r="AZ44" s="11"/>
      <c r="BA44" s="644"/>
      <c r="BB44" s="644"/>
      <c r="BC44" s="644"/>
      <c r="BD44" s="5"/>
      <c r="BE44" s="644"/>
      <c r="BF44" s="9"/>
      <c r="BG44" s="644"/>
      <c r="BH44" s="644"/>
      <c r="BI44" s="644"/>
      <c r="BJ44" s="9" t="s">
        <v>791</v>
      </c>
      <c r="BK44" s="644"/>
      <c r="BL44" s="9" t="s">
        <v>1026</v>
      </c>
      <c r="BM44" s="644"/>
      <c r="BN44" s="9">
        <v>0</v>
      </c>
      <c r="BO44" s="644"/>
      <c r="BP44" s="632"/>
      <c r="BQ44" s="644"/>
      <c r="BR44" s="9"/>
      <c r="BS44" s="644"/>
      <c r="BT44" s="9"/>
      <c r="BU44" s="644"/>
      <c r="BV44" s="9"/>
      <c r="BW44" s="644"/>
      <c r="BX44" s="9" t="s">
        <v>2151</v>
      </c>
      <c r="BY44" s="644"/>
      <c r="BZ44" s="9" t="s">
        <v>2168</v>
      </c>
      <c r="CA44" s="644"/>
      <c r="CB44" s="9" t="s">
        <v>903</v>
      </c>
      <c r="CC44" s="644"/>
      <c r="CD44" s="644"/>
      <c r="CE44" s="644"/>
      <c r="CF44" s="644"/>
      <c r="CG44" s="644"/>
      <c r="CH44" s="632" t="s">
        <v>465</v>
      </c>
      <c r="CI44" s="9"/>
      <c r="CJ44" s="9" t="s">
        <v>465</v>
      </c>
      <c r="CK44" s="9"/>
      <c r="CL44" s="9" t="s">
        <v>504</v>
      </c>
      <c r="CM44" s="644"/>
      <c r="CN44" s="9"/>
      <c r="CO44" s="644"/>
      <c r="CP44" s="9"/>
      <c r="CQ44" s="644"/>
      <c r="CR44" s="9" t="s">
        <v>2450</v>
      </c>
      <c r="CS44" s="644"/>
      <c r="CT44" s="9" t="s">
        <v>2219</v>
      </c>
      <c r="CU44" s="644"/>
      <c r="CV44" s="9" t="s">
        <v>465</v>
      </c>
      <c r="CW44" s="644"/>
      <c r="CX44" s="9" t="s">
        <v>838</v>
      </c>
      <c r="CY44" s="644"/>
      <c r="CZ44" s="9" t="s">
        <v>465</v>
      </c>
      <c r="DA44" s="644"/>
      <c r="DB44" s="9" t="s">
        <v>838</v>
      </c>
      <c r="DC44" s="644"/>
      <c r="DD44" s="9"/>
      <c r="DE44" s="644"/>
      <c r="DF44" s="644"/>
      <c r="DG44" s="644"/>
      <c r="DH44" s="9"/>
      <c r="DI44" s="644"/>
      <c r="DJ44" s="758" t="s">
        <v>888</v>
      </c>
      <c r="DK44" s="644"/>
      <c r="DL44" s="644"/>
      <c r="DM44" s="644"/>
      <c r="DN44" s="9"/>
      <c r="DO44" s="644"/>
      <c r="DP44" s="644"/>
      <c r="DQ44" s="644"/>
      <c r="DR44" s="644"/>
      <c r="DS44" s="644"/>
      <c r="DT44" s="644"/>
      <c r="DU44" s="644"/>
      <c r="DV44" s="9" t="s">
        <v>1165</v>
      </c>
      <c r="DW44" s="644"/>
      <c r="DX44" s="9" t="s">
        <v>1165</v>
      </c>
      <c r="DY44" s="644"/>
      <c r="DZ44" s="11" t="s">
        <v>465</v>
      </c>
      <c r="EA44" s="644"/>
      <c r="EB44" s="644"/>
      <c r="EC44" s="644"/>
      <c r="ED44" s="644"/>
      <c r="EE44" s="644"/>
      <c r="EF44" s="9" t="s">
        <v>2036</v>
      </c>
      <c r="EG44" s="644"/>
      <c r="EH44" s="9" t="s">
        <v>2057</v>
      </c>
      <c r="EI44" s="644"/>
      <c r="EJ44" s="644"/>
      <c r="EK44" s="644"/>
      <c r="EL44" s="644"/>
      <c r="EM44" s="644"/>
      <c r="EN44" s="9"/>
      <c r="EO44" s="644"/>
      <c r="EP44" s="9" t="s">
        <v>504</v>
      </c>
      <c r="EQ44" s="644"/>
      <c r="ER44" s="644"/>
      <c r="ES44" s="644"/>
      <c r="ET44" s="9" t="s">
        <v>465</v>
      </c>
      <c r="EU44" s="644"/>
      <c r="EV44" s="9" t="s">
        <v>1468</v>
      </c>
      <c r="EW44" s="644"/>
      <c r="EX44" s="9" t="s">
        <v>465</v>
      </c>
      <c r="EY44" s="644"/>
      <c r="EZ44" s="9">
        <v>0</v>
      </c>
      <c r="FA44" s="644"/>
      <c r="FB44" s="9">
        <v>0</v>
      </c>
      <c r="FC44" s="644"/>
      <c r="FD44" s="9" t="s">
        <v>465</v>
      </c>
      <c r="FE44" s="644"/>
      <c r="FF44" s="9" t="s">
        <v>1546</v>
      </c>
      <c r="FG44" s="644"/>
      <c r="FH44" s="9"/>
      <c r="FI44" s="644"/>
      <c r="FJ44" s="632" t="s">
        <v>838</v>
      </c>
      <c r="FK44" s="644"/>
      <c r="FL44" s="780" t="s">
        <v>1598</v>
      </c>
      <c r="FM44" s="644"/>
      <c r="FN44" s="9"/>
      <c r="FO44" s="644"/>
      <c r="FP44" s="9" t="s">
        <v>673</v>
      </c>
      <c r="FQ44" s="644"/>
      <c r="FR44" s="644"/>
      <c r="FS44" s="644"/>
      <c r="FT44" s="644"/>
      <c r="FU44" s="644"/>
      <c r="FV44" s="644"/>
      <c r="FW44" s="644"/>
      <c r="FX44" s="9" t="s">
        <v>465</v>
      </c>
      <c r="FY44" s="644"/>
      <c r="FZ44" s="644"/>
      <c r="GA44" s="644"/>
      <c r="GB44" s="9" t="s">
        <v>1635</v>
      </c>
      <c r="GC44" s="644"/>
      <c r="GD44" s="9" t="s">
        <v>2509</v>
      </c>
      <c r="GE44" s="644"/>
      <c r="GF44" s="684" t="s">
        <v>1995</v>
      </c>
      <c r="GG44" s="644"/>
      <c r="GH44" s="9" t="s">
        <v>2014</v>
      </c>
      <c r="GI44" s="644"/>
      <c r="GJ44" s="760" t="s">
        <v>1678</v>
      </c>
      <c r="GK44" s="644"/>
      <c r="GL44" s="9"/>
      <c r="GM44" s="644"/>
      <c r="GN44" s="9"/>
      <c r="GO44" s="644"/>
      <c r="GP44" s="9"/>
      <c r="GQ44" s="644"/>
      <c r="GR44" s="9" t="s">
        <v>1950</v>
      </c>
      <c r="GS44" s="644"/>
      <c r="GT44" s="9"/>
      <c r="GU44" s="644"/>
      <c r="GV44" s="9" t="s">
        <v>1890</v>
      </c>
      <c r="GW44" s="644"/>
      <c r="GX44" s="9"/>
      <c r="GY44" s="644"/>
      <c r="GZ44" s="9" t="s">
        <v>1920</v>
      </c>
      <c r="HA44" s="644"/>
      <c r="HB44" s="9"/>
      <c r="HC44" s="644"/>
      <c r="HD44" s="9" t="s">
        <v>1828</v>
      </c>
      <c r="HE44" s="644"/>
      <c r="HF44" s="9"/>
      <c r="HG44" s="644"/>
      <c r="HH44" s="9" t="s">
        <v>465</v>
      </c>
      <c r="HI44" s="644"/>
      <c r="HJ44" s="644"/>
      <c r="HK44" s="644"/>
      <c r="HL44" s="9" t="s">
        <v>1755</v>
      </c>
      <c r="HM44" s="644"/>
      <c r="HN44" s="9" t="s">
        <v>1775</v>
      </c>
      <c r="HO44" s="644"/>
      <c r="HP44" s="9" t="s">
        <v>1281</v>
      </c>
      <c r="HQ44" s="644"/>
      <c r="HR44" s="9"/>
      <c r="HS44" s="644"/>
      <c r="HT44" s="656" t="s">
        <v>702</v>
      </c>
      <c r="HU44" s="644"/>
      <c r="HV44" s="9"/>
      <c r="HW44" s="644"/>
      <c r="HX44" s="9">
        <v>0</v>
      </c>
      <c r="HY44" s="644"/>
      <c r="HZ44" s="9"/>
      <c r="IA44" s="644"/>
      <c r="IB44" s="644"/>
      <c r="IC44" s="644"/>
      <c r="ID44" s="9" t="s">
        <v>702</v>
      </c>
      <c r="IE44" s="644"/>
      <c r="IF44" s="5" t="s">
        <v>1251</v>
      </c>
      <c r="IG44" s="756"/>
      <c r="IH44" s="9"/>
      <c r="II44" s="644"/>
      <c r="IJ44" s="644"/>
      <c r="IK44" s="644"/>
      <c r="IL44" s="651" t="s">
        <v>1344</v>
      </c>
      <c r="IM44" s="644"/>
      <c r="IN44" s="634" t="s">
        <v>465</v>
      </c>
      <c r="IO44" s="644"/>
      <c r="IP44" s="9" t="s">
        <v>742</v>
      </c>
      <c r="IQ44" s="644"/>
      <c r="IR44" s="9"/>
      <c r="IS44" s="644"/>
      <c r="IT44" s="9" t="s">
        <v>1076</v>
      </c>
      <c r="IU44" s="644"/>
      <c r="IV44" s="9" t="s">
        <v>838</v>
      </c>
      <c r="IW44" s="644"/>
      <c r="IX44" s="632" t="s">
        <v>1104</v>
      </c>
      <c r="IY44" s="644"/>
      <c r="IZ44" s="9" t="s">
        <v>1376</v>
      </c>
      <c r="JA44" s="644"/>
      <c r="JB44" s="9"/>
      <c r="JC44" s="644"/>
      <c r="JD44" s="9" t="s">
        <v>1413</v>
      </c>
      <c r="JE44" s="644"/>
      <c r="JF44" s="644"/>
      <c r="JG44" s="644"/>
      <c r="JH44" s="9" t="s">
        <v>504</v>
      </c>
      <c r="JI44" s="644"/>
      <c r="JJ44" s="644"/>
      <c r="JK44" s="644"/>
      <c r="JL44" s="644"/>
      <c r="JM44" s="644"/>
      <c r="JN44" s="9" t="s">
        <v>504</v>
      </c>
      <c r="JO44" s="644"/>
      <c r="JP44" s="644"/>
      <c r="JQ44" s="644"/>
      <c r="JR44" s="20" t="s">
        <v>465</v>
      </c>
      <c r="JS44" s="644"/>
      <c r="JT44" s="9" t="s">
        <v>1128</v>
      </c>
      <c r="JU44" s="644"/>
      <c r="JV44" s="9" t="s">
        <v>2543</v>
      </c>
      <c r="JW44" s="644"/>
      <c r="JX44" s="9" t="s">
        <v>711</v>
      </c>
      <c r="JY44" s="644"/>
    </row>
    <row r="45" spans="1:285" ht="30.75" customHeight="1" x14ac:dyDescent="0.2">
      <c r="A45" s="1565"/>
      <c r="B45" s="1571"/>
      <c r="C45" s="87" t="s">
        <v>233</v>
      </c>
      <c r="D45" s="88" t="s">
        <v>249</v>
      </c>
      <c r="E45" s="799" t="s">
        <v>152</v>
      </c>
      <c r="F45" s="9">
        <v>0.98599999999999999</v>
      </c>
      <c r="G45" s="756"/>
      <c r="H45" s="9" t="s">
        <v>465</v>
      </c>
      <c r="I45" s="644"/>
      <c r="J45" s="9" t="s">
        <v>465</v>
      </c>
      <c r="K45" s="644"/>
      <c r="L45" s="9">
        <v>3.5419399999999999</v>
      </c>
      <c r="M45" s="644"/>
      <c r="N45" s="757"/>
      <c r="O45" s="644"/>
      <c r="P45" s="84"/>
      <c r="Q45" s="644"/>
      <c r="R45" s="9">
        <v>5.9080000000000004</v>
      </c>
      <c r="S45" s="644"/>
      <c r="T45" s="644"/>
      <c r="U45" s="644"/>
      <c r="V45" s="644"/>
      <c r="W45" s="644"/>
      <c r="X45" s="644"/>
      <c r="Y45" s="644"/>
      <c r="Z45" s="9" t="s">
        <v>465</v>
      </c>
      <c r="AA45" s="644"/>
      <c r="AB45" s="9" t="s">
        <v>465</v>
      </c>
      <c r="AC45" s="644"/>
      <c r="AD45" s="9" t="s">
        <v>465</v>
      </c>
      <c r="AE45" s="644"/>
      <c r="AF45" s="644"/>
      <c r="AG45" s="644"/>
      <c r="AH45" s="644"/>
      <c r="AI45" s="644"/>
      <c r="AJ45" s="84">
        <v>0</v>
      </c>
      <c r="AK45" s="644"/>
      <c r="AL45" s="9"/>
      <c r="AM45" s="644"/>
      <c r="AN45" s="9"/>
      <c r="AO45" s="644"/>
      <c r="AP45" s="9" t="s">
        <v>997</v>
      </c>
      <c r="AQ45" s="644"/>
      <c r="AR45" s="9"/>
      <c r="AS45" s="644"/>
      <c r="AT45" s="9"/>
      <c r="AU45" s="644"/>
      <c r="AV45" s="757" t="s">
        <v>465</v>
      </c>
      <c r="AW45" s="644"/>
      <c r="AX45" s="9" t="s">
        <v>540</v>
      </c>
      <c r="AY45" s="644"/>
      <c r="AZ45" s="9"/>
      <c r="BA45" s="644"/>
      <c r="BB45" s="644"/>
      <c r="BC45" s="644"/>
      <c r="BD45" s="5"/>
      <c r="BE45" s="644"/>
      <c r="BF45" s="9"/>
      <c r="BG45" s="644"/>
      <c r="BH45" s="644"/>
      <c r="BI45" s="644"/>
      <c r="BJ45" s="9">
        <f>1.8+0.12</f>
        <v>1.92</v>
      </c>
      <c r="BK45" s="644"/>
      <c r="BL45" s="9" t="s">
        <v>997</v>
      </c>
      <c r="BM45" s="644"/>
      <c r="BN45" s="9">
        <v>0</v>
      </c>
      <c r="BO45" s="644"/>
      <c r="BP45" s="632">
        <v>0</v>
      </c>
      <c r="BQ45" s="644"/>
      <c r="BR45" s="9"/>
      <c r="BS45" s="644"/>
      <c r="BT45" s="9"/>
      <c r="BU45" s="644"/>
      <c r="BV45" s="9"/>
      <c r="BW45" s="644"/>
      <c r="BX45" s="632">
        <v>10.019</v>
      </c>
      <c r="BY45" s="644"/>
      <c r="BZ45" s="632">
        <v>0.41399999999999998</v>
      </c>
      <c r="CA45" s="644"/>
      <c r="CB45" s="4">
        <v>8.5519999999999996</v>
      </c>
      <c r="CC45" s="644"/>
      <c r="CD45" s="644"/>
      <c r="CE45" s="644"/>
      <c r="CF45" s="644"/>
      <c r="CG45" s="644"/>
      <c r="CH45" s="632" t="s">
        <v>465</v>
      </c>
      <c r="CI45" s="9"/>
      <c r="CJ45" s="9" t="s">
        <v>465</v>
      </c>
      <c r="CK45" s="9"/>
      <c r="CL45" s="9">
        <v>0</v>
      </c>
      <c r="CM45" s="644"/>
      <c r="CN45" s="9"/>
      <c r="CO45" s="644"/>
      <c r="CP45" s="9"/>
      <c r="CQ45" s="644"/>
      <c r="CR45" s="9">
        <v>12.2</v>
      </c>
      <c r="CS45" s="644"/>
      <c r="CT45" s="9" t="s">
        <v>997</v>
      </c>
      <c r="CU45" s="644"/>
      <c r="CV45" s="9" t="s">
        <v>465</v>
      </c>
      <c r="CW45" s="644"/>
      <c r="CX45" s="9" t="s">
        <v>465</v>
      </c>
      <c r="CY45" s="644"/>
      <c r="CZ45" s="9" t="s">
        <v>465</v>
      </c>
      <c r="DA45" s="644"/>
      <c r="DB45" s="9" t="s">
        <v>465</v>
      </c>
      <c r="DC45" s="644"/>
      <c r="DD45" s="9"/>
      <c r="DE45" s="644"/>
      <c r="DF45" s="644"/>
      <c r="DG45" s="644"/>
      <c r="DH45" s="9"/>
      <c r="DI45" s="644"/>
      <c r="DJ45" s="786">
        <f>3975.9/1000</f>
        <v>3.9759000000000002</v>
      </c>
      <c r="DK45" s="644"/>
      <c r="DL45" s="644"/>
      <c r="DM45" s="644"/>
      <c r="DN45" s="9"/>
      <c r="DO45" s="644"/>
      <c r="DP45" s="644"/>
      <c r="DQ45" s="644"/>
      <c r="DR45" s="644"/>
      <c r="DS45" s="644"/>
      <c r="DT45" s="644"/>
      <c r="DU45" s="644"/>
      <c r="DV45" s="9">
        <v>3.8519999999999999</v>
      </c>
      <c r="DW45" s="644"/>
      <c r="DX45" s="9">
        <v>4.0730000000000004</v>
      </c>
      <c r="DY45" s="644"/>
      <c r="DZ45" s="9" t="s">
        <v>465</v>
      </c>
      <c r="EA45" s="644"/>
      <c r="EB45" s="644"/>
      <c r="EC45" s="644"/>
      <c r="ED45" s="644"/>
      <c r="EE45" s="644"/>
      <c r="EF45" s="15">
        <v>0</v>
      </c>
      <c r="EG45" s="644"/>
      <c r="EH45" s="10">
        <v>1.810427</v>
      </c>
      <c r="EI45" s="644"/>
      <c r="EJ45" s="644"/>
      <c r="EK45" s="644"/>
      <c r="EL45" s="644"/>
      <c r="EM45" s="644"/>
      <c r="EN45" s="9"/>
      <c r="EO45" s="644"/>
      <c r="EP45" s="9" t="s">
        <v>504</v>
      </c>
      <c r="EQ45" s="644"/>
      <c r="ER45" s="644"/>
      <c r="ES45" s="644"/>
      <c r="ET45" s="9" t="s">
        <v>465</v>
      </c>
      <c r="EU45" s="644"/>
      <c r="EV45" s="9" t="s">
        <v>465</v>
      </c>
      <c r="EW45" s="644"/>
      <c r="EX45" s="9" t="s">
        <v>465</v>
      </c>
      <c r="EY45" s="644"/>
      <c r="EZ45" s="9">
        <v>0</v>
      </c>
      <c r="FA45" s="644"/>
      <c r="FB45" s="9">
        <v>0</v>
      </c>
      <c r="FC45" s="644"/>
      <c r="FD45" s="9">
        <v>0</v>
      </c>
      <c r="FE45" s="644"/>
      <c r="FF45" s="9">
        <v>9.1159999999999997</v>
      </c>
      <c r="FG45" s="644"/>
      <c r="FH45" s="9"/>
      <c r="FI45" s="644"/>
      <c r="FJ45" s="632"/>
      <c r="FK45" s="644"/>
      <c r="FL45" s="800">
        <v>8.1999999999999993</v>
      </c>
      <c r="FM45" s="644"/>
      <c r="FN45" s="9"/>
      <c r="FO45" s="644"/>
      <c r="FP45" s="9"/>
      <c r="FQ45" s="644"/>
      <c r="FR45" s="644"/>
      <c r="FS45" s="644"/>
      <c r="FT45" s="644"/>
      <c r="FU45" s="644"/>
      <c r="FV45" s="644"/>
      <c r="FW45" s="644"/>
      <c r="FX45" s="9" t="s">
        <v>465</v>
      </c>
      <c r="FY45" s="644"/>
      <c r="FZ45" s="644"/>
      <c r="GA45" s="644"/>
      <c r="GB45" s="9"/>
      <c r="GC45" s="644"/>
      <c r="GD45" s="9" t="s">
        <v>2499</v>
      </c>
      <c r="GE45" s="644"/>
      <c r="GF45" s="673">
        <v>2.5259999999999998</v>
      </c>
      <c r="GG45" s="644"/>
      <c r="GH45" s="9">
        <v>0</v>
      </c>
      <c r="GI45" s="644"/>
      <c r="GJ45" s="780" t="s">
        <v>465</v>
      </c>
      <c r="GK45" s="644"/>
      <c r="GL45" s="9"/>
      <c r="GM45" s="644"/>
      <c r="GN45" s="9"/>
      <c r="GO45" s="644"/>
      <c r="GP45" s="9"/>
      <c r="GQ45" s="644"/>
      <c r="GR45" s="9">
        <f>11.326+24.563</f>
        <v>35.888999999999996</v>
      </c>
      <c r="GS45" s="644"/>
      <c r="GT45" s="9">
        <v>142.09</v>
      </c>
      <c r="GU45" s="644"/>
      <c r="GV45" s="10">
        <v>0.63</v>
      </c>
      <c r="GW45" s="644"/>
      <c r="GX45" s="9"/>
      <c r="GY45" s="644"/>
      <c r="GZ45" s="9">
        <v>0</v>
      </c>
      <c r="HA45" s="644"/>
      <c r="HB45" s="9"/>
      <c r="HC45" s="644"/>
      <c r="HD45" s="9"/>
      <c r="HE45" s="644"/>
      <c r="HF45" s="9"/>
      <c r="HG45" s="644"/>
      <c r="HH45" s="9" t="s">
        <v>465</v>
      </c>
      <c r="HI45" s="644"/>
      <c r="HJ45" s="644"/>
      <c r="HK45" s="644"/>
      <c r="HL45" s="9" t="s">
        <v>997</v>
      </c>
      <c r="HM45" s="644"/>
      <c r="HN45" s="9">
        <v>54.271000000000001</v>
      </c>
      <c r="HO45" s="644"/>
      <c r="HP45" s="10">
        <v>12.6</v>
      </c>
      <c r="HQ45" s="644"/>
      <c r="HR45" s="9"/>
      <c r="HS45" s="644"/>
      <c r="HT45" s="656" t="s">
        <v>702</v>
      </c>
      <c r="HU45" s="644"/>
      <c r="HV45" s="9"/>
      <c r="HW45" s="644"/>
      <c r="HX45" s="9">
        <v>0</v>
      </c>
      <c r="HY45" s="644"/>
      <c r="HZ45" s="9"/>
      <c r="IA45" s="644"/>
      <c r="IB45" s="644"/>
      <c r="IC45" s="644"/>
      <c r="ID45" s="10">
        <v>0</v>
      </c>
      <c r="IE45" s="644"/>
      <c r="IF45" s="9" t="s">
        <v>997</v>
      </c>
      <c r="IG45" s="756"/>
      <c r="IH45" s="9"/>
      <c r="II45" s="644"/>
      <c r="IJ45" s="644"/>
      <c r="IK45" s="644"/>
      <c r="IL45" s="674">
        <v>13.247999999999999</v>
      </c>
      <c r="IM45" s="644"/>
      <c r="IN45" s="634">
        <v>0</v>
      </c>
      <c r="IO45" s="644"/>
      <c r="IP45" s="9"/>
      <c r="IQ45" s="644"/>
      <c r="IR45" s="9"/>
      <c r="IS45" s="644"/>
      <c r="IT45" s="9">
        <v>0.06</v>
      </c>
      <c r="IU45" s="644"/>
      <c r="IV45" s="9">
        <v>0</v>
      </c>
      <c r="IW45" s="644"/>
      <c r="IX45" s="632" t="s">
        <v>1104</v>
      </c>
      <c r="IY45" s="644"/>
      <c r="IZ45" s="9"/>
      <c r="JA45" s="644"/>
      <c r="JB45" s="9"/>
      <c r="JC45" s="644"/>
      <c r="JD45" s="801">
        <v>12.721</v>
      </c>
      <c r="JE45" s="644"/>
      <c r="JF45" s="644"/>
      <c r="JG45" s="644"/>
      <c r="JH45" s="9" t="s">
        <v>504</v>
      </c>
      <c r="JI45" s="644"/>
      <c r="JJ45" s="644"/>
      <c r="JK45" s="644"/>
      <c r="JL45" s="644"/>
      <c r="JM45" s="644"/>
      <c r="JN45" s="9">
        <v>0</v>
      </c>
      <c r="JO45" s="644"/>
      <c r="JP45" s="644"/>
      <c r="JQ45" s="644"/>
      <c r="JR45" s="20" t="s">
        <v>465</v>
      </c>
      <c r="JS45" s="644"/>
      <c r="JT45" s="9" t="s">
        <v>465</v>
      </c>
      <c r="JU45" s="644"/>
      <c r="JV45" s="9">
        <v>1.21</v>
      </c>
      <c r="JW45" s="644"/>
      <c r="JX45" s="9" t="s">
        <v>702</v>
      </c>
      <c r="JY45" s="644"/>
    </row>
    <row r="46" spans="1:285" ht="39.75" customHeight="1" thickBot="1" x14ac:dyDescent="0.25">
      <c r="A46" s="1574"/>
      <c r="B46" s="1573"/>
      <c r="C46" s="85" t="s">
        <v>234</v>
      </c>
      <c r="D46" s="86" t="s">
        <v>235</v>
      </c>
      <c r="E46" s="755" t="s">
        <v>52</v>
      </c>
      <c r="F46" s="11">
        <v>6.7799999999999999E-2</v>
      </c>
      <c r="G46" s="756"/>
      <c r="H46" s="11" t="s">
        <v>465</v>
      </c>
      <c r="I46" s="644"/>
      <c r="J46" s="11" t="s">
        <v>465</v>
      </c>
      <c r="K46" s="644"/>
      <c r="L46" s="11">
        <f>L45*100%/L27</f>
        <v>0.1291204503241738</v>
      </c>
      <c r="M46" s="644"/>
      <c r="N46" s="791"/>
      <c r="O46" s="644"/>
      <c r="P46" s="681"/>
      <c r="Q46" s="644"/>
      <c r="R46" s="11">
        <v>3.2000000000000001E-2</v>
      </c>
      <c r="S46" s="644"/>
      <c r="T46" s="644"/>
      <c r="U46" s="644"/>
      <c r="V46" s="644"/>
      <c r="W46" s="644"/>
      <c r="X46" s="644"/>
      <c r="Y46" s="644"/>
      <c r="Z46" s="11" t="s">
        <v>465</v>
      </c>
      <c r="AA46" s="644"/>
      <c r="AB46" s="11" t="s">
        <v>465</v>
      </c>
      <c r="AC46" s="644"/>
      <c r="AD46" s="11" t="s">
        <v>465</v>
      </c>
      <c r="AE46" s="644"/>
      <c r="AF46" s="644"/>
      <c r="AG46" s="644"/>
      <c r="AH46" s="644"/>
      <c r="AI46" s="644"/>
      <c r="AJ46" s="681">
        <v>0</v>
      </c>
      <c r="AK46" s="644"/>
      <c r="AL46" s="11"/>
      <c r="AM46" s="644"/>
      <c r="AN46" s="11"/>
      <c r="AO46" s="644"/>
      <c r="AP46" s="11"/>
      <c r="AQ46" s="644"/>
      <c r="AR46" s="11"/>
      <c r="AS46" s="644"/>
      <c r="AT46" s="11"/>
      <c r="AU46" s="644"/>
      <c r="AV46" s="791"/>
      <c r="AW46" s="644"/>
      <c r="AX46" s="11">
        <f>5.557/AX27</f>
        <v>2.7340054286514127E-2</v>
      </c>
      <c r="AY46" s="644"/>
      <c r="AZ46" s="11"/>
      <c r="BA46" s="644"/>
      <c r="BB46" s="644"/>
      <c r="BC46" s="644"/>
      <c r="BD46" s="5"/>
      <c r="BE46" s="644"/>
      <c r="BF46" s="11"/>
      <c r="BG46" s="644"/>
      <c r="BH46" s="644"/>
      <c r="BI46" s="644"/>
      <c r="BJ46" s="11"/>
      <c r="BK46" s="644"/>
      <c r="BL46" s="9" t="s">
        <v>997</v>
      </c>
      <c r="BM46" s="644"/>
      <c r="BN46" s="11">
        <v>0</v>
      </c>
      <c r="BO46" s="644"/>
      <c r="BP46" s="683">
        <v>0</v>
      </c>
      <c r="BQ46" s="644"/>
      <c r="BR46" s="11"/>
      <c r="BS46" s="644"/>
      <c r="BT46" s="11"/>
      <c r="BU46" s="644"/>
      <c r="BV46" s="11"/>
      <c r="BW46" s="644"/>
      <c r="BX46" s="683">
        <f>BX45/13.258</f>
        <v>0.75569467491326003</v>
      </c>
      <c r="BY46" s="644"/>
      <c r="BZ46" s="683">
        <f>BZ45/13.258</f>
        <v>3.1226429325690148E-2</v>
      </c>
      <c r="CA46" s="644"/>
      <c r="CB46" s="11"/>
      <c r="CC46" s="644"/>
      <c r="CD46" s="644"/>
      <c r="CE46" s="644"/>
      <c r="CF46" s="644"/>
      <c r="CG46" s="644"/>
      <c r="CH46" s="683" t="s">
        <v>465</v>
      </c>
      <c r="CI46" s="11"/>
      <c r="CJ46" s="11" t="s">
        <v>465</v>
      </c>
      <c r="CK46" s="11"/>
      <c r="CL46" s="11">
        <v>0</v>
      </c>
      <c r="CM46" s="644"/>
      <c r="CN46" s="11"/>
      <c r="CO46" s="644"/>
      <c r="CP46" s="11"/>
      <c r="CQ46" s="644"/>
      <c r="CR46" s="11" t="s">
        <v>997</v>
      </c>
      <c r="CS46" s="644"/>
      <c r="CT46" s="11"/>
      <c r="CU46" s="644"/>
      <c r="CV46" s="11" t="s">
        <v>465</v>
      </c>
      <c r="CW46" s="644"/>
      <c r="CX46" s="11" t="s">
        <v>465</v>
      </c>
      <c r="CY46" s="644"/>
      <c r="CZ46" s="11" t="s">
        <v>465</v>
      </c>
      <c r="DA46" s="644"/>
      <c r="DB46" s="11" t="s">
        <v>465</v>
      </c>
      <c r="DC46" s="644"/>
      <c r="DD46" s="11"/>
      <c r="DE46" s="644"/>
      <c r="DF46" s="644"/>
      <c r="DG46" s="644"/>
      <c r="DH46" s="11"/>
      <c r="DI46" s="644"/>
      <c r="DJ46" s="792">
        <f>DJ45/DJ27</f>
        <v>0.30881035739950291</v>
      </c>
      <c r="DK46" s="644"/>
      <c r="DL46" s="644"/>
      <c r="DM46" s="644"/>
      <c r="DN46" s="11"/>
      <c r="DO46" s="644"/>
      <c r="DP46" s="644"/>
      <c r="DQ46" s="644"/>
      <c r="DR46" s="644"/>
      <c r="DS46" s="644"/>
      <c r="DT46" s="644"/>
      <c r="DU46" s="644"/>
      <c r="DV46" s="11" t="s">
        <v>1166</v>
      </c>
      <c r="DW46" s="644"/>
      <c r="DX46" s="11" t="s">
        <v>1166</v>
      </c>
      <c r="DY46" s="644"/>
      <c r="DZ46" s="10" t="s">
        <v>465</v>
      </c>
      <c r="EA46" s="644"/>
      <c r="EB46" s="644"/>
      <c r="EC46" s="644"/>
      <c r="ED46" s="644"/>
      <c r="EE46" s="644"/>
      <c r="EF46" s="685">
        <v>0</v>
      </c>
      <c r="EG46" s="644"/>
      <c r="EH46" s="11" t="s">
        <v>2058</v>
      </c>
      <c r="EI46" s="644"/>
      <c r="EJ46" s="644"/>
      <c r="EK46" s="644"/>
      <c r="EL46" s="644"/>
      <c r="EM46" s="644"/>
      <c r="EN46" s="11"/>
      <c r="EO46" s="644"/>
      <c r="EP46" s="11" t="s">
        <v>504</v>
      </c>
      <c r="EQ46" s="644"/>
      <c r="ER46" s="644"/>
      <c r="ES46" s="644"/>
      <c r="ET46" s="11" t="s">
        <v>465</v>
      </c>
      <c r="EU46" s="644"/>
      <c r="EV46" s="11" t="s">
        <v>465</v>
      </c>
      <c r="EW46" s="644"/>
      <c r="EX46" s="11" t="s">
        <v>465</v>
      </c>
      <c r="EY46" s="644"/>
      <c r="EZ46" s="11">
        <v>0</v>
      </c>
      <c r="FA46" s="644"/>
      <c r="FB46" s="11">
        <v>0</v>
      </c>
      <c r="FC46" s="644"/>
      <c r="FD46" s="11">
        <v>0</v>
      </c>
      <c r="FE46" s="644"/>
      <c r="FF46" s="11">
        <v>0.13739999999999999</v>
      </c>
      <c r="FG46" s="644"/>
      <c r="FH46" s="11"/>
      <c r="FI46" s="644"/>
      <c r="FJ46" s="683"/>
      <c r="FK46" s="644"/>
      <c r="FL46" s="793">
        <v>4.9299999999999997E-2</v>
      </c>
      <c r="FM46" s="644"/>
      <c r="FN46" s="11"/>
      <c r="FO46" s="644"/>
      <c r="FP46" s="11"/>
      <c r="FQ46" s="644"/>
      <c r="FR46" s="644"/>
      <c r="FS46" s="644"/>
      <c r="FT46" s="644"/>
      <c r="FU46" s="644"/>
      <c r="FV46" s="644"/>
      <c r="FW46" s="644"/>
      <c r="FX46" s="11" t="s">
        <v>465</v>
      </c>
      <c r="FY46" s="644"/>
      <c r="FZ46" s="644"/>
      <c r="GA46" s="644"/>
      <c r="GB46" s="11"/>
      <c r="GC46" s="644"/>
      <c r="GD46" s="11" t="s">
        <v>2499</v>
      </c>
      <c r="GE46" s="644"/>
      <c r="GF46" s="672">
        <f>17.59</f>
        <v>17.59</v>
      </c>
      <c r="GG46" s="644"/>
      <c r="GH46" s="11">
        <v>0</v>
      </c>
      <c r="GI46" s="644"/>
      <c r="GJ46" s="793" t="s">
        <v>465</v>
      </c>
      <c r="GK46" s="644"/>
      <c r="GL46" s="11"/>
      <c r="GM46" s="644"/>
      <c r="GN46" s="11"/>
      <c r="GO46" s="644"/>
      <c r="GP46" s="11"/>
      <c r="GQ46" s="644"/>
      <c r="GR46" s="11">
        <v>3.5450000000000002E-2</v>
      </c>
      <c r="GS46" s="644"/>
      <c r="GT46" s="11">
        <v>0.1399</v>
      </c>
      <c r="GU46" s="644"/>
      <c r="GV46" s="11">
        <v>3.5999999999999999E-3</v>
      </c>
      <c r="GW46" s="644"/>
      <c r="GX46" s="11"/>
      <c r="GY46" s="644"/>
      <c r="GZ46" s="11">
        <v>0</v>
      </c>
      <c r="HA46" s="644"/>
      <c r="HB46" s="11"/>
      <c r="HC46" s="644"/>
      <c r="HD46" s="11"/>
      <c r="HE46" s="644"/>
      <c r="HF46" s="11"/>
      <c r="HG46" s="644"/>
      <c r="HH46" s="11" t="s">
        <v>465</v>
      </c>
      <c r="HI46" s="644"/>
      <c r="HJ46" s="644"/>
      <c r="HK46" s="644"/>
      <c r="HL46" s="11" t="s">
        <v>997</v>
      </c>
      <c r="HM46" s="644"/>
      <c r="HN46" s="11">
        <f>HN45/791.297</f>
        <v>6.8584867628715893E-2</v>
      </c>
      <c r="HO46" s="644"/>
      <c r="HP46" s="11">
        <v>0.23699999999999999</v>
      </c>
      <c r="HQ46" s="644"/>
      <c r="HR46" s="11"/>
      <c r="HS46" s="644"/>
      <c r="HT46" s="696" t="s">
        <v>702</v>
      </c>
      <c r="HU46" s="644"/>
      <c r="HV46" s="11"/>
      <c r="HW46" s="644"/>
      <c r="HX46" s="11">
        <v>0</v>
      </c>
      <c r="HY46" s="644"/>
      <c r="HZ46" s="11"/>
      <c r="IA46" s="644"/>
      <c r="IB46" s="644"/>
      <c r="IC46" s="644"/>
      <c r="ID46" s="11">
        <v>0</v>
      </c>
      <c r="IE46" s="644"/>
      <c r="IF46" s="11" t="s">
        <v>997</v>
      </c>
      <c r="IG46" s="756"/>
      <c r="IH46" s="11"/>
      <c r="II46" s="644"/>
      <c r="IJ46" s="644"/>
      <c r="IK46" s="644"/>
      <c r="IL46" s="686">
        <f>IL45/IL27</f>
        <v>0.19380321249890281</v>
      </c>
      <c r="IM46" s="644"/>
      <c r="IN46" s="687">
        <v>0</v>
      </c>
      <c r="IO46" s="644"/>
      <c r="IP46" s="11"/>
      <c r="IQ46" s="644"/>
      <c r="IR46" s="11"/>
      <c r="IS46" s="644"/>
      <c r="IT46" s="11">
        <v>1E-3</v>
      </c>
      <c r="IU46" s="644"/>
      <c r="IV46" s="11">
        <v>0</v>
      </c>
      <c r="IW46" s="644"/>
      <c r="IX46" s="632" t="s">
        <v>1104</v>
      </c>
      <c r="IY46" s="644"/>
      <c r="IZ46" s="11"/>
      <c r="JA46" s="644"/>
      <c r="JB46" s="11"/>
      <c r="JC46" s="644"/>
      <c r="JD46" s="11">
        <f>JD45/102.399</f>
        <v>0.12422972880594536</v>
      </c>
      <c r="JE46" s="644"/>
      <c r="JF46" s="644"/>
      <c r="JG46" s="644"/>
      <c r="JH46" s="11" t="s">
        <v>504</v>
      </c>
      <c r="JI46" s="644"/>
      <c r="JJ46" s="644"/>
      <c r="JK46" s="644"/>
      <c r="JL46" s="644"/>
      <c r="JM46" s="644"/>
      <c r="JN46" s="11">
        <v>0</v>
      </c>
      <c r="JO46" s="644"/>
      <c r="JP46" s="644"/>
      <c r="JQ46" s="644"/>
      <c r="JR46" s="689" t="s">
        <v>465</v>
      </c>
      <c r="JS46" s="644"/>
      <c r="JT46" s="9" t="s">
        <v>465</v>
      </c>
      <c r="JU46" s="644"/>
      <c r="JV46" s="11"/>
      <c r="JW46" s="644"/>
      <c r="JX46" s="11" t="s">
        <v>702</v>
      </c>
      <c r="JY46" s="644"/>
    </row>
    <row r="47" spans="1:285" ht="56.25" customHeight="1" x14ac:dyDescent="0.2">
      <c r="A47" s="1564" t="s">
        <v>16</v>
      </c>
      <c r="B47" s="1570" t="s">
        <v>272</v>
      </c>
      <c r="C47" s="79" t="s">
        <v>106</v>
      </c>
      <c r="D47" s="80" t="s">
        <v>273</v>
      </c>
      <c r="E47" s="784" t="s">
        <v>152</v>
      </c>
      <c r="F47" s="10">
        <v>10</v>
      </c>
      <c r="G47" s="756"/>
      <c r="H47" s="287">
        <f>2785.8/1000</f>
        <v>2.7858000000000001</v>
      </c>
      <c r="I47" s="644"/>
      <c r="J47" s="287">
        <f>58.9</f>
        <v>58.9</v>
      </c>
      <c r="K47" s="644"/>
      <c r="L47" s="287">
        <v>6.8</v>
      </c>
      <c r="M47" s="644"/>
      <c r="N47" s="802">
        <v>300</v>
      </c>
      <c r="O47" s="644"/>
      <c r="P47" s="666">
        <v>0.24828617</v>
      </c>
      <c r="Q47" s="644"/>
      <c r="R47" s="9">
        <v>371.2</v>
      </c>
      <c r="S47" s="644"/>
      <c r="T47" s="644"/>
      <c r="U47" s="644"/>
      <c r="V47" s="644"/>
      <c r="W47" s="644"/>
      <c r="X47" s="644"/>
      <c r="Y47" s="644"/>
      <c r="Z47" s="288">
        <v>400</v>
      </c>
      <c r="AA47" s="644"/>
      <c r="AB47" s="10">
        <v>224.93199999999999</v>
      </c>
      <c r="AC47" s="644"/>
      <c r="AD47" s="10">
        <v>700</v>
      </c>
      <c r="AE47" s="644"/>
      <c r="AF47" s="644"/>
      <c r="AG47" s="644"/>
      <c r="AH47" s="644"/>
      <c r="AI47" s="644"/>
      <c r="AJ47" s="666">
        <v>100</v>
      </c>
      <c r="AK47" s="644"/>
      <c r="AL47" s="27">
        <v>60</v>
      </c>
      <c r="AM47" s="644"/>
      <c r="AN47" s="9">
        <v>462.95</v>
      </c>
      <c r="AO47" s="644"/>
      <c r="AP47" s="288">
        <v>24.941700000000001</v>
      </c>
      <c r="AQ47" s="644"/>
      <c r="AR47" s="9">
        <v>76.95</v>
      </c>
      <c r="AS47" s="644"/>
      <c r="AT47" s="698">
        <v>170</v>
      </c>
      <c r="AU47" s="644"/>
      <c r="AV47" s="803">
        <v>305.8</v>
      </c>
      <c r="AW47" s="644"/>
      <c r="AX47" s="27">
        <v>120</v>
      </c>
      <c r="AY47" s="644"/>
      <c r="AZ47" s="10">
        <v>189.1181</v>
      </c>
      <c r="BA47" s="644"/>
      <c r="BB47" s="644"/>
      <c r="BC47" s="644"/>
      <c r="BD47" s="5">
        <v>200</v>
      </c>
      <c r="BE47" s="644"/>
      <c r="BF47" s="288">
        <v>9.0820000000000007</v>
      </c>
      <c r="BG47" s="644"/>
      <c r="BH47" s="644"/>
      <c r="BI47" s="644"/>
      <c r="BJ47" s="11"/>
      <c r="BK47" s="644"/>
      <c r="BL47" s="288">
        <v>50</v>
      </c>
      <c r="BM47" s="644"/>
      <c r="BN47" s="11">
        <v>0.02</v>
      </c>
      <c r="BO47" s="644"/>
      <c r="BP47" s="699">
        <v>520</v>
      </c>
      <c r="BQ47" s="644"/>
      <c r="BR47" s="11"/>
      <c r="BS47" s="644"/>
      <c r="BT47" s="804">
        <v>418.20376276000002</v>
      </c>
      <c r="BU47" s="644"/>
      <c r="BV47" s="287">
        <v>43.258000000000003</v>
      </c>
      <c r="BW47" s="644"/>
      <c r="BX47" s="632">
        <v>0.23799999999999999</v>
      </c>
      <c r="BY47" s="644"/>
      <c r="BZ47" s="632">
        <v>10.206</v>
      </c>
      <c r="CA47" s="644"/>
      <c r="CB47" s="287">
        <v>150</v>
      </c>
      <c r="CC47" s="644"/>
      <c r="CD47" s="644"/>
      <c r="CE47" s="644"/>
      <c r="CF47" s="644"/>
      <c r="CG47" s="644"/>
      <c r="CH47" s="700">
        <v>53.3</v>
      </c>
      <c r="CI47" s="11" t="s">
        <v>2115</v>
      </c>
      <c r="CJ47" s="287">
        <v>70</v>
      </c>
      <c r="CK47" s="11" t="s">
        <v>2115</v>
      </c>
      <c r="CL47" s="12">
        <v>125</v>
      </c>
      <c r="CM47" s="644"/>
      <c r="CN47" s="288">
        <v>13</v>
      </c>
      <c r="CO47" s="644"/>
      <c r="CP47" s="288">
        <v>19.5</v>
      </c>
      <c r="CQ47" s="644"/>
      <c r="CR47" s="9">
        <v>150</v>
      </c>
      <c r="CS47" s="644"/>
      <c r="CT47" s="27">
        <v>266.60000000000002</v>
      </c>
      <c r="CU47" s="644"/>
      <c r="CV47" s="27">
        <v>4.8756000000000004</v>
      </c>
      <c r="CW47" s="644"/>
      <c r="CX47" s="29">
        <v>80</v>
      </c>
      <c r="CY47" s="644"/>
      <c r="CZ47" s="287">
        <v>70</v>
      </c>
      <c r="DA47" s="644"/>
      <c r="DB47" s="29">
        <v>257.44009999999997</v>
      </c>
      <c r="DC47" s="644"/>
      <c r="DD47" s="665">
        <v>239.73519999999999</v>
      </c>
      <c r="DE47" s="644"/>
      <c r="DF47" s="644"/>
      <c r="DG47" s="644"/>
      <c r="DH47" s="288">
        <v>4.4237000000000002</v>
      </c>
      <c r="DI47" s="644"/>
      <c r="DJ47" s="805">
        <f>142.963/1000</f>
        <v>0.14296300000000001</v>
      </c>
      <c r="DK47" s="644"/>
      <c r="DL47" s="644"/>
      <c r="DM47" s="644"/>
      <c r="DN47" s="288">
        <v>278.09800000000001</v>
      </c>
      <c r="DO47" s="644"/>
      <c r="DP47" s="644"/>
      <c r="DQ47" s="644"/>
      <c r="DR47" s="644"/>
      <c r="DS47" s="644"/>
      <c r="DT47" s="644"/>
      <c r="DU47" s="644"/>
      <c r="DV47" s="287">
        <v>209.107</v>
      </c>
      <c r="DW47" s="644"/>
      <c r="DX47" s="287">
        <v>250</v>
      </c>
      <c r="DY47" s="644"/>
      <c r="DZ47" s="287">
        <v>17.59</v>
      </c>
      <c r="EA47" s="644"/>
      <c r="EB47" s="644"/>
      <c r="EC47" s="644"/>
      <c r="ED47" s="644"/>
      <c r="EE47" s="644"/>
      <c r="EF47" s="15">
        <f>13.8393+0.28243469</f>
        <v>14.12173469</v>
      </c>
      <c r="EG47" s="644"/>
      <c r="EH47" s="10">
        <v>25</v>
      </c>
      <c r="EI47" s="644"/>
      <c r="EJ47" s="644"/>
      <c r="EK47" s="644"/>
      <c r="EL47" s="644"/>
      <c r="EM47" s="644"/>
      <c r="EN47" s="287">
        <v>500</v>
      </c>
      <c r="EO47" s="644"/>
      <c r="EP47" s="701">
        <v>38.5</v>
      </c>
      <c r="EQ47" s="644"/>
      <c r="ER47" s="644"/>
      <c r="ES47" s="644"/>
      <c r="ET47" s="288"/>
      <c r="EU47" s="644"/>
      <c r="EV47" s="288">
        <v>730</v>
      </c>
      <c r="EW47" s="644"/>
      <c r="EX47" s="10">
        <v>213.09</v>
      </c>
      <c r="EY47" s="644"/>
      <c r="EZ47" s="287">
        <v>24.745000000000001</v>
      </c>
      <c r="FA47" s="644"/>
      <c r="FB47" s="287">
        <v>56.895600000000002</v>
      </c>
      <c r="FC47" s="644"/>
      <c r="FD47" s="10">
        <v>8</v>
      </c>
      <c r="FE47" s="644"/>
      <c r="FF47" s="9">
        <v>35.200000000000003</v>
      </c>
      <c r="FG47" s="644"/>
      <c r="FH47" s="10">
        <v>7</v>
      </c>
      <c r="FI47" s="644"/>
      <c r="FJ47" s="702">
        <v>397.714</v>
      </c>
      <c r="FK47" s="644"/>
      <c r="FL47" s="806">
        <v>150</v>
      </c>
      <c r="FM47" s="644"/>
      <c r="FN47" s="10">
        <v>20</v>
      </c>
      <c r="FO47" s="644"/>
      <c r="FP47" s="287">
        <v>100.06</v>
      </c>
      <c r="FQ47" s="644"/>
      <c r="FR47" s="644"/>
      <c r="FS47" s="644"/>
      <c r="FT47" s="644"/>
      <c r="FU47" s="644"/>
      <c r="FV47" s="644"/>
      <c r="FW47" s="644"/>
      <c r="FX47" s="287">
        <v>154.00703562999999</v>
      </c>
      <c r="FY47" s="644"/>
      <c r="FZ47" s="644"/>
      <c r="GA47" s="644"/>
      <c r="GB47" s="10">
        <v>20</v>
      </c>
      <c r="GC47" s="644"/>
      <c r="GD47" s="13">
        <v>300</v>
      </c>
      <c r="GE47" s="644"/>
      <c r="GF47" s="703">
        <v>8.2685999999999993</v>
      </c>
      <c r="GG47" s="644"/>
      <c r="GH47" s="27">
        <v>177.45</v>
      </c>
      <c r="GI47" s="644"/>
      <c r="GJ47" s="806">
        <v>253</v>
      </c>
      <c r="GK47" s="644"/>
      <c r="GL47" s="14">
        <v>0</v>
      </c>
      <c r="GM47" s="644"/>
      <c r="GN47" s="680">
        <f>'[2]Учетная политика'!$Q$9</f>
        <v>120000</v>
      </c>
      <c r="GO47" s="644"/>
      <c r="GP47" s="680">
        <v>6</v>
      </c>
      <c r="GQ47" s="644"/>
      <c r="GR47" s="288" t="s">
        <v>1951</v>
      </c>
      <c r="GS47" s="644"/>
      <c r="GT47" s="287">
        <v>500</v>
      </c>
      <c r="GU47" s="644"/>
      <c r="GV47" s="10">
        <v>187</v>
      </c>
      <c r="GW47" s="644"/>
      <c r="GX47" s="10">
        <v>325</v>
      </c>
      <c r="GY47" s="644"/>
      <c r="GZ47" s="665">
        <v>315</v>
      </c>
      <c r="HA47" s="644"/>
      <c r="HB47" s="287">
        <v>10.8</v>
      </c>
      <c r="HC47" s="644"/>
      <c r="HD47" s="11">
        <v>1670.2411999999999</v>
      </c>
      <c r="HE47" s="644"/>
      <c r="HF47" s="287">
        <v>0.28389999999999999</v>
      </c>
      <c r="HG47" s="644"/>
      <c r="HH47" s="18">
        <v>75</v>
      </c>
      <c r="HI47" s="644"/>
      <c r="HJ47" s="644"/>
      <c r="HK47" s="644"/>
      <c r="HL47" s="9">
        <v>4.5</v>
      </c>
      <c r="HM47" s="644"/>
      <c r="HN47" s="287">
        <v>520.50800000000004</v>
      </c>
      <c r="HO47" s="644"/>
      <c r="HP47" s="288">
        <v>0.39</v>
      </c>
      <c r="HQ47" s="644"/>
      <c r="HR47" s="10">
        <v>5.3840000000000003</v>
      </c>
      <c r="HS47" s="644"/>
      <c r="HT47" s="704">
        <v>200</v>
      </c>
      <c r="HU47" s="644"/>
      <c r="HV47" s="288">
        <v>3.97</v>
      </c>
      <c r="HW47" s="644"/>
      <c r="HX47" s="11">
        <v>0.02</v>
      </c>
      <c r="HY47" s="644"/>
      <c r="HZ47" s="288">
        <v>20</v>
      </c>
      <c r="IA47" s="644"/>
      <c r="IB47" s="644"/>
      <c r="IC47" s="644"/>
      <c r="ID47" s="10">
        <v>146.9</v>
      </c>
      <c r="IE47" s="644"/>
      <c r="IF47" s="665">
        <v>40</v>
      </c>
      <c r="IG47" s="756"/>
      <c r="IH47" s="10">
        <v>399.1</v>
      </c>
      <c r="II47" s="644"/>
      <c r="IJ47" s="644"/>
      <c r="IK47" s="644"/>
      <c r="IL47" s="674">
        <v>3.6110669999999998</v>
      </c>
      <c r="IM47" s="644"/>
      <c r="IN47" s="705">
        <v>300.10899999999998</v>
      </c>
      <c r="IO47" s="644"/>
      <c r="IP47" s="287">
        <v>180</v>
      </c>
      <c r="IQ47" s="644"/>
      <c r="IR47" s="287">
        <v>36.6</v>
      </c>
      <c r="IS47" s="644"/>
      <c r="IT47" s="9">
        <v>135.9</v>
      </c>
      <c r="IU47" s="644"/>
      <c r="IV47" s="9">
        <v>45.835999999999999</v>
      </c>
      <c r="IW47" s="644"/>
      <c r="IX47" s="706">
        <v>478.56099999999998</v>
      </c>
      <c r="IY47" s="644"/>
      <c r="IZ47" s="287">
        <v>100</v>
      </c>
      <c r="JA47" s="644"/>
      <c r="JB47" s="288">
        <v>355.22399999999999</v>
      </c>
      <c r="JC47" s="644"/>
      <c r="JD47" s="10">
        <v>55.622</v>
      </c>
      <c r="JE47" s="644"/>
      <c r="JF47" s="644"/>
      <c r="JG47" s="644"/>
      <c r="JH47" s="11" t="s">
        <v>806</v>
      </c>
      <c r="JI47" s="644"/>
      <c r="JJ47" s="644"/>
      <c r="JK47" s="644"/>
      <c r="JL47" s="644"/>
      <c r="JM47" s="644"/>
      <c r="JN47" s="9">
        <v>1150</v>
      </c>
      <c r="JO47" s="644"/>
      <c r="JP47" s="644"/>
      <c r="JQ47" s="644"/>
      <c r="JR47" s="707">
        <f>452.0271+30.042</f>
        <v>482.06910000000005</v>
      </c>
      <c r="JS47" s="644"/>
      <c r="JT47" s="287">
        <v>50</v>
      </c>
      <c r="JU47" s="644"/>
      <c r="JV47" s="11"/>
      <c r="JW47" s="644"/>
      <c r="JX47" s="287">
        <v>1039</v>
      </c>
      <c r="JY47" s="644"/>
    </row>
    <row r="48" spans="1:285" ht="49.5" customHeight="1" thickBot="1" x14ac:dyDescent="0.25">
      <c r="A48" s="1568"/>
      <c r="B48" s="1572"/>
      <c r="C48" s="85" t="s">
        <v>107</v>
      </c>
      <c r="D48" s="86" t="s">
        <v>274</v>
      </c>
      <c r="E48" s="755" t="s">
        <v>52</v>
      </c>
      <c r="F48" s="11">
        <v>0.3639</v>
      </c>
      <c r="G48" s="756"/>
      <c r="H48" s="11">
        <f>+H47/(25217605.2/1000)</f>
        <v>1.1047044229243466E-4</v>
      </c>
      <c r="I48" s="644"/>
      <c r="J48" s="11">
        <f>J47/25217.6052</f>
        <v>2.3356698438597172E-3</v>
      </c>
      <c r="K48" s="644"/>
      <c r="L48" s="11">
        <f>+L47/25217.6</f>
        <v>2.6965294080324851E-4</v>
      </c>
      <c r="M48" s="644"/>
      <c r="N48" s="791">
        <v>2.1483000000000001E-3</v>
      </c>
      <c r="O48" s="644"/>
      <c r="P48" s="681">
        <f>P47/P27</f>
        <v>4.1821752020277055E-2</v>
      </c>
      <c r="Q48" s="644"/>
      <c r="R48" s="11">
        <v>3.98E-3</v>
      </c>
      <c r="S48" s="644"/>
      <c r="T48" s="644"/>
      <c r="U48" s="644"/>
      <c r="V48" s="644"/>
      <c r="W48" s="644"/>
      <c r="X48" s="644"/>
      <c r="Y48" s="644"/>
      <c r="Z48" s="11">
        <v>1.8E-3</v>
      </c>
      <c r="AA48" s="644"/>
      <c r="AB48" s="11">
        <v>1E-3</v>
      </c>
      <c r="AC48" s="644"/>
      <c r="AD48" s="11">
        <v>3.0999999999999999E-3</v>
      </c>
      <c r="AE48" s="644"/>
      <c r="AF48" s="644"/>
      <c r="AG48" s="644"/>
      <c r="AH48" s="644"/>
      <c r="AI48" s="644"/>
      <c r="AJ48" s="681">
        <v>1.2999999999999999E-3</v>
      </c>
      <c r="AK48" s="644"/>
      <c r="AL48" s="11">
        <v>6.9999999999999999E-4</v>
      </c>
      <c r="AM48" s="644"/>
      <c r="AN48" s="11">
        <v>0.02</v>
      </c>
      <c r="AO48" s="644"/>
      <c r="AP48" s="11">
        <v>3.2000000000000003E-4</v>
      </c>
      <c r="AQ48" s="644"/>
      <c r="AR48" s="11">
        <v>8.0000000000000004E-4</v>
      </c>
      <c r="AS48" s="644"/>
      <c r="AT48" s="11">
        <f>AT47/133922.5</f>
        <v>1.2693908790531838E-3</v>
      </c>
      <c r="AU48" s="644"/>
      <c r="AV48" s="791">
        <v>3.0999999999999999E-3</v>
      </c>
      <c r="AW48" s="644"/>
      <c r="AX48" s="11">
        <f>150957.3*100/148430694.4</f>
        <v>0.10170221234240887</v>
      </c>
      <c r="AY48" s="644"/>
      <c r="AZ48" s="11">
        <v>1.32E-3</v>
      </c>
      <c r="BA48" s="644"/>
      <c r="BB48" s="644"/>
      <c r="BC48" s="644"/>
      <c r="BD48" s="5"/>
      <c r="BE48" s="644"/>
      <c r="BF48" s="11">
        <v>1E-4</v>
      </c>
      <c r="BG48" s="644"/>
      <c r="BH48" s="644"/>
      <c r="BI48" s="644"/>
      <c r="BJ48" s="11"/>
      <c r="BK48" s="644"/>
      <c r="BL48" s="30">
        <v>9.1E-4</v>
      </c>
      <c r="BM48" s="644"/>
      <c r="BN48" s="11">
        <v>1E-4</v>
      </c>
      <c r="BO48" s="644"/>
      <c r="BP48" s="683">
        <v>2.5000000000000001E-3</v>
      </c>
      <c r="BQ48" s="644"/>
      <c r="BR48" s="11"/>
      <c r="BS48" s="644"/>
      <c r="BT48" s="11">
        <v>0.10050000000000001</v>
      </c>
      <c r="BU48" s="772" t="s">
        <v>958</v>
      </c>
      <c r="BV48" s="11">
        <v>1.0404467730107272E-2</v>
      </c>
      <c r="BW48" s="644"/>
      <c r="BX48" s="683">
        <f>BX47/20819.9</f>
        <v>1.143137094798726E-5</v>
      </c>
      <c r="BY48" s="644"/>
      <c r="BZ48" s="683">
        <f>BZ47/20819.9</f>
        <v>4.9020408359310081E-4</v>
      </c>
      <c r="CA48" s="644"/>
      <c r="CB48" s="11">
        <v>2.0999999999999999E-3</v>
      </c>
      <c r="CC48" s="644"/>
      <c r="CD48" s="644"/>
      <c r="CE48" s="644"/>
      <c r="CF48" s="644"/>
      <c r="CG48" s="644"/>
      <c r="CH48" s="632" t="s">
        <v>465</v>
      </c>
      <c r="CI48" s="11"/>
      <c r="CJ48" s="11" t="s">
        <v>465</v>
      </c>
      <c r="CK48" s="11"/>
      <c r="CL48" s="11">
        <v>6.9999999999999999E-4</v>
      </c>
      <c r="CM48" s="644"/>
      <c r="CN48" s="11">
        <v>2.0000000000000001E-4</v>
      </c>
      <c r="CO48" s="644"/>
      <c r="CP48" s="11">
        <v>2.9999999999999997E-4</v>
      </c>
      <c r="CQ48" s="644"/>
      <c r="CR48" s="11">
        <v>2E-3</v>
      </c>
      <c r="CS48" s="644"/>
      <c r="CT48" s="11">
        <v>3.0000000000000001E-3</v>
      </c>
      <c r="CU48" s="644"/>
      <c r="CV48" s="30">
        <f>CV47/37675.7</f>
        <v>1.294096725475572E-4</v>
      </c>
      <c r="CW48" s="644"/>
      <c r="CX48" s="11">
        <f>CX47/37675.7</f>
        <v>2.1233845688334923E-3</v>
      </c>
      <c r="CY48" s="644"/>
      <c r="CZ48" s="11">
        <f>CZ47/37675.7</f>
        <v>1.8579614977293057E-3</v>
      </c>
      <c r="DA48" s="644"/>
      <c r="DB48" s="11">
        <f>DB47/37675.7</f>
        <v>6.8330541967368888E-3</v>
      </c>
      <c r="DC48" s="644"/>
      <c r="DD48" s="684">
        <v>7.3999999999999999E-4</v>
      </c>
      <c r="DE48" s="644"/>
      <c r="DF48" s="644"/>
      <c r="DG48" s="644"/>
      <c r="DH48" s="11">
        <v>7.4999999999999993E-5</v>
      </c>
      <c r="DI48" s="644"/>
      <c r="DJ48" s="792">
        <v>1.9999999999999999E-6</v>
      </c>
      <c r="DK48" s="644"/>
      <c r="DL48" s="644"/>
      <c r="DM48" s="644"/>
      <c r="DN48" s="11">
        <v>4.0000000000000001E-3</v>
      </c>
      <c r="DO48" s="644"/>
      <c r="DP48" s="644"/>
      <c r="DQ48" s="644"/>
      <c r="DR48" s="644"/>
      <c r="DS48" s="644"/>
      <c r="DT48" s="644"/>
      <c r="DU48" s="644"/>
      <c r="DV48" s="11">
        <v>1.1999999999999999E-3</v>
      </c>
      <c r="DW48" s="644"/>
      <c r="DX48" s="11">
        <v>1.4E-3</v>
      </c>
      <c r="DY48" s="644"/>
      <c r="DZ48" s="11">
        <v>0</v>
      </c>
      <c r="EA48" s="644"/>
      <c r="EB48" s="644"/>
      <c r="EC48" s="644"/>
      <c r="ED48" s="644"/>
      <c r="EE48" s="644"/>
      <c r="EF48" s="11">
        <f>EF47/39976.7*100</f>
        <v>3.5324913487106244E-2</v>
      </c>
      <c r="EG48" s="644"/>
      <c r="EH48" s="11">
        <f>25/39976.7*100</f>
        <v>6.2536427469000691E-2</v>
      </c>
      <c r="EI48" s="644"/>
      <c r="EJ48" s="644"/>
      <c r="EK48" s="644"/>
      <c r="EL48" s="644"/>
      <c r="EM48" s="644"/>
      <c r="EN48" s="11">
        <v>8.0000000000000004E-4</v>
      </c>
      <c r="EO48" s="644"/>
      <c r="EP48" s="11">
        <f>EP47/88200.404377*100</f>
        <v>4.3650593522720445E-2</v>
      </c>
      <c r="EQ48" s="644"/>
      <c r="ER48" s="644"/>
      <c r="ES48" s="644"/>
      <c r="ET48" s="11" t="s">
        <v>465</v>
      </c>
      <c r="EU48" s="644"/>
      <c r="EV48" s="11">
        <v>3.3E-3</v>
      </c>
      <c r="EW48" s="644"/>
      <c r="EX48" s="11">
        <v>5.0000000000000001E-3</v>
      </c>
      <c r="EY48" s="644"/>
      <c r="EZ48" s="11">
        <f>EZ47/42155.1</f>
        <v>5.8699896335200248E-4</v>
      </c>
      <c r="FA48" s="644"/>
      <c r="FB48" s="11">
        <v>1.2999999999999999E-3</v>
      </c>
      <c r="FC48" s="644"/>
      <c r="FD48" s="11">
        <v>1.9000000000000001E-4</v>
      </c>
      <c r="FE48" s="644"/>
      <c r="FF48" s="11">
        <v>8.0000000000000004E-4</v>
      </c>
      <c r="FG48" s="644"/>
      <c r="FH48" s="11">
        <f>FH47/42155.1169</f>
        <v>1.6605338840846624E-4</v>
      </c>
      <c r="FI48" s="644"/>
      <c r="FJ48" s="683">
        <v>1</v>
      </c>
      <c r="FK48" s="644"/>
      <c r="FL48" s="793">
        <v>8.0000000000000004E-4</v>
      </c>
      <c r="FM48" s="644"/>
      <c r="FN48" s="11"/>
      <c r="FO48" s="644"/>
      <c r="FP48" s="11">
        <f>FP47/110358.195</f>
        <v>9.0668391232748952E-4</v>
      </c>
      <c r="FQ48" s="644"/>
      <c r="FR48" s="644"/>
      <c r="FS48" s="644"/>
      <c r="FT48" s="644"/>
      <c r="FU48" s="644"/>
      <c r="FV48" s="644"/>
      <c r="FW48" s="644"/>
      <c r="FX48" s="11">
        <f>FX47/156520.5185</f>
        <v>9.8394151198777174E-4</v>
      </c>
      <c r="FY48" s="644"/>
      <c r="FZ48" s="644"/>
      <c r="GA48" s="644"/>
      <c r="GB48" s="11">
        <f>GB47/47508</f>
        <v>4.2098172939294433E-4</v>
      </c>
      <c r="GC48" s="644"/>
      <c r="GD48" s="11">
        <v>1.2999999999999999E-3</v>
      </c>
      <c r="GE48" s="644"/>
      <c r="GF48" s="665">
        <v>1.0999999999999999E-2</v>
      </c>
      <c r="GG48" s="644"/>
      <c r="GH48" s="11">
        <f>GH47/69871.875</f>
        <v>2.5396484637058899E-3</v>
      </c>
      <c r="GI48" s="644"/>
      <c r="GJ48" s="793">
        <v>1.5E-3</v>
      </c>
      <c r="GK48" s="644"/>
      <c r="GL48" s="11">
        <v>0</v>
      </c>
      <c r="GM48" s="644"/>
      <c r="GN48" s="690">
        <f>GN47/1000/741347.5</f>
        <v>1.6186741035749091E-4</v>
      </c>
      <c r="GO48" s="644"/>
      <c r="GP48" s="690">
        <f>GP47/741347500*100</f>
        <v>8.0933705178745462E-7</v>
      </c>
      <c r="GQ48" s="644"/>
      <c r="GR48" s="11">
        <v>7.3099999999999997E-3</v>
      </c>
      <c r="GS48" s="644"/>
      <c r="GT48" s="11">
        <v>2.3999999999999998E-3</v>
      </c>
      <c r="GU48" s="644"/>
      <c r="GV48" s="11">
        <v>1.5E-3</v>
      </c>
      <c r="GW48" s="644"/>
      <c r="GX48" s="11">
        <v>2.5000000000000001E-3</v>
      </c>
      <c r="GY48" s="644"/>
      <c r="GZ48" s="11">
        <v>1.8E-3</v>
      </c>
      <c r="HA48" s="644"/>
      <c r="HB48" s="30">
        <f>HB47/318840.1192</f>
        <v>3.3872776196101734E-5</v>
      </c>
      <c r="HC48" s="644"/>
      <c r="HD48" s="11">
        <f>1646.3611/318840.1192</f>
        <v>5.1635945442840619E-3</v>
      </c>
      <c r="HE48" s="644"/>
      <c r="HF48" s="692">
        <f>HF47/318840.1192</f>
        <v>8.9041492241419276E-7</v>
      </c>
      <c r="HG48" s="644"/>
      <c r="HH48" s="11">
        <v>1.4E-3</v>
      </c>
      <c r="HI48" s="644"/>
      <c r="HJ48" s="644"/>
      <c r="HK48" s="644"/>
      <c r="HL48" s="11">
        <v>8.0000000000000007E-5</v>
      </c>
      <c r="HM48" s="644"/>
      <c r="HN48" s="11">
        <f>HN47/133493.359</f>
        <v>3.8991302930657399E-3</v>
      </c>
      <c r="HO48" s="644"/>
      <c r="HP48" s="30">
        <v>1.0000000000000001E-5</v>
      </c>
      <c r="HQ48" s="644"/>
      <c r="HR48" s="11">
        <v>1E-4</v>
      </c>
      <c r="HS48" s="644"/>
      <c r="HT48" s="686">
        <v>3.8999999999999998E-3</v>
      </c>
      <c r="HU48" s="644"/>
      <c r="HV48" s="30">
        <v>8.0000000000000007E-5</v>
      </c>
      <c r="HW48" s="644"/>
      <c r="HX48" s="11">
        <v>1E-4</v>
      </c>
      <c r="HY48" s="644"/>
      <c r="HZ48" s="30">
        <v>6.9999999999999994E-5</v>
      </c>
      <c r="IA48" s="644"/>
      <c r="IB48" s="644"/>
      <c r="IC48" s="644"/>
      <c r="ID48" s="708">
        <v>1.6999999999999999E-3</v>
      </c>
      <c r="IE48" s="644"/>
      <c r="IF48" s="11">
        <v>4.4999999999999999E-4</v>
      </c>
      <c r="IG48" s="663" t="s">
        <v>2563</v>
      </c>
      <c r="IH48" s="11"/>
      <c r="II48" s="644"/>
      <c r="IJ48" s="644"/>
      <c r="IK48" s="644"/>
      <c r="IL48" s="807">
        <f>IL47/179524.2</f>
        <v>2.0114653066271841E-5</v>
      </c>
      <c r="IM48" s="644"/>
      <c r="IN48" s="687">
        <v>1.6999999999999999E-3</v>
      </c>
      <c r="IO48" s="644"/>
      <c r="IP48" s="11">
        <v>2.3E-3</v>
      </c>
      <c r="IQ48" s="644"/>
      <c r="IR48" s="11">
        <v>5.0000000000000001E-4</v>
      </c>
      <c r="IS48" s="644"/>
      <c r="IT48" s="11">
        <v>1.8E-3</v>
      </c>
      <c r="IU48" s="644"/>
      <c r="IV48" s="11">
        <v>5.9999999999999995E-4</v>
      </c>
      <c r="IW48" s="644"/>
      <c r="IX48" s="682">
        <v>6.1999999999999998E-3</v>
      </c>
      <c r="IY48" s="644"/>
      <c r="IZ48" s="11">
        <v>8.0000000000000004E-4</v>
      </c>
      <c r="JA48" s="644"/>
      <c r="JB48" s="11">
        <v>2.8770500000000001E-2</v>
      </c>
      <c r="JC48" s="644"/>
      <c r="JD48" s="11" t="s">
        <v>465</v>
      </c>
      <c r="JE48" s="644"/>
      <c r="JF48" s="644"/>
      <c r="JG48" s="644"/>
      <c r="JH48" s="11" t="s">
        <v>701</v>
      </c>
      <c r="JI48" s="644"/>
      <c r="JJ48" s="644"/>
      <c r="JK48" s="644"/>
      <c r="JL48" s="644"/>
      <c r="JM48" s="644"/>
      <c r="JN48" s="11">
        <v>5.4848099999999997E-3</v>
      </c>
      <c r="JO48" s="644"/>
      <c r="JP48" s="644"/>
      <c r="JQ48" s="644"/>
      <c r="JR48" s="689">
        <f>JR47/71423.3605</f>
        <v>6.7494597933403051E-3</v>
      </c>
      <c r="JS48" s="644"/>
      <c r="JT48" s="11">
        <v>8.0000000000000004E-4</v>
      </c>
      <c r="JU48" s="644"/>
      <c r="JV48" s="11"/>
      <c r="JW48" s="644"/>
      <c r="JX48" s="11">
        <v>1.2E-2</v>
      </c>
      <c r="JY48" s="644"/>
    </row>
    <row r="49" spans="1:285" ht="63.75" customHeight="1" x14ac:dyDescent="0.2">
      <c r="A49" s="1564" t="s">
        <v>17</v>
      </c>
      <c r="B49" s="1570" t="s">
        <v>275</v>
      </c>
      <c r="C49" s="79" t="s">
        <v>108</v>
      </c>
      <c r="D49" s="80" t="s">
        <v>194</v>
      </c>
      <c r="E49" s="755" t="s">
        <v>53</v>
      </c>
      <c r="F49" s="13">
        <v>60</v>
      </c>
      <c r="G49" s="756"/>
      <c r="H49" s="13" t="s">
        <v>465</v>
      </c>
      <c r="I49" s="644"/>
      <c r="J49" s="13">
        <v>29</v>
      </c>
      <c r="K49" s="644"/>
      <c r="L49" s="13" t="s">
        <v>465</v>
      </c>
      <c r="M49" s="644"/>
      <c r="N49" s="808">
        <v>1265</v>
      </c>
      <c r="O49" s="644"/>
      <c r="P49" s="666">
        <v>20</v>
      </c>
      <c r="Q49" s="644"/>
      <c r="R49" s="13">
        <v>184</v>
      </c>
      <c r="S49" s="644"/>
      <c r="T49" s="644"/>
      <c r="U49" s="644"/>
      <c r="V49" s="644"/>
      <c r="W49" s="644"/>
      <c r="X49" s="644"/>
      <c r="Y49" s="644"/>
      <c r="Z49" s="13">
        <v>1061</v>
      </c>
      <c r="AA49" s="644"/>
      <c r="AB49" s="703" t="s">
        <v>2327</v>
      </c>
      <c r="AC49" s="644"/>
      <c r="AD49" s="13">
        <v>500</v>
      </c>
      <c r="AE49" s="644"/>
      <c r="AF49" s="644"/>
      <c r="AG49" s="644"/>
      <c r="AH49" s="644"/>
      <c r="AI49" s="644"/>
      <c r="AJ49" s="709">
        <v>227</v>
      </c>
      <c r="AK49" s="644"/>
      <c r="AL49" s="13">
        <v>1324</v>
      </c>
      <c r="AM49" s="644"/>
      <c r="AN49" s="13">
        <v>169</v>
      </c>
      <c r="AO49" s="644"/>
      <c r="AP49" s="13">
        <v>27</v>
      </c>
      <c r="AQ49" s="644"/>
      <c r="AR49" s="13">
        <v>241</v>
      </c>
      <c r="AS49" s="644"/>
      <c r="AT49" s="13">
        <v>278</v>
      </c>
      <c r="AU49" s="644"/>
      <c r="AV49" s="808">
        <v>984</v>
      </c>
      <c r="AW49" s="644"/>
      <c r="AX49" s="13" t="s">
        <v>541</v>
      </c>
      <c r="AY49" s="644"/>
      <c r="AZ49" s="13"/>
      <c r="BA49" s="644"/>
      <c r="BB49" s="644"/>
      <c r="BC49" s="644"/>
      <c r="BD49" s="5"/>
      <c r="BE49" s="644"/>
      <c r="BF49" s="13">
        <v>63</v>
      </c>
      <c r="BG49" s="644"/>
      <c r="BH49" s="644"/>
      <c r="BI49" s="644"/>
      <c r="BJ49" s="13">
        <v>16</v>
      </c>
      <c r="BK49" s="644"/>
      <c r="BL49" s="13" t="s">
        <v>558</v>
      </c>
      <c r="BM49" s="644"/>
      <c r="BN49" s="13">
        <v>4</v>
      </c>
      <c r="BO49" s="644"/>
      <c r="BP49" s="710">
        <v>1677</v>
      </c>
      <c r="BQ49" s="644"/>
      <c r="BR49" s="13">
        <v>27</v>
      </c>
      <c r="BS49" s="644"/>
      <c r="BT49" s="13">
        <v>21</v>
      </c>
      <c r="BU49" s="644"/>
      <c r="BV49" s="13">
        <v>199</v>
      </c>
      <c r="BW49" s="644"/>
      <c r="BX49" s="710"/>
      <c r="BY49" s="644"/>
      <c r="BZ49" s="710">
        <v>45</v>
      </c>
      <c r="CA49" s="644"/>
      <c r="CB49" s="13" t="s">
        <v>541</v>
      </c>
      <c r="CC49" s="644"/>
      <c r="CD49" s="644"/>
      <c r="CE49" s="644"/>
      <c r="CF49" s="644"/>
      <c r="CG49" s="644"/>
      <c r="CH49" s="710">
        <v>187</v>
      </c>
      <c r="CI49" s="13"/>
      <c r="CJ49" s="13">
        <v>216</v>
      </c>
      <c r="CK49" s="13"/>
      <c r="CL49" s="13">
        <v>327</v>
      </c>
      <c r="CM49" s="644"/>
      <c r="CN49" s="13"/>
      <c r="CO49" s="644"/>
      <c r="CP49" s="13">
        <v>75</v>
      </c>
      <c r="CQ49" s="644"/>
      <c r="CR49" s="13">
        <v>447</v>
      </c>
      <c r="CS49" s="644"/>
      <c r="CT49" s="13">
        <v>988</v>
      </c>
      <c r="CU49" s="644"/>
      <c r="CV49" s="13">
        <v>33</v>
      </c>
      <c r="CW49" s="644"/>
      <c r="CX49" s="13">
        <v>308</v>
      </c>
      <c r="CY49" s="644"/>
      <c r="CZ49" s="13">
        <v>100</v>
      </c>
      <c r="DA49" s="644"/>
      <c r="DB49" s="13">
        <v>150</v>
      </c>
      <c r="DC49" s="644"/>
      <c r="DD49" s="703">
        <v>241</v>
      </c>
      <c r="DE49" s="644"/>
      <c r="DF49" s="644"/>
      <c r="DG49" s="644"/>
      <c r="DH49" s="13"/>
      <c r="DI49" s="644"/>
      <c r="DJ49" s="809">
        <v>58</v>
      </c>
      <c r="DK49" s="644"/>
      <c r="DL49" s="644"/>
      <c r="DM49" s="644"/>
      <c r="DN49" s="13">
        <v>199</v>
      </c>
      <c r="DO49" s="644"/>
      <c r="DP49" s="644"/>
      <c r="DQ49" s="644"/>
      <c r="DR49" s="644"/>
      <c r="DS49" s="644"/>
      <c r="DT49" s="644"/>
      <c r="DU49" s="644"/>
      <c r="DV49" s="13">
        <v>328</v>
      </c>
      <c r="DW49" s="644"/>
      <c r="DX49" s="13">
        <v>238</v>
      </c>
      <c r="DY49" s="644"/>
      <c r="DZ49" s="13">
        <v>93</v>
      </c>
      <c r="EA49" s="644"/>
      <c r="EB49" s="644"/>
      <c r="EC49" s="644"/>
      <c r="ED49" s="644"/>
      <c r="EE49" s="644"/>
      <c r="EF49" s="13">
        <v>117</v>
      </c>
      <c r="EG49" s="644"/>
      <c r="EH49" s="810" t="s">
        <v>806</v>
      </c>
      <c r="EI49" s="644"/>
      <c r="EJ49" s="644"/>
      <c r="EK49" s="644"/>
      <c r="EL49" s="644"/>
      <c r="EM49" s="644"/>
      <c r="EN49" s="13">
        <v>648</v>
      </c>
      <c r="EO49" s="644"/>
      <c r="EP49" s="13">
        <v>62</v>
      </c>
      <c r="EQ49" s="644"/>
      <c r="ER49" s="644"/>
      <c r="ES49" s="644"/>
      <c r="ET49" s="13">
        <v>205</v>
      </c>
      <c r="EU49" s="644"/>
      <c r="EV49" s="13" t="s">
        <v>465</v>
      </c>
      <c r="EW49" s="644"/>
      <c r="EX49" s="13">
        <v>213</v>
      </c>
      <c r="EY49" s="644"/>
      <c r="EZ49" s="13">
        <v>53</v>
      </c>
      <c r="FA49" s="644"/>
      <c r="FB49" s="13">
        <v>5</v>
      </c>
      <c r="FC49" s="644"/>
      <c r="FD49" s="13">
        <v>95</v>
      </c>
      <c r="FE49" s="644"/>
      <c r="FF49" s="13">
        <v>128</v>
      </c>
      <c r="FG49" s="644"/>
      <c r="FH49" s="13">
        <v>257</v>
      </c>
      <c r="FI49" s="644"/>
      <c r="FJ49" s="13"/>
      <c r="FK49" s="644"/>
      <c r="FL49" s="811">
        <v>458</v>
      </c>
      <c r="FM49" s="644"/>
      <c r="FN49" s="13"/>
      <c r="FO49" s="644"/>
      <c r="FP49" s="13" t="s">
        <v>674</v>
      </c>
      <c r="FQ49" s="644"/>
      <c r="FR49" s="644"/>
      <c r="FS49" s="644"/>
      <c r="FT49" s="644"/>
      <c r="FU49" s="644"/>
      <c r="FV49" s="644"/>
      <c r="FW49" s="644"/>
      <c r="FX49" s="13" t="s">
        <v>465</v>
      </c>
      <c r="FY49" s="644"/>
      <c r="FZ49" s="644"/>
      <c r="GA49" s="644"/>
      <c r="GB49" s="13"/>
      <c r="GC49" s="644"/>
      <c r="GD49" s="13" t="s">
        <v>541</v>
      </c>
      <c r="GE49" s="644"/>
      <c r="GF49" s="703" t="s">
        <v>465</v>
      </c>
      <c r="GG49" s="644"/>
      <c r="GH49" s="13">
        <v>0</v>
      </c>
      <c r="GI49" s="644"/>
      <c r="GJ49" s="811">
        <v>291</v>
      </c>
      <c r="GK49" s="644"/>
      <c r="GL49" s="14">
        <v>0</v>
      </c>
      <c r="GM49" s="644"/>
      <c r="GN49" s="14">
        <v>6934</v>
      </c>
      <c r="GO49" s="644"/>
      <c r="GP49" s="14">
        <v>11</v>
      </c>
      <c r="GQ49" s="644"/>
      <c r="GR49" s="812" t="s">
        <v>1952</v>
      </c>
      <c r="GS49" s="644"/>
      <c r="GT49" s="13">
        <v>1832</v>
      </c>
      <c r="GU49" s="644"/>
      <c r="GV49" s="13">
        <v>215</v>
      </c>
      <c r="GW49" s="644"/>
      <c r="GX49" s="13">
        <v>165</v>
      </c>
      <c r="GY49" s="644"/>
      <c r="GZ49" s="13">
        <v>379</v>
      </c>
      <c r="HA49" s="644"/>
      <c r="HB49" s="13">
        <v>58</v>
      </c>
      <c r="HC49" s="644"/>
      <c r="HD49" s="13">
        <v>543613</v>
      </c>
      <c r="HE49" s="644"/>
      <c r="HF49" s="13"/>
      <c r="HG49" s="644"/>
      <c r="HH49" s="13" t="s">
        <v>465</v>
      </c>
      <c r="HI49" s="644"/>
      <c r="HJ49" s="644"/>
      <c r="HK49" s="644"/>
      <c r="HL49" s="13" t="s">
        <v>541</v>
      </c>
      <c r="HM49" s="644"/>
      <c r="HN49" s="13" t="s">
        <v>465</v>
      </c>
      <c r="HO49" s="644"/>
      <c r="HP49" s="709">
        <v>62</v>
      </c>
      <c r="HQ49" s="644"/>
      <c r="HR49" s="13">
        <v>301</v>
      </c>
      <c r="HS49" s="644"/>
      <c r="HT49" s="711" t="s">
        <v>1302</v>
      </c>
      <c r="HU49" s="644"/>
      <c r="HV49" s="709">
        <v>22</v>
      </c>
      <c r="HW49" s="644"/>
      <c r="HX49" s="13">
        <v>4</v>
      </c>
      <c r="HY49" s="644"/>
      <c r="HZ49" s="13">
        <v>166</v>
      </c>
      <c r="IA49" s="644"/>
      <c r="IB49" s="644"/>
      <c r="IC49" s="644"/>
      <c r="ID49" s="13">
        <v>325</v>
      </c>
      <c r="IE49" s="644"/>
      <c r="IF49" s="13" t="s">
        <v>1252</v>
      </c>
      <c r="IG49" s="756" t="s">
        <v>1253</v>
      </c>
      <c r="IH49" s="13">
        <v>1133</v>
      </c>
      <c r="II49" s="644"/>
      <c r="IJ49" s="644"/>
      <c r="IK49" s="644"/>
      <c r="IL49" s="711">
        <v>0</v>
      </c>
      <c r="IM49" s="644"/>
      <c r="IN49" s="712">
        <v>0</v>
      </c>
      <c r="IO49" s="644"/>
      <c r="IP49" s="13" t="s">
        <v>541</v>
      </c>
      <c r="IQ49" s="644"/>
      <c r="IR49" s="13">
        <v>264</v>
      </c>
      <c r="IS49" s="644"/>
      <c r="IT49" s="13">
        <v>105</v>
      </c>
      <c r="IU49" s="644"/>
      <c r="IV49" s="13">
        <v>357</v>
      </c>
      <c r="IW49" s="644"/>
      <c r="IX49" s="710">
        <v>16</v>
      </c>
      <c r="IY49" s="644"/>
      <c r="IZ49" s="13">
        <v>477</v>
      </c>
      <c r="JA49" s="644"/>
      <c r="JB49" s="13"/>
      <c r="JC49" s="644"/>
      <c r="JD49" s="13">
        <v>123</v>
      </c>
      <c r="JE49" s="644"/>
      <c r="JF49" s="644"/>
      <c r="JG49" s="644"/>
      <c r="JH49" s="13"/>
      <c r="JI49" s="644"/>
      <c r="JJ49" s="644"/>
      <c r="JK49" s="644"/>
      <c r="JL49" s="644"/>
      <c r="JM49" s="644"/>
      <c r="JN49" s="13"/>
      <c r="JO49" s="644"/>
      <c r="JP49" s="644"/>
      <c r="JQ49" s="644"/>
      <c r="JR49" s="713">
        <v>1927</v>
      </c>
      <c r="JS49" s="644"/>
      <c r="JT49" s="13">
        <v>21</v>
      </c>
      <c r="JU49" s="644"/>
      <c r="JV49" s="13"/>
      <c r="JW49" s="644"/>
      <c r="JX49" s="13">
        <v>509</v>
      </c>
      <c r="JY49" s="644"/>
    </row>
    <row r="50" spans="1:285" ht="62.25" customHeight="1" x14ac:dyDescent="0.2">
      <c r="A50" s="1565"/>
      <c r="B50" s="1571"/>
      <c r="C50" s="82" t="s">
        <v>109</v>
      </c>
      <c r="D50" s="83" t="s">
        <v>195</v>
      </c>
      <c r="E50" s="755" t="s">
        <v>53</v>
      </c>
      <c r="F50" s="13">
        <v>20</v>
      </c>
      <c r="G50" s="756"/>
      <c r="H50" s="13">
        <v>17</v>
      </c>
      <c r="I50" s="644"/>
      <c r="J50" s="13">
        <v>29</v>
      </c>
      <c r="K50" s="644"/>
      <c r="L50" s="13">
        <v>53</v>
      </c>
      <c r="M50" s="644"/>
      <c r="N50" s="808">
        <v>454</v>
      </c>
      <c r="O50" s="644"/>
      <c r="P50" s="681">
        <v>1E-4</v>
      </c>
      <c r="Q50" s="644"/>
      <c r="R50" s="13">
        <v>172</v>
      </c>
      <c r="S50" s="644"/>
      <c r="T50" s="644"/>
      <c r="U50" s="644"/>
      <c r="V50" s="644"/>
      <c r="W50" s="644"/>
      <c r="X50" s="644"/>
      <c r="Y50" s="644"/>
      <c r="Z50" s="13">
        <v>1033</v>
      </c>
      <c r="AA50" s="644"/>
      <c r="AB50" s="703" t="s">
        <v>2327</v>
      </c>
      <c r="AC50" s="644"/>
      <c r="AD50" s="13">
        <v>380</v>
      </c>
      <c r="AE50" s="644"/>
      <c r="AF50" s="644"/>
      <c r="AG50" s="644"/>
      <c r="AH50" s="644"/>
      <c r="AI50" s="644"/>
      <c r="AJ50" s="709">
        <v>227</v>
      </c>
      <c r="AK50" s="644"/>
      <c r="AL50" s="13">
        <v>1324</v>
      </c>
      <c r="AM50" s="644"/>
      <c r="AN50" s="13">
        <v>169</v>
      </c>
      <c r="AO50" s="644"/>
      <c r="AP50" s="13">
        <v>27</v>
      </c>
      <c r="AQ50" s="644"/>
      <c r="AR50" s="13">
        <v>241</v>
      </c>
      <c r="AS50" s="644"/>
      <c r="AT50" s="13">
        <v>277</v>
      </c>
      <c r="AU50" s="644"/>
      <c r="AV50" s="808">
        <v>984</v>
      </c>
      <c r="AW50" s="644"/>
      <c r="AX50" s="13">
        <v>164</v>
      </c>
      <c r="AY50" s="644"/>
      <c r="AZ50" s="13">
        <v>79</v>
      </c>
      <c r="BA50" s="644"/>
      <c r="BB50" s="644"/>
      <c r="BC50" s="644"/>
      <c r="BD50" s="5">
        <v>197</v>
      </c>
      <c r="BE50" s="644"/>
      <c r="BF50" s="13">
        <v>49</v>
      </c>
      <c r="BG50" s="644"/>
      <c r="BH50" s="644"/>
      <c r="BI50" s="644"/>
      <c r="BJ50" s="13">
        <v>16</v>
      </c>
      <c r="BK50" s="644"/>
      <c r="BL50" s="13">
        <v>183</v>
      </c>
      <c r="BM50" s="644"/>
      <c r="BN50" s="13">
        <v>4</v>
      </c>
      <c r="BO50" s="644"/>
      <c r="BP50" s="710">
        <v>454</v>
      </c>
      <c r="BQ50" s="644"/>
      <c r="BR50" s="13">
        <v>27</v>
      </c>
      <c r="BS50" s="644"/>
      <c r="BT50" s="13">
        <v>21</v>
      </c>
      <c r="BU50" s="644"/>
      <c r="BV50" s="13">
        <v>73</v>
      </c>
      <c r="BW50" s="644"/>
      <c r="BX50" s="710">
        <v>56</v>
      </c>
      <c r="BY50" s="644"/>
      <c r="BZ50" s="710">
        <v>21</v>
      </c>
      <c r="CA50" s="644"/>
      <c r="CB50" s="13">
        <v>205</v>
      </c>
      <c r="CC50" s="644"/>
      <c r="CD50" s="644"/>
      <c r="CE50" s="644"/>
      <c r="CF50" s="644"/>
      <c r="CG50" s="644"/>
      <c r="CH50" s="710">
        <v>89</v>
      </c>
      <c r="CI50" s="13"/>
      <c r="CJ50" s="13">
        <v>216</v>
      </c>
      <c r="CK50" s="13"/>
      <c r="CL50" s="13">
        <v>142</v>
      </c>
      <c r="CM50" s="644"/>
      <c r="CN50" s="13"/>
      <c r="CO50" s="644"/>
      <c r="CP50" s="13">
        <v>57</v>
      </c>
      <c r="CQ50" s="644"/>
      <c r="CR50" s="13">
        <v>416</v>
      </c>
      <c r="CS50" s="644"/>
      <c r="CT50" s="13">
        <v>539</v>
      </c>
      <c r="CU50" s="644"/>
      <c r="CV50" s="13">
        <v>33</v>
      </c>
      <c r="CW50" s="644"/>
      <c r="CX50" s="13">
        <v>308</v>
      </c>
      <c r="CY50" s="644"/>
      <c r="CZ50" s="13">
        <v>100</v>
      </c>
      <c r="DA50" s="644"/>
      <c r="DB50" s="13">
        <v>150</v>
      </c>
      <c r="DC50" s="644"/>
      <c r="DD50" s="703">
        <v>241</v>
      </c>
      <c r="DE50" s="644"/>
      <c r="DF50" s="644"/>
      <c r="DG50" s="644"/>
      <c r="DH50" s="13"/>
      <c r="DI50" s="644"/>
      <c r="DJ50" s="809">
        <v>58</v>
      </c>
      <c r="DK50" s="644"/>
      <c r="DL50" s="644"/>
      <c r="DM50" s="644"/>
      <c r="DN50" s="13">
        <v>199</v>
      </c>
      <c r="DO50" s="644"/>
      <c r="DP50" s="644"/>
      <c r="DQ50" s="644"/>
      <c r="DR50" s="644"/>
      <c r="DS50" s="644"/>
      <c r="DT50" s="644"/>
      <c r="DU50" s="644"/>
      <c r="DV50" s="13">
        <v>328</v>
      </c>
      <c r="DW50" s="644"/>
      <c r="DX50" s="13">
        <v>238</v>
      </c>
      <c r="DY50" s="644"/>
      <c r="DZ50" s="13">
        <v>93</v>
      </c>
      <c r="EA50" s="644"/>
      <c r="EB50" s="644"/>
      <c r="EC50" s="644"/>
      <c r="ED50" s="644"/>
      <c r="EE50" s="644"/>
      <c r="EF50" s="13">
        <v>117</v>
      </c>
      <c r="EG50" s="644"/>
      <c r="EH50" s="13">
        <v>76</v>
      </c>
      <c r="EI50" s="644"/>
      <c r="EJ50" s="644"/>
      <c r="EK50" s="644"/>
      <c r="EL50" s="644"/>
      <c r="EM50" s="644"/>
      <c r="EN50" s="13">
        <v>648</v>
      </c>
      <c r="EO50" s="644"/>
      <c r="EP50" s="13">
        <v>62</v>
      </c>
      <c r="EQ50" s="644"/>
      <c r="ER50" s="644"/>
      <c r="ES50" s="644"/>
      <c r="ET50" s="13" t="s">
        <v>465</v>
      </c>
      <c r="EU50" s="644"/>
      <c r="EV50" s="13">
        <v>798</v>
      </c>
      <c r="EW50" s="644"/>
      <c r="EX50" s="13">
        <v>142</v>
      </c>
      <c r="EY50" s="644"/>
      <c r="EZ50" s="13">
        <v>53</v>
      </c>
      <c r="FA50" s="644"/>
      <c r="FB50" s="13">
        <v>5</v>
      </c>
      <c r="FC50" s="644"/>
      <c r="FD50" s="13">
        <v>41</v>
      </c>
      <c r="FE50" s="644"/>
      <c r="FF50" s="13">
        <v>63</v>
      </c>
      <c r="FG50" s="644"/>
      <c r="FH50" s="13">
        <v>111</v>
      </c>
      <c r="FI50" s="644"/>
      <c r="FJ50" s="13"/>
      <c r="FK50" s="644"/>
      <c r="FL50" s="811">
        <v>214</v>
      </c>
      <c r="FM50" s="644"/>
      <c r="FN50" s="13"/>
      <c r="FO50" s="644"/>
      <c r="FP50" s="13">
        <v>218</v>
      </c>
      <c r="FQ50" s="644"/>
      <c r="FR50" s="644"/>
      <c r="FS50" s="644"/>
      <c r="FT50" s="644"/>
      <c r="FU50" s="644"/>
      <c r="FV50" s="644"/>
      <c r="FW50" s="644"/>
      <c r="FX50" s="703">
        <v>475</v>
      </c>
      <c r="FY50" s="644"/>
      <c r="FZ50" s="644"/>
      <c r="GA50" s="644"/>
      <c r="GB50" s="13">
        <v>148</v>
      </c>
      <c r="GC50" s="644"/>
      <c r="GD50" s="13">
        <v>376</v>
      </c>
      <c r="GE50" s="644"/>
      <c r="GF50" s="703">
        <v>13</v>
      </c>
      <c r="GG50" s="644"/>
      <c r="GH50" s="13">
        <v>314</v>
      </c>
      <c r="GI50" s="644"/>
      <c r="GJ50" s="811">
        <v>432</v>
      </c>
      <c r="GK50" s="644"/>
      <c r="GL50" s="13">
        <v>0</v>
      </c>
      <c r="GM50" s="644"/>
      <c r="GN50" s="13">
        <v>53</v>
      </c>
      <c r="GO50" s="644"/>
      <c r="GP50" s="13">
        <v>11</v>
      </c>
      <c r="GQ50" s="644"/>
      <c r="GR50" s="13">
        <v>202</v>
      </c>
      <c r="GS50" s="644"/>
      <c r="GT50" s="13">
        <v>503</v>
      </c>
      <c r="GU50" s="644"/>
      <c r="GV50" s="13">
        <v>84</v>
      </c>
      <c r="GW50" s="644"/>
      <c r="GX50" s="13">
        <v>29</v>
      </c>
      <c r="GY50" s="644"/>
      <c r="GZ50" s="13">
        <v>136</v>
      </c>
      <c r="HA50" s="644"/>
      <c r="HB50" s="13">
        <v>23</v>
      </c>
      <c r="HC50" s="644"/>
      <c r="HD50" s="13"/>
      <c r="HE50" s="644"/>
      <c r="HF50" s="13">
        <v>9</v>
      </c>
      <c r="HG50" s="644"/>
      <c r="HH50" s="13">
        <v>89</v>
      </c>
      <c r="HI50" s="644"/>
      <c r="HJ50" s="644"/>
      <c r="HK50" s="644"/>
      <c r="HL50" s="13">
        <v>24</v>
      </c>
      <c r="HM50" s="644"/>
      <c r="HN50" s="13">
        <v>326</v>
      </c>
      <c r="HO50" s="644"/>
      <c r="HP50" s="709">
        <v>62</v>
      </c>
      <c r="HQ50" s="644"/>
      <c r="HR50" s="13">
        <v>301</v>
      </c>
      <c r="HS50" s="644"/>
      <c r="HT50" s="711">
        <v>641</v>
      </c>
      <c r="HU50" s="644"/>
      <c r="HV50" s="709">
        <v>22</v>
      </c>
      <c r="HW50" s="644"/>
      <c r="HX50" s="13">
        <v>4</v>
      </c>
      <c r="HY50" s="644"/>
      <c r="HZ50" s="13">
        <v>131</v>
      </c>
      <c r="IA50" s="644"/>
      <c r="IB50" s="644"/>
      <c r="IC50" s="644"/>
      <c r="ID50" s="13">
        <v>325</v>
      </c>
      <c r="IE50" s="644"/>
      <c r="IF50" s="703">
        <v>92</v>
      </c>
      <c r="IG50" s="756"/>
      <c r="IH50" s="13">
        <v>1133</v>
      </c>
      <c r="II50" s="644"/>
      <c r="IJ50" s="644"/>
      <c r="IK50" s="644"/>
      <c r="IL50" s="711">
        <v>34</v>
      </c>
      <c r="IM50" s="644"/>
      <c r="IN50" s="712">
        <v>0</v>
      </c>
      <c r="IO50" s="644"/>
      <c r="IP50" s="13">
        <v>244</v>
      </c>
      <c r="IQ50" s="644"/>
      <c r="IR50" s="13">
        <v>144</v>
      </c>
      <c r="IS50" s="644"/>
      <c r="IT50" s="13">
        <v>35</v>
      </c>
      <c r="IU50" s="644"/>
      <c r="IV50" s="13">
        <v>357</v>
      </c>
      <c r="IW50" s="644"/>
      <c r="IX50" s="710">
        <v>16</v>
      </c>
      <c r="IY50" s="644"/>
      <c r="IZ50" s="13">
        <v>472</v>
      </c>
      <c r="JA50" s="644"/>
      <c r="JB50" s="13"/>
      <c r="JC50" s="644"/>
      <c r="JD50" s="13">
        <v>58</v>
      </c>
      <c r="JE50" s="644"/>
      <c r="JF50" s="644"/>
      <c r="JG50" s="644"/>
      <c r="JH50" s="13">
        <v>36</v>
      </c>
      <c r="JI50" s="644"/>
      <c r="JJ50" s="644"/>
      <c r="JK50" s="644"/>
      <c r="JL50" s="644"/>
      <c r="JM50" s="644"/>
      <c r="JN50" s="13">
        <v>1063</v>
      </c>
      <c r="JO50" s="644"/>
      <c r="JP50" s="644"/>
      <c r="JQ50" s="644"/>
      <c r="JR50" s="713">
        <v>1704</v>
      </c>
      <c r="JS50" s="644"/>
      <c r="JT50" s="13">
        <v>21</v>
      </c>
      <c r="JU50" s="644"/>
      <c r="JV50" s="13"/>
      <c r="JW50" s="644"/>
      <c r="JX50" s="13">
        <v>478</v>
      </c>
      <c r="JY50" s="644"/>
    </row>
    <row r="51" spans="1:285" ht="48" customHeight="1" thickBot="1" x14ac:dyDescent="0.25">
      <c r="A51" s="1568"/>
      <c r="B51" s="1572"/>
      <c r="C51" s="85" t="s">
        <v>110</v>
      </c>
      <c r="D51" s="86" t="s">
        <v>196</v>
      </c>
      <c r="E51" s="755" t="s">
        <v>53</v>
      </c>
      <c r="F51" s="13">
        <v>12</v>
      </c>
      <c r="G51" s="756"/>
      <c r="H51" s="13">
        <v>8</v>
      </c>
      <c r="I51" s="644"/>
      <c r="J51" s="13">
        <v>22</v>
      </c>
      <c r="K51" s="644"/>
      <c r="L51" s="13">
        <v>26</v>
      </c>
      <c r="M51" s="644"/>
      <c r="N51" s="808">
        <v>372</v>
      </c>
      <c r="O51" s="644"/>
      <c r="P51" s="709">
        <v>66</v>
      </c>
      <c r="Q51" s="644"/>
      <c r="R51" s="13">
        <v>172</v>
      </c>
      <c r="S51" s="644"/>
      <c r="T51" s="644"/>
      <c r="U51" s="644"/>
      <c r="V51" s="644"/>
      <c r="W51" s="644"/>
      <c r="X51" s="644"/>
      <c r="Y51" s="644"/>
      <c r="Z51" s="13">
        <v>563</v>
      </c>
      <c r="AA51" s="644"/>
      <c r="AB51" s="13">
        <v>1095</v>
      </c>
      <c r="AC51" s="644"/>
      <c r="AD51" s="13">
        <v>380</v>
      </c>
      <c r="AE51" s="644"/>
      <c r="AF51" s="644"/>
      <c r="AG51" s="644"/>
      <c r="AH51" s="644"/>
      <c r="AI51" s="644"/>
      <c r="AJ51" s="709">
        <v>119</v>
      </c>
      <c r="AK51" s="644"/>
      <c r="AL51" s="13">
        <v>1054</v>
      </c>
      <c r="AM51" s="644"/>
      <c r="AN51" s="13"/>
      <c r="AO51" s="644"/>
      <c r="AP51" s="13">
        <v>27</v>
      </c>
      <c r="AQ51" s="644"/>
      <c r="AR51" s="13" t="s">
        <v>1014</v>
      </c>
      <c r="AS51" s="644"/>
      <c r="AT51" s="13">
        <v>166</v>
      </c>
      <c r="AU51" s="644"/>
      <c r="AV51" s="808">
        <v>976</v>
      </c>
      <c r="AW51" s="644"/>
      <c r="AX51" s="13">
        <v>93</v>
      </c>
      <c r="AY51" s="644"/>
      <c r="AZ51" s="13">
        <v>46</v>
      </c>
      <c r="BA51" s="644"/>
      <c r="BB51" s="644"/>
      <c r="BC51" s="644"/>
      <c r="BD51" s="5">
        <v>73</v>
      </c>
      <c r="BE51" s="644"/>
      <c r="BF51" s="13">
        <v>49</v>
      </c>
      <c r="BG51" s="644"/>
      <c r="BH51" s="644"/>
      <c r="BI51" s="644"/>
      <c r="BJ51" s="13">
        <v>8</v>
      </c>
      <c r="BK51" s="644"/>
      <c r="BL51" s="13">
        <v>100</v>
      </c>
      <c r="BM51" s="644"/>
      <c r="BN51" s="13">
        <v>4</v>
      </c>
      <c r="BO51" s="644"/>
      <c r="BP51" s="710">
        <v>454</v>
      </c>
      <c r="BQ51" s="644"/>
      <c r="BR51" s="13">
        <v>27</v>
      </c>
      <c r="BS51" s="644"/>
      <c r="BT51" s="13">
        <v>21</v>
      </c>
      <c r="BU51" s="644"/>
      <c r="BV51" s="13">
        <v>67</v>
      </c>
      <c r="BW51" s="644"/>
      <c r="BX51" s="710">
        <v>56</v>
      </c>
      <c r="BY51" s="644"/>
      <c r="BZ51" s="710">
        <v>18</v>
      </c>
      <c r="CA51" s="644"/>
      <c r="CB51" s="13">
        <v>205</v>
      </c>
      <c r="CC51" s="644"/>
      <c r="CD51" s="644"/>
      <c r="CE51" s="644"/>
      <c r="CF51" s="644"/>
      <c r="CG51" s="644"/>
      <c r="CH51" s="710">
        <v>84</v>
      </c>
      <c r="CI51" s="13"/>
      <c r="CJ51" s="13">
        <v>92</v>
      </c>
      <c r="CK51" s="13"/>
      <c r="CL51" s="13">
        <v>142</v>
      </c>
      <c r="CM51" s="644"/>
      <c r="CN51" s="13"/>
      <c r="CO51" s="644"/>
      <c r="CP51" s="13">
        <v>20</v>
      </c>
      <c r="CQ51" s="644"/>
      <c r="CR51" s="13">
        <v>332</v>
      </c>
      <c r="CS51" s="644"/>
      <c r="CT51" s="13">
        <v>236</v>
      </c>
      <c r="CU51" s="644"/>
      <c r="CV51" s="13">
        <v>33</v>
      </c>
      <c r="CW51" s="644"/>
      <c r="CX51" s="13">
        <v>209</v>
      </c>
      <c r="CY51" s="644"/>
      <c r="CZ51" s="13">
        <v>77</v>
      </c>
      <c r="DA51" s="644"/>
      <c r="DB51" s="13">
        <v>150</v>
      </c>
      <c r="DC51" s="644"/>
      <c r="DD51" s="703">
        <v>183</v>
      </c>
      <c r="DE51" s="644"/>
      <c r="DF51" s="644"/>
      <c r="DG51" s="644"/>
      <c r="DH51" s="13"/>
      <c r="DI51" s="644"/>
      <c r="DJ51" s="809">
        <v>11</v>
      </c>
      <c r="DK51" s="644"/>
      <c r="DL51" s="644"/>
      <c r="DM51" s="644"/>
      <c r="DN51" s="13">
        <v>191</v>
      </c>
      <c r="DO51" s="644"/>
      <c r="DP51" s="644"/>
      <c r="DQ51" s="644"/>
      <c r="DR51" s="644"/>
      <c r="DS51" s="644"/>
      <c r="DT51" s="644"/>
      <c r="DU51" s="644"/>
      <c r="DV51" s="13">
        <v>328</v>
      </c>
      <c r="DW51" s="644"/>
      <c r="DX51" s="13">
        <v>238</v>
      </c>
      <c r="DY51" s="644"/>
      <c r="DZ51" s="13">
        <v>67</v>
      </c>
      <c r="EA51" s="644"/>
      <c r="EB51" s="644"/>
      <c r="EC51" s="644"/>
      <c r="ED51" s="644"/>
      <c r="EE51" s="644"/>
      <c r="EF51" s="13">
        <v>25</v>
      </c>
      <c r="EG51" s="644"/>
      <c r="EH51" s="810">
        <v>43</v>
      </c>
      <c r="EI51" s="772" t="s">
        <v>2073</v>
      </c>
      <c r="EJ51" s="644"/>
      <c r="EK51" s="644"/>
      <c r="EL51" s="644"/>
      <c r="EM51" s="644"/>
      <c r="EN51" s="13">
        <v>587</v>
      </c>
      <c r="EO51" s="644"/>
      <c r="EP51" s="13">
        <v>62</v>
      </c>
      <c r="EQ51" s="644"/>
      <c r="ER51" s="644"/>
      <c r="ES51" s="644"/>
      <c r="ET51" s="13">
        <v>103</v>
      </c>
      <c r="EU51" s="644"/>
      <c r="EV51" s="13">
        <v>471</v>
      </c>
      <c r="EW51" s="644"/>
      <c r="EX51" s="13">
        <v>142</v>
      </c>
      <c r="EY51" s="644"/>
      <c r="EZ51" s="13">
        <v>53</v>
      </c>
      <c r="FA51" s="644"/>
      <c r="FB51" s="13">
        <v>2</v>
      </c>
      <c r="FC51" s="644"/>
      <c r="FD51" s="13">
        <v>9</v>
      </c>
      <c r="FE51" s="644"/>
      <c r="FF51" s="13">
        <v>50</v>
      </c>
      <c r="FG51" s="644"/>
      <c r="FH51" s="13">
        <v>102</v>
      </c>
      <c r="FI51" s="644"/>
      <c r="FJ51" s="13"/>
      <c r="FK51" s="644"/>
      <c r="FL51" s="811">
        <v>214</v>
      </c>
      <c r="FM51" s="644"/>
      <c r="FN51" s="13">
        <v>14</v>
      </c>
      <c r="FO51" s="644"/>
      <c r="FP51" s="13">
        <v>135</v>
      </c>
      <c r="FQ51" s="644"/>
      <c r="FR51" s="644"/>
      <c r="FS51" s="644"/>
      <c r="FT51" s="644"/>
      <c r="FU51" s="644"/>
      <c r="FV51" s="644"/>
      <c r="FW51" s="644"/>
      <c r="FX51" s="703">
        <v>185</v>
      </c>
      <c r="FY51" s="644"/>
      <c r="FZ51" s="644"/>
      <c r="GA51" s="644"/>
      <c r="GB51" s="13">
        <v>78</v>
      </c>
      <c r="GC51" s="644"/>
      <c r="GD51" s="13">
        <v>160</v>
      </c>
      <c r="GE51" s="644"/>
      <c r="GF51" s="703">
        <v>13</v>
      </c>
      <c r="GG51" s="644"/>
      <c r="GH51" s="13">
        <v>202</v>
      </c>
      <c r="GI51" s="644"/>
      <c r="GJ51" s="811">
        <v>277</v>
      </c>
      <c r="GK51" s="644"/>
      <c r="GL51" s="13">
        <v>0</v>
      </c>
      <c r="GM51" s="644"/>
      <c r="GN51" s="13">
        <f>17+6</f>
        <v>23</v>
      </c>
      <c r="GO51" s="644"/>
      <c r="GP51" s="13">
        <v>2</v>
      </c>
      <c r="GQ51" s="644"/>
      <c r="GR51" s="13">
        <v>156</v>
      </c>
      <c r="GS51" s="644"/>
      <c r="GT51" s="13">
        <v>332</v>
      </c>
      <c r="GU51" s="644"/>
      <c r="GV51" s="13">
        <v>66</v>
      </c>
      <c r="GW51" s="644"/>
      <c r="GX51" s="13">
        <v>10</v>
      </c>
      <c r="GY51" s="644"/>
      <c r="GZ51" s="13">
        <v>136</v>
      </c>
      <c r="HA51" s="644"/>
      <c r="HB51" s="13">
        <v>14</v>
      </c>
      <c r="HC51" s="644"/>
      <c r="HD51" s="13">
        <v>102</v>
      </c>
      <c r="HE51" s="644"/>
      <c r="HF51" s="13">
        <v>1</v>
      </c>
      <c r="HG51" s="644"/>
      <c r="HH51" s="13">
        <v>50</v>
      </c>
      <c r="HI51" s="644"/>
      <c r="HJ51" s="644"/>
      <c r="HK51" s="644"/>
      <c r="HL51" s="13">
        <v>9</v>
      </c>
      <c r="HM51" s="644"/>
      <c r="HN51" s="13">
        <v>279</v>
      </c>
      <c r="HO51" s="644"/>
      <c r="HP51" s="709">
        <v>30</v>
      </c>
      <c r="HQ51" s="644"/>
      <c r="HR51" s="13">
        <v>301</v>
      </c>
      <c r="HS51" s="644"/>
      <c r="HT51" s="711">
        <v>641</v>
      </c>
      <c r="HU51" s="644"/>
      <c r="HV51" s="709">
        <v>1</v>
      </c>
      <c r="HW51" s="644"/>
      <c r="HX51" s="13">
        <v>4</v>
      </c>
      <c r="HY51" s="644"/>
      <c r="HZ51" s="13">
        <v>76</v>
      </c>
      <c r="IA51" s="644"/>
      <c r="IB51" s="644"/>
      <c r="IC51" s="644"/>
      <c r="ID51" s="13">
        <v>271</v>
      </c>
      <c r="IE51" s="644"/>
      <c r="IF51" s="703">
        <v>69</v>
      </c>
      <c r="IG51" s="756"/>
      <c r="IH51" s="13">
        <v>346</v>
      </c>
      <c r="II51" s="644"/>
      <c r="IJ51" s="644"/>
      <c r="IK51" s="644"/>
      <c r="IL51" s="711">
        <v>34</v>
      </c>
      <c r="IM51" s="644"/>
      <c r="IN51" s="712">
        <v>0</v>
      </c>
      <c r="IO51" s="644"/>
      <c r="IP51" s="13">
        <v>244</v>
      </c>
      <c r="IQ51" s="644"/>
      <c r="IR51" s="13">
        <v>143</v>
      </c>
      <c r="IS51" s="644"/>
      <c r="IT51" s="13">
        <v>34</v>
      </c>
      <c r="IU51" s="644"/>
      <c r="IV51" s="13">
        <v>146</v>
      </c>
      <c r="IW51" s="644"/>
      <c r="IX51" s="710">
        <v>16</v>
      </c>
      <c r="IY51" s="644"/>
      <c r="IZ51" s="13">
        <v>195</v>
      </c>
      <c r="JA51" s="644"/>
      <c r="JB51" s="13"/>
      <c r="JC51" s="644"/>
      <c r="JD51" s="13">
        <v>51</v>
      </c>
      <c r="JE51" s="644"/>
      <c r="JF51" s="644"/>
      <c r="JG51" s="644"/>
      <c r="JH51" s="13">
        <v>29</v>
      </c>
      <c r="JI51" s="644"/>
      <c r="JJ51" s="644"/>
      <c r="JK51" s="644"/>
      <c r="JL51" s="644"/>
      <c r="JM51" s="644"/>
      <c r="JN51" s="13">
        <v>1063</v>
      </c>
      <c r="JO51" s="644"/>
      <c r="JP51" s="644"/>
      <c r="JQ51" s="644"/>
      <c r="JR51" s="713">
        <v>1692</v>
      </c>
      <c r="JS51" s="644"/>
      <c r="JT51" s="13">
        <v>18</v>
      </c>
      <c r="JU51" s="644"/>
      <c r="JV51" s="13"/>
      <c r="JW51" s="644"/>
      <c r="JX51" s="13">
        <v>458</v>
      </c>
      <c r="JY51" s="644"/>
    </row>
    <row r="52" spans="1:285" ht="29.25" customHeight="1" x14ac:dyDescent="0.2">
      <c r="A52" s="1565" t="s">
        <v>18</v>
      </c>
      <c r="B52" s="1578" t="s">
        <v>276</v>
      </c>
      <c r="C52" s="79" t="s">
        <v>111</v>
      </c>
      <c r="D52" s="80" t="s">
        <v>19</v>
      </c>
      <c r="E52" s="813" t="s">
        <v>53</v>
      </c>
      <c r="F52" s="13">
        <v>1</v>
      </c>
      <c r="G52" s="756"/>
      <c r="H52" s="13"/>
      <c r="I52" s="644"/>
      <c r="J52" s="13" t="s">
        <v>465</v>
      </c>
      <c r="K52" s="644"/>
      <c r="L52" s="13"/>
      <c r="M52" s="644"/>
      <c r="N52" s="808">
        <v>27</v>
      </c>
      <c r="O52" s="644"/>
      <c r="P52" s="709">
        <v>26</v>
      </c>
      <c r="Q52" s="644"/>
      <c r="R52" s="13">
        <v>3</v>
      </c>
      <c r="S52" s="644"/>
      <c r="T52" s="644"/>
      <c r="U52" s="644"/>
      <c r="V52" s="644"/>
      <c r="W52" s="644"/>
      <c r="X52" s="644"/>
      <c r="Y52" s="644"/>
      <c r="Z52" s="13">
        <v>15</v>
      </c>
      <c r="AA52" s="644"/>
      <c r="AB52" s="13">
        <v>36</v>
      </c>
      <c r="AC52" s="644"/>
      <c r="AD52" s="13">
        <v>0</v>
      </c>
      <c r="AE52" s="644"/>
      <c r="AF52" s="644"/>
      <c r="AG52" s="644"/>
      <c r="AH52" s="644"/>
      <c r="AI52" s="644"/>
      <c r="AJ52" s="709">
        <v>0</v>
      </c>
      <c r="AK52" s="644"/>
      <c r="AL52" s="13">
        <v>4</v>
      </c>
      <c r="AM52" s="644"/>
      <c r="AN52" s="13"/>
      <c r="AO52" s="644"/>
      <c r="AP52" s="13"/>
      <c r="AQ52" s="644"/>
      <c r="AR52" s="13">
        <v>2</v>
      </c>
      <c r="AS52" s="644"/>
      <c r="AT52" s="13">
        <v>7</v>
      </c>
      <c r="AU52" s="644"/>
      <c r="AV52" s="808">
        <v>117</v>
      </c>
      <c r="AW52" s="644"/>
      <c r="AX52" s="13">
        <v>26</v>
      </c>
      <c r="AY52" s="644"/>
      <c r="AZ52" s="13"/>
      <c r="BA52" s="644"/>
      <c r="BB52" s="644"/>
      <c r="BC52" s="644"/>
      <c r="BD52" s="5">
        <v>12</v>
      </c>
      <c r="BE52" s="644"/>
      <c r="BF52" s="13"/>
      <c r="BG52" s="644"/>
      <c r="BH52" s="644"/>
      <c r="BI52" s="644"/>
      <c r="BJ52" s="13"/>
      <c r="BK52" s="644"/>
      <c r="BL52" s="13"/>
      <c r="BM52" s="644"/>
      <c r="BN52" s="13"/>
      <c r="BO52" s="644"/>
      <c r="BP52" s="710">
        <v>168</v>
      </c>
      <c r="BQ52" s="644"/>
      <c r="BR52" s="13"/>
      <c r="BS52" s="644"/>
      <c r="BT52" s="13">
        <v>54</v>
      </c>
      <c r="BU52" s="644"/>
      <c r="BV52" s="13"/>
      <c r="BW52" s="644"/>
      <c r="BX52" s="710"/>
      <c r="BY52" s="644"/>
      <c r="BZ52" s="710">
        <v>1</v>
      </c>
      <c r="CA52" s="644"/>
      <c r="CB52" s="13">
        <v>3</v>
      </c>
      <c r="CC52" s="644"/>
      <c r="CD52" s="644"/>
      <c r="CE52" s="644"/>
      <c r="CF52" s="644"/>
      <c r="CG52" s="644"/>
      <c r="CH52" s="710">
        <v>4</v>
      </c>
      <c r="CI52" s="13"/>
      <c r="CJ52" s="13">
        <v>9</v>
      </c>
      <c r="CK52" s="13"/>
      <c r="CL52" s="13">
        <v>0</v>
      </c>
      <c r="CM52" s="644"/>
      <c r="CN52" s="13"/>
      <c r="CO52" s="644"/>
      <c r="CP52" s="13"/>
      <c r="CQ52" s="644"/>
      <c r="CR52" s="13">
        <v>52</v>
      </c>
      <c r="CS52" s="644"/>
      <c r="CT52" s="13">
        <v>10</v>
      </c>
      <c r="CU52" s="644"/>
      <c r="CV52" s="13">
        <v>0</v>
      </c>
      <c r="CW52" s="644"/>
      <c r="CX52" s="13">
        <v>47</v>
      </c>
      <c r="CY52" s="644"/>
      <c r="CZ52" s="13">
        <v>0</v>
      </c>
      <c r="DA52" s="644"/>
      <c r="DB52" s="13">
        <v>0</v>
      </c>
      <c r="DC52" s="644"/>
      <c r="DD52" s="703" t="s">
        <v>465</v>
      </c>
      <c r="DE52" s="644"/>
      <c r="DF52" s="644"/>
      <c r="DG52" s="644"/>
      <c r="DH52" s="13"/>
      <c r="DI52" s="644"/>
      <c r="DJ52" s="809">
        <v>0</v>
      </c>
      <c r="DK52" s="644"/>
      <c r="DL52" s="644"/>
      <c r="DM52" s="644"/>
      <c r="DN52" s="13">
        <v>3</v>
      </c>
      <c r="DO52" s="644"/>
      <c r="DP52" s="644"/>
      <c r="DQ52" s="644"/>
      <c r="DR52" s="644"/>
      <c r="DS52" s="644"/>
      <c r="DT52" s="644"/>
      <c r="DU52" s="644"/>
      <c r="DV52" s="13">
        <v>12</v>
      </c>
      <c r="DW52" s="644"/>
      <c r="DX52" s="13">
        <v>0</v>
      </c>
      <c r="DY52" s="644"/>
      <c r="DZ52" s="703" t="s">
        <v>465</v>
      </c>
      <c r="EA52" s="644"/>
      <c r="EB52" s="644"/>
      <c r="EC52" s="644"/>
      <c r="ED52" s="644"/>
      <c r="EE52" s="644"/>
      <c r="EF52" s="13">
        <v>0</v>
      </c>
      <c r="EG52" s="644"/>
      <c r="EH52" s="13">
        <v>0</v>
      </c>
      <c r="EI52" s="644"/>
      <c r="EJ52" s="644"/>
      <c r="EK52" s="644"/>
      <c r="EL52" s="644"/>
      <c r="EM52" s="644"/>
      <c r="EN52" s="13">
        <v>0</v>
      </c>
      <c r="EO52" s="644"/>
      <c r="EP52" s="13">
        <v>0</v>
      </c>
      <c r="EQ52" s="644"/>
      <c r="ER52" s="644"/>
      <c r="ES52" s="644"/>
      <c r="ET52" s="13">
        <f>9+2</f>
        <v>11</v>
      </c>
      <c r="EU52" s="644"/>
      <c r="EV52" s="13">
        <v>30</v>
      </c>
      <c r="EW52" s="644"/>
      <c r="EX52" s="13" t="s">
        <v>465</v>
      </c>
      <c r="EY52" s="644"/>
      <c r="EZ52" s="13">
        <v>0</v>
      </c>
      <c r="FA52" s="644"/>
      <c r="FB52" s="13">
        <v>2</v>
      </c>
      <c r="FC52" s="644"/>
      <c r="FD52" s="13" t="s">
        <v>465</v>
      </c>
      <c r="FE52" s="644"/>
      <c r="FF52" s="13">
        <v>0</v>
      </c>
      <c r="FG52" s="644"/>
      <c r="FH52" s="13">
        <v>0</v>
      </c>
      <c r="FI52" s="644"/>
      <c r="FJ52" s="13"/>
      <c r="FK52" s="644"/>
      <c r="FL52" s="811">
        <v>2</v>
      </c>
      <c r="FM52" s="644"/>
      <c r="FN52" s="13"/>
      <c r="FO52" s="644"/>
      <c r="FP52" s="13">
        <v>10</v>
      </c>
      <c r="FQ52" s="644"/>
      <c r="FR52" s="644"/>
      <c r="FS52" s="644"/>
      <c r="FT52" s="644"/>
      <c r="FU52" s="644"/>
      <c r="FV52" s="644"/>
      <c r="FW52" s="644"/>
      <c r="FX52" s="13">
        <v>27</v>
      </c>
      <c r="FY52" s="644"/>
      <c r="FZ52" s="644"/>
      <c r="GA52" s="644"/>
      <c r="GB52" s="13">
        <v>2</v>
      </c>
      <c r="GC52" s="644"/>
      <c r="GD52" s="13" t="s">
        <v>2499</v>
      </c>
      <c r="GE52" s="644"/>
      <c r="GF52" s="703" t="s">
        <v>465</v>
      </c>
      <c r="GG52" s="644"/>
      <c r="GH52" s="13">
        <v>6</v>
      </c>
      <c r="GI52" s="644"/>
      <c r="GJ52" s="811">
        <v>23</v>
      </c>
      <c r="GK52" s="644"/>
      <c r="GL52" s="13"/>
      <c r="GM52" s="644"/>
      <c r="GN52" s="13"/>
      <c r="GO52" s="644"/>
      <c r="GP52" s="13">
        <v>0</v>
      </c>
      <c r="GQ52" s="644"/>
      <c r="GR52" s="13">
        <v>62</v>
      </c>
      <c r="GS52" s="644"/>
      <c r="GT52" s="13">
        <v>41</v>
      </c>
      <c r="GU52" s="644"/>
      <c r="GV52" s="13"/>
      <c r="GW52" s="644"/>
      <c r="GX52" s="13">
        <v>1</v>
      </c>
      <c r="GY52" s="644"/>
      <c r="GZ52" s="13"/>
      <c r="HA52" s="644"/>
      <c r="HB52" s="13"/>
      <c r="HC52" s="644"/>
      <c r="HD52" s="13"/>
      <c r="HE52" s="644"/>
      <c r="HF52" s="13"/>
      <c r="HG52" s="644"/>
      <c r="HH52" s="13" t="s">
        <v>465</v>
      </c>
      <c r="HI52" s="644"/>
      <c r="HJ52" s="644"/>
      <c r="HK52" s="644"/>
      <c r="HL52" s="13">
        <v>0</v>
      </c>
      <c r="HM52" s="644"/>
      <c r="HN52" s="13" t="s">
        <v>465</v>
      </c>
      <c r="HO52" s="644"/>
      <c r="HP52" s="13"/>
      <c r="HQ52" s="644"/>
      <c r="HR52" s="13"/>
      <c r="HS52" s="644"/>
      <c r="HT52" s="711">
        <v>89</v>
      </c>
      <c r="HU52" s="644"/>
      <c r="HV52" s="13"/>
      <c r="HW52" s="644"/>
      <c r="HX52" s="13"/>
      <c r="HY52" s="644"/>
      <c r="HZ52" s="13"/>
      <c r="IA52" s="644"/>
      <c r="IB52" s="644"/>
      <c r="IC52" s="644"/>
      <c r="ID52" s="13">
        <v>44</v>
      </c>
      <c r="IE52" s="644"/>
      <c r="IF52" s="13">
        <v>3</v>
      </c>
      <c r="IG52" s="756"/>
      <c r="IH52" s="13">
        <v>35</v>
      </c>
      <c r="II52" s="644"/>
      <c r="IJ52" s="644"/>
      <c r="IK52" s="644"/>
      <c r="IL52" s="711">
        <v>1</v>
      </c>
      <c r="IM52" s="644"/>
      <c r="IN52" s="712">
        <v>0</v>
      </c>
      <c r="IO52" s="644"/>
      <c r="IP52" s="13">
        <v>6</v>
      </c>
      <c r="IQ52" s="644"/>
      <c r="IR52" s="13"/>
      <c r="IS52" s="644"/>
      <c r="IT52" s="13">
        <v>0</v>
      </c>
      <c r="IU52" s="644"/>
      <c r="IV52" s="13">
        <v>0</v>
      </c>
      <c r="IW52" s="644"/>
      <c r="IX52" s="710"/>
      <c r="IY52" s="644"/>
      <c r="IZ52" s="13">
        <v>8</v>
      </c>
      <c r="JA52" s="644"/>
      <c r="JB52" s="13"/>
      <c r="JC52" s="644"/>
      <c r="JD52" s="13">
        <v>2</v>
      </c>
      <c r="JE52" s="644"/>
      <c r="JF52" s="644"/>
      <c r="JG52" s="644"/>
      <c r="JH52" s="13"/>
      <c r="JI52" s="644"/>
      <c r="JJ52" s="644"/>
      <c r="JK52" s="644"/>
      <c r="JL52" s="644"/>
      <c r="JM52" s="644"/>
      <c r="JN52" s="13">
        <v>0</v>
      </c>
      <c r="JO52" s="644"/>
      <c r="JP52" s="644"/>
      <c r="JQ52" s="644"/>
      <c r="JR52" s="713">
        <f>0+(1+1+5+1+1+4+3+3+1+6+2+1+4+3+1+6+5+6+2+2)</f>
        <v>58</v>
      </c>
      <c r="JS52" s="644"/>
      <c r="JT52" s="13" t="s">
        <v>465</v>
      </c>
      <c r="JU52" s="644"/>
      <c r="JV52" s="13"/>
      <c r="JW52" s="644"/>
      <c r="JX52" s="13">
        <v>3</v>
      </c>
      <c r="JY52" s="644"/>
    </row>
    <row r="53" spans="1:285" ht="45.75" customHeight="1" x14ac:dyDescent="0.2">
      <c r="A53" s="1565"/>
      <c r="B53" s="1580"/>
      <c r="C53" s="82" t="s">
        <v>112</v>
      </c>
      <c r="D53" s="83" t="s">
        <v>20</v>
      </c>
      <c r="E53" s="813" t="s">
        <v>53</v>
      </c>
      <c r="F53" s="13">
        <v>4</v>
      </c>
      <c r="G53" s="756"/>
      <c r="H53" s="13"/>
      <c r="I53" s="644"/>
      <c r="J53" s="13" t="s">
        <v>465</v>
      </c>
      <c r="K53" s="644"/>
      <c r="L53" s="13"/>
      <c r="M53" s="644"/>
      <c r="N53" s="808">
        <v>32</v>
      </c>
      <c r="O53" s="644"/>
      <c r="P53" s="709">
        <v>17</v>
      </c>
      <c r="Q53" s="644"/>
      <c r="R53" s="13"/>
      <c r="S53" s="644"/>
      <c r="T53" s="644"/>
      <c r="U53" s="644"/>
      <c r="V53" s="644"/>
      <c r="W53" s="644"/>
      <c r="X53" s="644"/>
      <c r="Y53" s="644"/>
      <c r="Z53" s="13">
        <v>116</v>
      </c>
      <c r="AA53" s="644"/>
      <c r="AB53" s="13">
        <v>103</v>
      </c>
      <c r="AC53" s="644"/>
      <c r="AD53" s="13">
        <v>0</v>
      </c>
      <c r="AE53" s="644"/>
      <c r="AF53" s="644"/>
      <c r="AG53" s="644"/>
      <c r="AH53" s="644"/>
      <c r="AI53" s="644"/>
      <c r="AJ53" s="709">
        <v>0</v>
      </c>
      <c r="AK53" s="644"/>
      <c r="AL53" s="13"/>
      <c r="AM53" s="644"/>
      <c r="AN53" s="13"/>
      <c r="AO53" s="644"/>
      <c r="AP53" s="13">
        <v>1</v>
      </c>
      <c r="AQ53" s="644"/>
      <c r="AR53" s="13">
        <v>37</v>
      </c>
      <c r="AS53" s="644"/>
      <c r="AT53" s="13">
        <v>18</v>
      </c>
      <c r="AU53" s="644"/>
      <c r="AV53" s="808">
        <v>91</v>
      </c>
      <c r="AW53" s="644"/>
      <c r="AX53" s="13">
        <v>16</v>
      </c>
      <c r="AY53" s="644"/>
      <c r="AZ53" s="13"/>
      <c r="BA53" s="644"/>
      <c r="BB53" s="644"/>
      <c r="BC53" s="644"/>
      <c r="BD53" s="5"/>
      <c r="BE53" s="644"/>
      <c r="BF53" s="13"/>
      <c r="BG53" s="644"/>
      <c r="BH53" s="644"/>
      <c r="BI53" s="644"/>
      <c r="BJ53" s="13">
        <v>2</v>
      </c>
      <c r="BK53" s="644"/>
      <c r="BL53" s="13"/>
      <c r="BM53" s="644"/>
      <c r="BN53" s="13"/>
      <c r="BO53" s="644"/>
      <c r="BP53" s="710">
        <v>114</v>
      </c>
      <c r="BQ53" s="644"/>
      <c r="BR53" s="13"/>
      <c r="BS53" s="644"/>
      <c r="BT53" s="13">
        <v>80</v>
      </c>
      <c r="BU53" s="644"/>
      <c r="BV53" s="13"/>
      <c r="BW53" s="644"/>
      <c r="BX53" s="710">
        <v>9</v>
      </c>
      <c r="BY53" s="644"/>
      <c r="BZ53" s="710">
        <v>1</v>
      </c>
      <c r="CA53" s="644"/>
      <c r="CB53" s="13">
        <v>2</v>
      </c>
      <c r="CC53" s="644"/>
      <c r="CD53" s="644"/>
      <c r="CE53" s="644"/>
      <c r="CF53" s="644"/>
      <c r="CG53" s="644"/>
      <c r="CH53" s="710">
        <v>6</v>
      </c>
      <c r="CI53" s="13"/>
      <c r="CJ53" s="13">
        <v>11</v>
      </c>
      <c r="CK53" s="13"/>
      <c r="CL53" s="13">
        <v>4</v>
      </c>
      <c r="CM53" s="644"/>
      <c r="CN53" s="13"/>
      <c r="CO53" s="644"/>
      <c r="CP53" s="13">
        <v>7</v>
      </c>
      <c r="CQ53" s="644"/>
      <c r="CR53" s="13">
        <v>104</v>
      </c>
      <c r="CS53" s="644"/>
      <c r="CT53" s="13">
        <v>16</v>
      </c>
      <c r="CU53" s="644"/>
      <c r="CV53" s="13">
        <v>3</v>
      </c>
      <c r="CW53" s="644"/>
      <c r="CX53" s="13">
        <v>0</v>
      </c>
      <c r="CY53" s="644"/>
      <c r="CZ53" s="13">
        <v>77</v>
      </c>
      <c r="DA53" s="644"/>
      <c r="DB53" s="13">
        <v>0</v>
      </c>
      <c r="DC53" s="644"/>
      <c r="DD53" s="703">
        <v>17</v>
      </c>
      <c r="DE53" s="644"/>
      <c r="DF53" s="644"/>
      <c r="DG53" s="644"/>
      <c r="DH53" s="13"/>
      <c r="DI53" s="644"/>
      <c r="DJ53" s="809">
        <v>0</v>
      </c>
      <c r="DK53" s="644"/>
      <c r="DL53" s="644"/>
      <c r="DM53" s="644"/>
      <c r="DN53" s="13">
        <v>51</v>
      </c>
      <c r="DO53" s="644"/>
      <c r="DP53" s="644"/>
      <c r="DQ53" s="644"/>
      <c r="DR53" s="644"/>
      <c r="DS53" s="644"/>
      <c r="DT53" s="644"/>
      <c r="DU53" s="644"/>
      <c r="DV53" s="13">
        <v>117</v>
      </c>
      <c r="DW53" s="644"/>
      <c r="DX53" s="13">
        <v>66</v>
      </c>
      <c r="DY53" s="644"/>
      <c r="DZ53" s="703" t="s">
        <v>465</v>
      </c>
      <c r="EA53" s="644"/>
      <c r="EB53" s="644"/>
      <c r="EC53" s="644"/>
      <c r="ED53" s="644"/>
      <c r="EE53" s="644"/>
      <c r="EF53" s="13">
        <v>1</v>
      </c>
      <c r="EG53" s="644"/>
      <c r="EH53" s="13">
        <v>11</v>
      </c>
      <c r="EI53" s="644"/>
      <c r="EJ53" s="644"/>
      <c r="EK53" s="644"/>
      <c r="EL53" s="644"/>
      <c r="EM53" s="644"/>
      <c r="EN53" s="13">
        <v>0</v>
      </c>
      <c r="EO53" s="644"/>
      <c r="EP53" s="13">
        <v>2</v>
      </c>
      <c r="EQ53" s="644"/>
      <c r="ER53" s="644"/>
      <c r="ES53" s="644"/>
      <c r="ET53" s="13">
        <f>18+1</f>
        <v>19</v>
      </c>
      <c r="EU53" s="644"/>
      <c r="EV53" s="13">
        <v>203</v>
      </c>
      <c r="EW53" s="644"/>
      <c r="EX53" s="13">
        <v>142</v>
      </c>
      <c r="EY53" s="644"/>
      <c r="EZ53" s="13">
        <v>4</v>
      </c>
      <c r="FA53" s="644"/>
      <c r="FB53" s="13">
        <v>0</v>
      </c>
      <c r="FC53" s="644"/>
      <c r="FD53" s="13">
        <v>2</v>
      </c>
      <c r="FE53" s="644"/>
      <c r="FF53" s="13">
        <v>2</v>
      </c>
      <c r="FG53" s="644"/>
      <c r="FH53" s="13">
        <v>4</v>
      </c>
      <c r="FI53" s="644"/>
      <c r="FJ53" s="13"/>
      <c r="FK53" s="644"/>
      <c r="FL53" s="811">
        <v>15</v>
      </c>
      <c r="FM53" s="644"/>
      <c r="FN53" s="13"/>
      <c r="FO53" s="644"/>
      <c r="FP53" s="13">
        <v>25</v>
      </c>
      <c r="FQ53" s="644"/>
      <c r="FR53" s="644"/>
      <c r="FS53" s="644"/>
      <c r="FT53" s="644"/>
      <c r="FU53" s="644"/>
      <c r="FV53" s="644"/>
      <c r="FW53" s="644"/>
      <c r="FX53" s="13" t="s">
        <v>465</v>
      </c>
      <c r="FY53" s="644"/>
      <c r="FZ53" s="644"/>
      <c r="GA53" s="644"/>
      <c r="GB53" s="13">
        <v>3</v>
      </c>
      <c r="GC53" s="644"/>
      <c r="GD53" s="13">
        <v>8</v>
      </c>
      <c r="GE53" s="644"/>
      <c r="GF53" s="703" t="s">
        <v>465</v>
      </c>
      <c r="GG53" s="644"/>
      <c r="GH53" s="13">
        <v>19</v>
      </c>
      <c r="GI53" s="644"/>
      <c r="GJ53" s="811">
        <v>36</v>
      </c>
      <c r="GK53" s="644"/>
      <c r="GL53" s="13"/>
      <c r="GM53" s="644"/>
      <c r="GN53" s="13">
        <f>1+1+1+1+1</f>
        <v>5</v>
      </c>
      <c r="GO53" s="644"/>
      <c r="GP53" s="13">
        <v>0</v>
      </c>
      <c r="GQ53" s="644"/>
      <c r="GR53" s="13"/>
      <c r="GS53" s="644"/>
      <c r="GT53" s="13">
        <v>25</v>
      </c>
      <c r="GU53" s="644"/>
      <c r="GV53" s="13">
        <v>13</v>
      </c>
      <c r="GW53" s="644"/>
      <c r="GX53" s="13">
        <v>1</v>
      </c>
      <c r="GY53" s="644"/>
      <c r="GZ53" s="13"/>
      <c r="HA53" s="644"/>
      <c r="HB53" s="13"/>
      <c r="HC53" s="644"/>
      <c r="HD53" s="13"/>
      <c r="HE53" s="644"/>
      <c r="HF53" s="13"/>
      <c r="HG53" s="644"/>
      <c r="HH53" s="13">
        <v>8</v>
      </c>
      <c r="HI53" s="644"/>
      <c r="HJ53" s="644"/>
      <c r="HK53" s="644"/>
      <c r="HL53" s="13">
        <v>0</v>
      </c>
      <c r="HM53" s="644"/>
      <c r="HN53" s="13">
        <v>31</v>
      </c>
      <c r="HO53" s="644"/>
      <c r="HP53" s="13">
        <v>3</v>
      </c>
      <c r="HQ53" s="644"/>
      <c r="HR53" s="13"/>
      <c r="HS53" s="644"/>
      <c r="HT53" s="711">
        <v>185</v>
      </c>
      <c r="HU53" s="644"/>
      <c r="HV53" s="13"/>
      <c r="HW53" s="644"/>
      <c r="HX53" s="13"/>
      <c r="HY53" s="644"/>
      <c r="HZ53" s="13"/>
      <c r="IA53" s="644"/>
      <c r="IB53" s="644"/>
      <c r="IC53" s="644"/>
      <c r="ID53" s="13">
        <v>33</v>
      </c>
      <c r="IE53" s="644"/>
      <c r="IF53" s="13">
        <v>9</v>
      </c>
      <c r="IG53" s="756"/>
      <c r="IH53" s="13">
        <v>79</v>
      </c>
      <c r="II53" s="644"/>
      <c r="IJ53" s="644"/>
      <c r="IK53" s="644"/>
      <c r="IL53" s="711">
        <v>4</v>
      </c>
      <c r="IM53" s="644"/>
      <c r="IN53" s="712">
        <v>0</v>
      </c>
      <c r="IO53" s="644"/>
      <c r="IP53" s="13">
        <v>52</v>
      </c>
      <c r="IQ53" s="644"/>
      <c r="IR53" s="13"/>
      <c r="IS53" s="644"/>
      <c r="IT53" s="13">
        <v>3</v>
      </c>
      <c r="IU53" s="644"/>
      <c r="IV53" s="13">
        <v>8</v>
      </c>
      <c r="IW53" s="644"/>
      <c r="IX53" s="710"/>
      <c r="IY53" s="644"/>
      <c r="IZ53" s="13">
        <v>7</v>
      </c>
      <c r="JA53" s="644"/>
      <c r="JB53" s="13"/>
      <c r="JC53" s="644"/>
      <c r="JD53" s="13">
        <v>7</v>
      </c>
      <c r="JE53" s="644"/>
      <c r="JF53" s="644"/>
      <c r="JG53" s="644"/>
      <c r="JH53" s="13"/>
      <c r="JI53" s="644"/>
      <c r="JJ53" s="644"/>
      <c r="JK53" s="644"/>
      <c r="JL53" s="644"/>
      <c r="JM53" s="644"/>
      <c r="JN53" s="13">
        <v>30</v>
      </c>
      <c r="JO53" s="644"/>
      <c r="JP53" s="644"/>
      <c r="JQ53" s="644"/>
      <c r="JR53" s="713">
        <v>335</v>
      </c>
      <c r="JS53" s="644"/>
      <c r="JT53" s="13">
        <v>3</v>
      </c>
      <c r="JU53" s="644"/>
      <c r="JV53" s="13"/>
      <c r="JW53" s="644"/>
      <c r="JX53" s="13">
        <v>6</v>
      </c>
      <c r="JY53" s="644"/>
    </row>
    <row r="54" spans="1:285" ht="39.75" customHeight="1" x14ac:dyDescent="0.2">
      <c r="A54" s="1565"/>
      <c r="B54" s="1580"/>
      <c r="C54" s="82" t="s">
        <v>113</v>
      </c>
      <c r="D54" s="83" t="s">
        <v>21</v>
      </c>
      <c r="E54" s="813" t="s">
        <v>53</v>
      </c>
      <c r="F54" s="13">
        <v>0</v>
      </c>
      <c r="G54" s="756"/>
      <c r="H54" s="13"/>
      <c r="I54" s="644"/>
      <c r="J54" s="13" t="s">
        <v>465</v>
      </c>
      <c r="K54" s="644"/>
      <c r="L54" s="13">
        <v>1</v>
      </c>
      <c r="M54" s="644"/>
      <c r="N54" s="808">
        <v>26</v>
      </c>
      <c r="O54" s="644"/>
      <c r="P54" s="709"/>
      <c r="Q54" s="644"/>
      <c r="R54" s="13">
        <v>18</v>
      </c>
      <c r="S54" s="644"/>
      <c r="T54" s="644"/>
      <c r="U54" s="644"/>
      <c r="V54" s="644"/>
      <c r="W54" s="644"/>
      <c r="X54" s="644"/>
      <c r="Y54" s="644"/>
      <c r="Z54" s="13">
        <v>13</v>
      </c>
      <c r="AA54" s="644"/>
      <c r="AB54" s="13">
        <v>60</v>
      </c>
      <c r="AC54" s="644"/>
      <c r="AD54" s="13">
        <v>0</v>
      </c>
      <c r="AE54" s="644"/>
      <c r="AF54" s="644"/>
      <c r="AG54" s="644"/>
      <c r="AH54" s="644"/>
      <c r="AI54" s="644"/>
      <c r="AJ54" s="709">
        <v>1</v>
      </c>
      <c r="AK54" s="644"/>
      <c r="AL54" s="13">
        <v>15</v>
      </c>
      <c r="AM54" s="644"/>
      <c r="AN54" s="13"/>
      <c r="AO54" s="644"/>
      <c r="AP54" s="13">
        <v>2</v>
      </c>
      <c r="AQ54" s="644"/>
      <c r="AR54" s="13">
        <v>16</v>
      </c>
      <c r="AS54" s="644"/>
      <c r="AT54" s="13">
        <v>1</v>
      </c>
      <c r="AU54" s="644"/>
      <c r="AV54" s="808">
        <v>23</v>
      </c>
      <c r="AW54" s="644"/>
      <c r="AX54" s="13">
        <v>0</v>
      </c>
      <c r="AY54" s="644"/>
      <c r="AZ54" s="13"/>
      <c r="BA54" s="644"/>
      <c r="BB54" s="644"/>
      <c r="BC54" s="644"/>
      <c r="BD54" s="5">
        <v>1</v>
      </c>
      <c r="BE54" s="644"/>
      <c r="BF54" s="13"/>
      <c r="BG54" s="644"/>
      <c r="BH54" s="644"/>
      <c r="BI54" s="644"/>
      <c r="BJ54" s="13"/>
      <c r="BK54" s="644"/>
      <c r="BL54" s="13"/>
      <c r="BM54" s="644"/>
      <c r="BN54" s="13"/>
      <c r="BO54" s="644"/>
      <c r="BP54" s="710">
        <v>101</v>
      </c>
      <c r="BQ54" s="644"/>
      <c r="BR54" s="13"/>
      <c r="BS54" s="644"/>
      <c r="BT54" s="13">
        <v>66</v>
      </c>
      <c r="BU54" s="644"/>
      <c r="BV54" s="13"/>
      <c r="BW54" s="644"/>
      <c r="BX54" s="710">
        <v>12</v>
      </c>
      <c r="BY54" s="644"/>
      <c r="BZ54" s="13"/>
      <c r="CA54" s="644"/>
      <c r="CB54" s="13">
        <v>19</v>
      </c>
      <c r="CC54" s="644"/>
      <c r="CD54" s="644"/>
      <c r="CE54" s="644"/>
      <c r="CF54" s="644"/>
      <c r="CG54" s="644"/>
      <c r="CH54" s="710">
        <v>11</v>
      </c>
      <c r="CI54" s="13"/>
      <c r="CJ54" s="13">
        <v>6</v>
      </c>
      <c r="CK54" s="13"/>
      <c r="CL54" s="13">
        <v>0</v>
      </c>
      <c r="CM54" s="644"/>
      <c r="CN54" s="13"/>
      <c r="CO54" s="644"/>
      <c r="CP54" s="13">
        <v>2</v>
      </c>
      <c r="CQ54" s="644"/>
      <c r="CR54" s="13">
        <v>17</v>
      </c>
      <c r="CS54" s="644"/>
      <c r="CT54" s="13">
        <v>14</v>
      </c>
      <c r="CU54" s="644"/>
      <c r="CV54" s="13">
        <v>7</v>
      </c>
      <c r="CW54" s="644"/>
      <c r="CX54" s="13">
        <v>14</v>
      </c>
      <c r="CY54" s="644"/>
      <c r="CZ54" s="13">
        <v>0</v>
      </c>
      <c r="DA54" s="644"/>
      <c r="DB54" s="13">
        <v>0</v>
      </c>
      <c r="DC54" s="644"/>
      <c r="DD54" s="703">
        <v>9</v>
      </c>
      <c r="DE54" s="644"/>
      <c r="DF54" s="644"/>
      <c r="DG54" s="644"/>
      <c r="DH54" s="13"/>
      <c r="DI54" s="644"/>
      <c r="DJ54" s="809">
        <v>0</v>
      </c>
      <c r="DK54" s="644"/>
      <c r="DL54" s="644"/>
      <c r="DM54" s="644"/>
      <c r="DN54" s="13">
        <v>2</v>
      </c>
      <c r="DO54" s="644"/>
      <c r="DP54" s="644"/>
      <c r="DQ54" s="644"/>
      <c r="DR54" s="644"/>
      <c r="DS54" s="644"/>
      <c r="DT54" s="644"/>
      <c r="DU54" s="644"/>
      <c r="DV54" s="13">
        <v>55</v>
      </c>
      <c r="DW54" s="644"/>
      <c r="DX54" s="13">
        <v>13</v>
      </c>
      <c r="DY54" s="644"/>
      <c r="DZ54" s="703" t="s">
        <v>465</v>
      </c>
      <c r="EA54" s="644"/>
      <c r="EB54" s="644"/>
      <c r="EC54" s="644"/>
      <c r="ED54" s="644"/>
      <c r="EE54" s="644"/>
      <c r="EF54" s="13">
        <v>5</v>
      </c>
      <c r="EG54" s="644"/>
      <c r="EH54" s="13">
        <v>4</v>
      </c>
      <c r="EI54" s="644"/>
      <c r="EJ54" s="644"/>
      <c r="EK54" s="644"/>
      <c r="EL54" s="644"/>
      <c r="EM54" s="644"/>
      <c r="EN54" s="13">
        <v>0</v>
      </c>
      <c r="EO54" s="644"/>
      <c r="EP54" s="13">
        <v>1</v>
      </c>
      <c r="EQ54" s="644"/>
      <c r="ER54" s="644"/>
      <c r="ES54" s="644"/>
      <c r="ET54" s="13">
        <v>1</v>
      </c>
      <c r="EU54" s="644"/>
      <c r="EV54" s="13">
        <v>16</v>
      </c>
      <c r="EW54" s="644"/>
      <c r="EX54" s="13" t="s">
        <v>465</v>
      </c>
      <c r="EY54" s="644"/>
      <c r="EZ54" s="13">
        <v>5</v>
      </c>
      <c r="FA54" s="644"/>
      <c r="FB54" s="13">
        <v>0</v>
      </c>
      <c r="FC54" s="644"/>
      <c r="FD54" s="13">
        <v>1</v>
      </c>
      <c r="FE54" s="644"/>
      <c r="FF54" s="13">
        <v>1</v>
      </c>
      <c r="FG54" s="644"/>
      <c r="FH54" s="13">
        <v>5</v>
      </c>
      <c r="FI54" s="644"/>
      <c r="FJ54" s="13"/>
      <c r="FK54" s="644"/>
      <c r="FL54" s="811">
        <v>20</v>
      </c>
      <c r="FM54" s="644"/>
      <c r="FN54" s="13"/>
      <c r="FO54" s="644"/>
      <c r="FP54" s="13"/>
      <c r="FQ54" s="644"/>
      <c r="FR54" s="644"/>
      <c r="FS54" s="644"/>
      <c r="FT54" s="644"/>
      <c r="FU54" s="644"/>
      <c r="FV54" s="644"/>
      <c r="FW54" s="644"/>
      <c r="FX54" s="13" t="s">
        <v>465</v>
      </c>
      <c r="FY54" s="644"/>
      <c r="FZ54" s="644"/>
      <c r="GA54" s="644"/>
      <c r="GB54" s="13">
        <v>2</v>
      </c>
      <c r="GC54" s="644"/>
      <c r="GD54" s="13">
        <v>1</v>
      </c>
      <c r="GE54" s="644"/>
      <c r="GF54" s="703" t="s">
        <v>465</v>
      </c>
      <c r="GG54" s="644"/>
      <c r="GH54" s="13">
        <v>0</v>
      </c>
      <c r="GI54" s="644"/>
      <c r="GJ54" s="811">
        <v>10</v>
      </c>
      <c r="GK54" s="644"/>
      <c r="GL54" s="13"/>
      <c r="GM54" s="644"/>
      <c r="GN54" s="13"/>
      <c r="GO54" s="644"/>
      <c r="GP54" s="13">
        <v>0</v>
      </c>
      <c r="GQ54" s="644"/>
      <c r="GR54" s="13">
        <v>12</v>
      </c>
      <c r="GS54" s="644"/>
      <c r="GT54" s="13">
        <v>22</v>
      </c>
      <c r="GU54" s="644"/>
      <c r="GV54" s="13">
        <v>3</v>
      </c>
      <c r="GW54" s="644"/>
      <c r="GX54" s="13"/>
      <c r="GY54" s="644"/>
      <c r="GZ54" s="13"/>
      <c r="HA54" s="644"/>
      <c r="HB54" s="13"/>
      <c r="HC54" s="644"/>
      <c r="HD54" s="13"/>
      <c r="HE54" s="644"/>
      <c r="HF54" s="13"/>
      <c r="HG54" s="644"/>
      <c r="HH54" s="13" t="s">
        <v>465</v>
      </c>
      <c r="HI54" s="644"/>
      <c r="HJ54" s="644"/>
      <c r="HK54" s="644"/>
      <c r="HL54" s="13">
        <v>1</v>
      </c>
      <c r="HM54" s="644"/>
      <c r="HN54" s="13" t="s">
        <v>465</v>
      </c>
      <c r="HO54" s="644"/>
      <c r="HP54" s="13">
        <v>1</v>
      </c>
      <c r="HQ54" s="644"/>
      <c r="HR54" s="13"/>
      <c r="HS54" s="644"/>
      <c r="HT54" s="711">
        <v>177</v>
      </c>
      <c r="HU54" s="644"/>
      <c r="HV54" s="13"/>
      <c r="HW54" s="644"/>
      <c r="HX54" s="13"/>
      <c r="HY54" s="644"/>
      <c r="HZ54" s="13"/>
      <c r="IA54" s="644"/>
      <c r="IB54" s="644"/>
      <c r="IC54" s="644"/>
      <c r="ID54" s="13">
        <v>48</v>
      </c>
      <c r="IE54" s="644"/>
      <c r="IF54" s="13">
        <v>3</v>
      </c>
      <c r="IG54" s="756"/>
      <c r="IH54" s="13">
        <v>9</v>
      </c>
      <c r="II54" s="644"/>
      <c r="IJ54" s="644"/>
      <c r="IK54" s="644"/>
      <c r="IL54" s="711">
        <v>4</v>
      </c>
      <c r="IM54" s="644"/>
      <c r="IN54" s="712">
        <v>0</v>
      </c>
      <c r="IO54" s="644"/>
      <c r="IP54" s="13">
        <v>15</v>
      </c>
      <c r="IQ54" s="644"/>
      <c r="IR54" s="13"/>
      <c r="IS54" s="644"/>
      <c r="IT54" s="13">
        <v>11</v>
      </c>
      <c r="IU54" s="644"/>
      <c r="IV54" s="13">
        <v>34</v>
      </c>
      <c r="IW54" s="644"/>
      <c r="IX54" s="710"/>
      <c r="IY54" s="644"/>
      <c r="IZ54" s="13">
        <v>37</v>
      </c>
      <c r="JA54" s="644"/>
      <c r="JB54" s="13"/>
      <c r="JC54" s="644"/>
      <c r="JD54" s="13">
        <v>12</v>
      </c>
      <c r="JE54" s="644"/>
      <c r="JF54" s="644"/>
      <c r="JG54" s="644"/>
      <c r="JH54" s="13"/>
      <c r="JI54" s="644"/>
      <c r="JJ54" s="644"/>
      <c r="JK54" s="644"/>
      <c r="JL54" s="644"/>
      <c r="JM54" s="644"/>
      <c r="JN54" s="13">
        <v>41</v>
      </c>
      <c r="JO54" s="644"/>
      <c r="JP54" s="644"/>
      <c r="JQ54" s="644"/>
      <c r="JR54" s="713">
        <f>1+(1+1+1+1+2+1+1+1+2+1+1+2+6+1+5+2)</f>
        <v>30</v>
      </c>
      <c r="JS54" s="644"/>
      <c r="JT54" s="13">
        <v>1</v>
      </c>
      <c r="JU54" s="644"/>
      <c r="JV54" s="13"/>
      <c r="JW54" s="644"/>
      <c r="JX54" s="13">
        <v>7</v>
      </c>
      <c r="JY54" s="644"/>
    </row>
    <row r="55" spans="1:285" ht="30" customHeight="1" x14ac:dyDescent="0.2">
      <c r="A55" s="1565"/>
      <c r="B55" s="1580"/>
      <c r="C55" s="82" t="s">
        <v>114</v>
      </c>
      <c r="D55" s="83" t="s">
        <v>22</v>
      </c>
      <c r="E55" s="813" t="s">
        <v>53</v>
      </c>
      <c r="F55" s="13">
        <v>0</v>
      </c>
      <c r="G55" s="756"/>
      <c r="H55" s="13"/>
      <c r="I55" s="644"/>
      <c r="J55" s="13" t="s">
        <v>465</v>
      </c>
      <c r="K55" s="644"/>
      <c r="L55" s="13"/>
      <c r="M55" s="644"/>
      <c r="N55" s="808"/>
      <c r="O55" s="644"/>
      <c r="P55" s="709"/>
      <c r="Q55" s="644"/>
      <c r="R55" s="13"/>
      <c r="S55" s="644"/>
      <c r="T55" s="644"/>
      <c r="U55" s="644"/>
      <c r="V55" s="644"/>
      <c r="W55" s="644"/>
      <c r="X55" s="644"/>
      <c r="Y55" s="644"/>
      <c r="Z55" s="13">
        <v>15</v>
      </c>
      <c r="AA55" s="644"/>
      <c r="AB55" s="13">
        <v>33</v>
      </c>
      <c r="AC55" s="644"/>
      <c r="AD55" s="13">
        <v>0</v>
      </c>
      <c r="AE55" s="644"/>
      <c r="AF55" s="644"/>
      <c r="AG55" s="644"/>
      <c r="AH55" s="644"/>
      <c r="AI55" s="644"/>
      <c r="AJ55" s="709">
        <v>0</v>
      </c>
      <c r="AK55" s="644"/>
      <c r="AL55" s="13">
        <v>68</v>
      </c>
      <c r="AM55" s="644"/>
      <c r="AN55" s="13"/>
      <c r="AO55" s="644"/>
      <c r="AP55" s="13"/>
      <c r="AQ55" s="644"/>
      <c r="AR55" s="13"/>
      <c r="AS55" s="644"/>
      <c r="AT55" s="13">
        <v>1</v>
      </c>
      <c r="AU55" s="644"/>
      <c r="AV55" s="808">
        <v>139</v>
      </c>
      <c r="AW55" s="644"/>
      <c r="AX55" s="13">
        <v>1</v>
      </c>
      <c r="AY55" s="644"/>
      <c r="AZ55" s="13"/>
      <c r="BA55" s="644"/>
      <c r="BB55" s="644"/>
      <c r="BC55" s="644"/>
      <c r="BD55" s="5"/>
      <c r="BE55" s="644"/>
      <c r="BF55" s="13"/>
      <c r="BG55" s="644"/>
      <c r="BH55" s="644"/>
      <c r="BI55" s="644"/>
      <c r="BJ55" s="13"/>
      <c r="BK55" s="644"/>
      <c r="BL55" s="13"/>
      <c r="BM55" s="644"/>
      <c r="BN55" s="13"/>
      <c r="BO55" s="644"/>
      <c r="BP55" s="710">
        <v>94</v>
      </c>
      <c r="BQ55" s="644"/>
      <c r="BR55" s="13"/>
      <c r="BS55" s="644"/>
      <c r="BT55" s="13"/>
      <c r="BU55" s="644"/>
      <c r="BV55" s="13"/>
      <c r="BW55" s="644"/>
      <c r="BX55" s="710"/>
      <c r="BY55" s="644"/>
      <c r="BZ55" s="13"/>
      <c r="CA55" s="644"/>
      <c r="CB55" s="13">
        <v>2</v>
      </c>
      <c r="CC55" s="644"/>
      <c r="CD55" s="644"/>
      <c r="CE55" s="644"/>
      <c r="CF55" s="644"/>
      <c r="CG55" s="644"/>
      <c r="CH55" s="710">
        <v>1</v>
      </c>
      <c r="CI55" s="13"/>
      <c r="CJ55" s="13">
        <v>4</v>
      </c>
      <c r="CK55" s="13"/>
      <c r="CL55" s="13">
        <v>0</v>
      </c>
      <c r="CM55" s="644"/>
      <c r="CN55" s="13"/>
      <c r="CO55" s="644"/>
      <c r="CP55" s="13"/>
      <c r="CQ55" s="644"/>
      <c r="CR55" s="13">
        <v>8</v>
      </c>
      <c r="CS55" s="644"/>
      <c r="CT55" s="13">
        <v>12</v>
      </c>
      <c r="CU55" s="644"/>
      <c r="CV55" s="13">
        <v>1</v>
      </c>
      <c r="CW55" s="644"/>
      <c r="CX55" s="13">
        <v>0</v>
      </c>
      <c r="CY55" s="644"/>
      <c r="CZ55" s="13">
        <v>0</v>
      </c>
      <c r="DA55" s="644"/>
      <c r="DB55" s="13">
        <v>0</v>
      </c>
      <c r="DC55" s="644"/>
      <c r="DD55" s="703" t="s">
        <v>465</v>
      </c>
      <c r="DE55" s="644"/>
      <c r="DF55" s="644"/>
      <c r="DG55" s="644"/>
      <c r="DH55" s="13"/>
      <c r="DI55" s="644"/>
      <c r="DJ55" s="809">
        <v>0</v>
      </c>
      <c r="DK55" s="644"/>
      <c r="DL55" s="644"/>
      <c r="DM55" s="644"/>
      <c r="DN55" s="13">
        <v>0</v>
      </c>
      <c r="DO55" s="644"/>
      <c r="DP55" s="644"/>
      <c r="DQ55" s="644"/>
      <c r="DR55" s="644"/>
      <c r="DS55" s="644"/>
      <c r="DT55" s="644"/>
      <c r="DU55" s="644"/>
      <c r="DV55" s="13">
        <v>32</v>
      </c>
      <c r="DW55" s="644"/>
      <c r="DX55" s="13">
        <v>3</v>
      </c>
      <c r="DY55" s="644"/>
      <c r="DZ55" s="703" t="s">
        <v>465</v>
      </c>
      <c r="EA55" s="644"/>
      <c r="EB55" s="644"/>
      <c r="EC55" s="644"/>
      <c r="ED55" s="644"/>
      <c r="EE55" s="644"/>
      <c r="EF55" s="13">
        <v>0</v>
      </c>
      <c r="EG55" s="644"/>
      <c r="EH55" s="13">
        <v>0</v>
      </c>
      <c r="EI55" s="644"/>
      <c r="EJ55" s="644"/>
      <c r="EK55" s="644"/>
      <c r="EL55" s="644"/>
      <c r="EM55" s="644"/>
      <c r="EN55" s="13">
        <v>0</v>
      </c>
      <c r="EO55" s="644"/>
      <c r="EP55" s="13">
        <v>0</v>
      </c>
      <c r="EQ55" s="644"/>
      <c r="ER55" s="644"/>
      <c r="ES55" s="644"/>
      <c r="ET55" s="13"/>
      <c r="EU55" s="644"/>
      <c r="EV55" s="13">
        <v>0</v>
      </c>
      <c r="EW55" s="644"/>
      <c r="EX55" s="13" t="s">
        <v>465</v>
      </c>
      <c r="EY55" s="644"/>
      <c r="EZ55" s="13">
        <v>0</v>
      </c>
      <c r="FA55" s="644"/>
      <c r="FB55" s="13">
        <v>0</v>
      </c>
      <c r="FC55" s="644"/>
      <c r="FD55" s="13" t="s">
        <v>465</v>
      </c>
      <c r="FE55" s="644"/>
      <c r="FF55" s="13">
        <v>1</v>
      </c>
      <c r="FG55" s="644"/>
      <c r="FH55" s="13">
        <v>2</v>
      </c>
      <c r="FI55" s="644"/>
      <c r="FJ55" s="13"/>
      <c r="FK55" s="644"/>
      <c r="FL55" s="811">
        <v>1</v>
      </c>
      <c r="FM55" s="644"/>
      <c r="FN55" s="13"/>
      <c r="FO55" s="644"/>
      <c r="FP55" s="13"/>
      <c r="FQ55" s="644"/>
      <c r="FR55" s="644"/>
      <c r="FS55" s="644"/>
      <c r="FT55" s="644"/>
      <c r="FU55" s="644"/>
      <c r="FV55" s="644"/>
      <c r="FW55" s="644"/>
      <c r="FX55" s="13" t="s">
        <v>465</v>
      </c>
      <c r="FY55" s="644"/>
      <c r="FZ55" s="644"/>
      <c r="GA55" s="644"/>
      <c r="GB55" s="13"/>
      <c r="GC55" s="644"/>
      <c r="GD55" s="13" t="s">
        <v>2499</v>
      </c>
      <c r="GE55" s="644"/>
      <c r="GF55" s="703" t="s">
        <v>465</v>
      </c>
      <c r="GG55" s="644"/>
      <c r="GH55" s="13">
        <v>1</v>
      </c>
      <c r="GI55" s="644"/>
      <c r="GJ55" s="811">
        <v>3</v>
      </c>
      <c r="GK55" s="644"/>
      <c r="GL55" s="13"/>
      <c r="GM55" s="644"/>
      <c r="GN55" s="13"/>
      <c r="GO55" s="644"/>
      <c r="GP55" s="13">
        <v>0</v>
      </c>
      <c r="GQ55" s="644"/>
      <c r="GR55" s="13">
        <v>3</v>
      </c>
      <c r="GS55" s="644"/>
      <c r="GT55" s="13">
        <v>3</v>
      </c>
      <c r="GU55" s="644"/>
      <c r="GV55" s="13"/>
      <c r="GW55" s="644"/>
      <c r="GX55" s="13"/>
      <c r="GY55" s="644"/>
      <c r="GZ55" s="13"/>
      <c r="HA55" s="644"/>
      <c r="HB55" s="13"/>
      <c r="HC55" s="644"/>
      <c r="HD55" s="13"/>
      <c r="HE55" s="644"/>
      <c r="HF55" s="13"/>
      <c r="HG55" s="644"/>
      <c r="HH55" s="13" t="s">
        <v>465</v>
      </c>
      <c r="HI55" s="644"/>
      <c r="HJ55" s="644"/>
      <c r="HK55" s="644"/>
      <c r="HL55" s="13">
        <v>0</v>
      </c>
      <c r="HM55" s="644"/>
      <c r="HN55" s="13">
        <v>1</v>
      </c>
      <c r="HO55" s="644"/>
      <c r="HP55" s="13"/>
      <c r="HQ55" s="644"/>
      <c r="HR55" s="13"/>
      <c r="HS55" s="644"/>
      <c r="HT55" s="711" t="s">
        <v>702</v>
      </c>
      <c r="HU55" s="644"/>
      <c r="HV55" s="13"/>
      <c r="HW55" s="644"/>
      <c r="HX55" s="13"/>
      <c r="HY55" s="644"/>
      <c r="HZ55" s="13"/>
      <c r="IA55" s="644"/>
      <c r="IB55" s="644"/>
      <c r="IC55" s="644"/>
      <c r="ID55" s="13">
        <v>8</v>
      </c>
      <c r="IE55" s="644"/>
      <c r="IF55" s="13">
        <v>0</v>
      </c>
      <c r="IG55" s="756"/>
      <c r="IH55" s="13"/>
      <c r="II55" s="644"/>
      <c r="IJ55" s="644"/>
      <c r="IK55" s="644"/>
      <c r="IL55" s="711">
        <v>0</v>
      </c>
      <c r="IM55" s="644"/>
      <c r="IN55" s="712">
        <v>0</v>
      </c>
      <c r="IO55" s="644"/>
      <c r="IP55" s="13"/>
      <c r="IQ55" s="644"/>
      <c r="IR55" s="13"/>
      <c r="IS55" s="644"/>
      <c r="IT55" s="13">
        <v>0</v>
      </c>
      <c r="IU55" s="644"/>
      <c r="IV55" s="13">
        <v>0</v>
      </c>
      <c r="IW55" s="644"/>
      <c r="IX55" s="710"/>
      <c r="IY55" s="644"/>
      <c r="IZ55" s="13"/>
      <c r="JA55" s="644"/>
      <c r="JB55" s="13"/>
      <c r="JC55" s="644"/>
      <c r="JD55" s="13">
        <v>0</v>
      </c>
      <c r="JE55" s="644"/>
      <c r="JF55" s="644"/>
      <c r="JG55" s="644"/>
      <c r="JH55" s="13"/>
      <c r="JI55" s="644"/>
      <c r="JJ55" s="644"/>
      <c r="JK55" s="644"/>
      <c r="JL55" s="644"/>
      <c r="JM55" s="644"/>
      <c r="JN55" s="13">
        <v>0</v>
      </c>
      <c r="JO55" s="644"/>
      <c r="JP55" s="644"/>
      <c r="JQ55" s="644"/>
      <c r="JR55" s="713">
        <f>0+(4)</f>
        <v>4</v>
      </c>
      <c r="JS55" s="644"/>
      <c r="JT55" s="13" t="s">
        <v>465</v>
      </c>
      <c r="JU55" s="644"/>
      <c r="JV55" s="13"/>
      <c r="JW55" s="644"/>
      <c r="JX55" s="13">
        <v>4</v>
      </c>
      <c r="JY55" s="644"/>
    </row>
    <row r="56" spans="1:285" ht="38.25" customHeight="1" x14ac:dyDescent="0.2">
      <c r="A56" s="1565"/>
      <c r="B56" s="1580"/>
      <c r="C56" s="82" t="s">
        <v>115</v>
      </c>
      <c r="D56" s="83" t="s">
        <v>184</v>
      </c>
      <c r="E56" s="813" t="s">
        <v>53</v>
      </c>
      <c r="F56" s="13">
        <v>0</v>
      </c>
      <c r="G56" s="756"/>
      <c r="H56" s="13"/>
      <c r="I56" s="644"/>
      <c r="J56" s="13" t="s">
        <v>465</v>
      </c>
      <c r="K56" s="644"/>
      <c r="L56" s="13"/>
      <c r="M56" s="644"/>
      <c r="N56" s="808"/>
      <c r="O56" s="644"/>
      <c r="P56" s="709"/>
      <c r="Q56" s="644"/>
      <c r="R56" s="13"/>
      <c r="S56" s="644"/>
      <c r="T56" s="644"/>
      <c r="U56" s="644"/>
      <c r="V56" s="644"/>
      <c r="W56" s="644"/>
      <c r="X56" s="644"/>
      <c r="Y56" s="644"/>
      <c r="Z56" s="13">
        <v>1</v>
      </c>
      <c r="AA56" s="644"/>
      <c r="AB56" s="13">
        <v>0</v>
      </c>
      <c r="AC56" s="644"/>
      <c r="AD56" s="13">
        <v>0</v>
      </c>
      <c r="AE56" s="644"/>
      <c r="AF56" s="644"/>
      <c r="AG56" s="644"/>
      <c r="AH56" s="644"/>
      <c r="AI56" s="644"/>
      <c r="AJ56" s="709">
        <v>0</v>
      </c>
      <c r="AK56" s="644"/>
      <c r="AL56" s="13"/>
      <c r="AM56" s="644"/>
      <c r="AN56" s="13"/>
      <c r="AO56" s="644"/>
      <c r="AP56" s="13"/>
      <c r="AQ56" s="644"/>
      <c r="AR56" s="13"/>
      <c r="AS56" s="644"/>
      <c r="AT56" s="13">
        <v>2</v>
      </c>
      <c r="AU56" s="644"/>
      <c r="AV56" s="808"/>
      <c r="AW56" s="644"/>
      <c r="AX56" s="13">
        <v>0</v>
      </c>
      <c r="AY56" s="644"/>
      <c r="AZ56" s="13"/>
      <c r="BA56" s="644"/>
      <c r="BB56" s="644"/>
      <c r="BC56" s="644"/>
      <c r="BD56" s="5"/>
      <c r="BE56" s="644"/>
      <c r="BF56" s="13"/>
      <c r="BG56" s="644"/>
      <c r="BH56" s="644"/>
      <c r="BI56" s="644"/>
      <c r="BJ56" s="13"/>
      <c r="BK56" s="644"/>
      <c r="BL56" s="13"/>
      <c r="BM56" s="644"/>
      <c r="BN56" s="13"/>
      <c r="BO56" s="644"/>
      <c r="BP56" s="710"/>
      <c r="BQ56" s="644"/>
      <c r="BR56" s="13"/>
      <c r="BS56" s="644"/>
      <c r="BT56" s="13">
        <v>3</v>
      </c>
      <c r="BU56" s="644"/>
      <c r="BV56" s="13"/>
      <c r="BW56" s="644"/>
      <c r="BX56" s="710"/>
      <c r="BY56" s="644"/>
      <c r="BZ56" s="13"/>
      <c r="CA56" s="644"/>
      <c r="CB56" s="13">
        <v>3</v>
      </c>
      <c r="CC56" s="644"/>
      <c r="CD56" s="644"/>
      <c r="CE56" s="644"/>
      <c r="CF56" s="644"/>
      <c r="CG56" s="644"/>
      <c r="CH56" s="710">
        <v>1</v>
      </c>
      <c r="CI56" s="13"/>
      <c r="CJ56" s="13"/>
      <c r="CK56" s="13"/>
      <c r="CL56" s="13">
        <v>0</v>
      </c>
      <c r="CM56" s="644"/>
      <c r="CN56" s="13"/>
      <c r="CO56" s="644"/>
      <c r="CP56" s="13"/>
      <c r="CQ56" s="644"/>
      <c r="CR56" s="13"/>
      <c r="CS56" s="644"/>
      <c r="CT56" s="13">
        <v>0</v>
      </c>
      <c r="CU56" s="644"/>
      <c r="CV56" s="13">
        <v>0</v>
      </c>
      <c r="CW56" s="644"/>
      <c r="CX56" s="13">
        <v>0</v>
      </c>
      <c r="CY56" s="644"/>
      <c r="CZ56" s="13">
        <v>0</v>
      </c>
      <c r="DA56" s="644"/>
      <c r="DB56" s="13">
        <v>0</v>
      </c>
      <c r="DC56" s="644"/>
      <c r="DD56" s="703" t="s">
        <v>465</v>
      </c>
      <c r="DE56" s="644"/>
      <c r="DF56" s="644"/>
      <c r="DG56" s="644"/>
      <c r="DH56" s="13"/>
      <c r="DI56" s="644"/>
      <c r="DJ56" s="809">
        <v>0</v>
      </c>
      <c r="DK56" s="644"/>
      <c r="DL56" s="644"/>
      <c r="DM56" s="644"/>
      <c r="DN56" s="13">
        <v>0</v>
      </c>
      <c r="DO56" s="644"/>
      <c r="DP56" s="644"/>
      <c r="DQ56" s="644"/>
      <c r="DR56" s="644"/>
      <c r="DS56" s="644"/>
      <c r="DT56" s="644"/>
      <c r="DU56" s="644"/>
      <c r="DV56" s="13">
        <v>0</v>
      </c>
      <c r="DW56" s="644"/>
      <c r="DX56" s="13">
        <v>8</v>
      </c>
      <c r="DY56" s="644"/>
      <c r="DZ56" s="703" t="s">
        <v>465</v>
      </c>
      <c r="EA56" s="644"/>
      <c r="EB56" s="644"/>
      <c r="EC56" s="644"/>
      <c r="ED56" s="644"/>
      <c r="EE56" s="644"/>
      <c r="EF56" s="13">
        <v>0</v>
      </c>
      <c r="EG56" s="644"/>
      <c r="EH56" s="13">
        <v>0</v>
      </c>
      <c r="EI56" s="644"/>
      <c r="EJ56" s="644"/>
      <c r="EK56" s="644"/>
      <c r="EL56" s="644"/>
      <c r="EM56" s="644"/>
      <c r="EN56" s="13"/>
      <c r="EO56" s="644"/>
      <c r="EP56" s="13">
        <v>0</v>
      </c>
      <c r="EQ56" s="644"/>
      <c r="ER56" s="644"/>
      <c r="ES56" s="644"/>
      <c r="ET56" s="13"/>
      <c r="EU56" s="644"/>
      <c r="EV56" s="13">
        <v>0</v>
      </c>
      <c r="EW56" s="644"/>
      <c r="EX56" s="13" t="s">
        <v>465</v>
      </c>
      <c r="EY56" s="644"/>
      <c r="EZ56" s="13">
        <v>0</v>
      </c>
      <c r="FA56" s="644"/>
      <c r="FB56" s="13">
        <v>0</v>
      </c>
      <c r="FC56" s="644"/>
      <c r="FD56" s="13" t="s">
        <v>465</v>
      </c>
      <c r="FE56" s="644"/>
      <c r="FF56" s="13">
        <v>1</v>
      </c>
      <c r="FG56" s="644"/>
      <c r="FH56" s="13"/>
      <c r="FI56" s="644"/>
      <c r="FJ56" s="13"/>
      <c r="FK56" s="644"/>
      <c r="FL56" s="811">
        <v>2</v>
      </c>
      <c r="FM56" s="644"/>
      <c r="FN56" s="13"/>
      <c r="FO56" s="644"/>
      <c r="FP56" s="13"/>
      <c r="FQ56" s="644"/>
      <c r="FR56" s="644"/>
      <c r="FS56" s="644"/>
      <c r="FT56" s="644"/>
      <c r="FU56" s="644"/>
      <c r="FV56" s="644"/>
      <c r="FW56" s="644"/>
      <c r="FX56" s="13" t="s">
        <v>465</v>
      </c>
      <c r="FY56" s="644"/>
      <c r="FZ56" s="644"/>
      <c r="GA56" s="644"/>
      <c r="GB56" s="13"/>
      <c r="GC56" s="644"/>
      <c r="GD56" s="13" t="s">
        <v>2499</v>
      </c>
      <c r="GE56" s="644"/>
      <c r="GF56" s="703" t="s">
        <v>465</v>
      </c>
      <c r="GG56" s="644"/>
      <c r="GH56" s="13">
        <v>0</v>
      </c>
      <c r="GI56" s="644"/>
      <c r="GJ56" s="811">
        <v>0</v>
      </c>
      <c r="GK56" s="644"/>
      <c r="GL56" s="13"/>
      <c r="GM56" s="644"/>
      <c r="GN56" s="13"/>
      <c r="GO56" s="644"/>
      <c r="GP56" s="13">
        <v>0</v>
      </c>
      <c r="GQ56" s="644"/>
      <c r="GR56" s="13"/>
      <c r="GS56" s="644"/>
      <c r="GT56" s="13">
        <v>2</v>
      </c>
      <c r="GU56" s="644"/>
      <c r="GV56" s="13">
        <v>1</v>
      </c>
      <c r="GW56" s="644"/>
      <c r="GX56" s="13"/>
      <c r="GY56" s="644"/>
      <c r="GZ56" s="13"/>
      <c r="HA56" s="644"/>
      <c r="HB56" s="13"/>
      <c r="HC56" s="644"/>
      <c r="HD56" s="13"/>
      <c r="HE56" s="644"/>
      <c r="HF56" s="13"/>
      <c r="HG56" s="644"/>
      <c r="HH56" s="13" t="s">
        <v>465</v>
      </c>
      <c r="HI56" s="644"/>
      <c r="HJ56" s="644"/>
      <c r="HK56" s="644"/>
      <c r="HL56" s="13">
        <v>0</v>
      </c>
      <c r="HM56" s="644"/>
      <c r="HN56" s="13">
        <v>1</v>
      </c>
      <c r="HO56" s="644"/>
      <c r="HP56" s="13"/>
      <c r="HQ56" s="644"/>
      <c r="HR56" s="13"/>
      <c r="HS56" s="644"/>
      <c r="HT56" s="711" t="s">
        <v>702</v>
      </c>
      <c r="HU56" s="644"/>
      <c r="HV56" s="13"/>
      <c r="HW56" s="644"/>
      <c r="HX56" s="13"/>
      <c r="HY56" s="644"/>
      <c r="HZ56" s="13"/>
      <c r="IA56" s="644"/>
      <c r="IB56" s="644"/>
      <c r="IC56" s="644"/>
      <c r="ID56" s="13">
        <v>1</v>
      </c>
      <c r="IE56" s="644"/>
      <c r="IF56" s="13">
        <v>0</v>
      </c>
      <c r="IG56" s="756"/>
      <c r="IH56" s="13">
        <v>1</v>
      </c>
      <c r="II56" s="644"/>
      <c r="IJ56" s="644"/>
      <c r="IK56" s="644"/>
      <c r="IL56" s="711">
        <v>0</v>
      </c>
      <c r="IM56" s="644"/>
      <c r="IN56" s="712">
        <v>0</v>
      </c>
      <c r="IO56" s="644"/>
      <c r="IP56" s="13"/>
      <c r="IQ56" s="644"/>
      <c r="IR56" s="13"/>
      <c r="IS56" s="644"/>
      <c r="IT56" s="13">
        <v>0</v>
      </c>
      <c r="IU56" s="644"/>
      <c r="IV56" s="13">
        <v>0</v>
      </c>
      <c r="IW56" s="644"/>
      <c r="IX56" s="710"/>
      <c r="IY56" s="644"/>
      <c r="IZ56" s="13"/>
      <c r="JA56" s="644"/>
      <c r="JB56" s="13"/>
      <c r="JC56" s="644"/>
      <c r="JD56" s="13">
        <v>0</v>
      </c>
      <c r="JE56" s="644"/>
      <c r="JF56" s="644"/>
      <c r="JG56" s="644"/>
      <c r="JH56" s="13"/>
      <c r="JI56" s="644"/>
      <c r="JJ56" s="644"/>
      <c r="JK56" s="644"/>
      <c r="JL56" s="644"/>
      <c r="JM56" s="644"/>
      <c r="JN56" s="13">
        <v>3</v>
      </c>
      <c r="JO56" s="644"/>
      <c r="JP56" s="644"/>
      <c r="JQ56" s="644"/>
      <c r="JR56" s="713">
        <v>0</v>
      </c>
      <c r="JS56" s="644"/>
      <c r="JT56" s="13" t="s">
        <v>465</v>
      </c>
      <c r="JU56" s="644"/>
      <c r="JV56" s="13"/>
      <c r="JW56" s="644"/>
      <c r="JX56" s="13">
        <v>0</v>
      </c>
      <c r="JY56" s="644"/>
    </row>
    <row r="57" spans="1:285" ht="30" customHeight="1" x14ac:dyDescent="0.2">
      <c r="A57" s="1565"/>
      <c r="B57" s="1580"/>
      <c r="C57" s="82" t="s">
        <v>116</v>
      </c>
      <c r="D57" s="83" t="s">
        <v>23</v>
      </c>
      <c r="E57" s="813" t="s">
        <v>53</v>
      </c>
      <c r="F57" s="13">
        <v>2</v>
      </c>
      <c r="G57" s="756"/>
      <c r="H57" s="13">
        <v>2</v>
      </c>
      <c r="I57" s="644"/>
      <c r="J57" s="13">
        <v>5</v>
      </c>
      <c r="K57" s="644"/>
      <c r="L57" s="13">
        <v>6</v>
      </c>
      <c r="M57" s="644"/>
      <c r="N57" s="808">
        <v>38</v>
      </c>
      <c r="O57" s="644"/>
      <c r="P57" s="709"/>
      <c r="Q57" s="644"/>
      <c r="R57" s="13"/>
      <c r="S57" s="644"/>
      <c r="T57" s="644"/>
      <c r="U57" s="644"/>
      <c r="V57" s="644"/>
      <c r="W57" s="644"/>
      <c r="X57" s="644"/>
      <c r="Y57" s="644"/>
      <c r="Z57" s="13">
        <v>21</v>
      </c>
      <c r="AA57" s="644"/>
      <c r="AB57" s="13">
        <v>136</v>
      </c>
      <c r="AC57" s="644"/>
      <c r="AD57" s="13">
        <v>0</v>
      </c>
      <c r="AE57" s="644"/>
      <c r="AF57" s="644"/>
      <c r="AG57" s="644"/>
      <c r="AH57" s="644"/>
      <c r="AI57" s="644"/>
      <c r="AJ57" s="709">
        <v>0</v>
      </c>
      <c r="AK57" s="644"/>
      <c r="AL57" s="13"/>
      <c r="AM57" s="644"/>
      <c r="AN57" s="13"/>
      <c r="AO57" s="644"/>
      <c r="AP57" s="13"/>
      <c r="AQ57" s="644"/>
      <c r="AR57" s="13">
        <v>37</v>
      </c>
      <c r="AS57" s="644"/>
      <c r="AT57" s="13"/>
      <c r="AU57" s="644"/>
      <c r="AV57" s="808">
        <v>86</v>
      </c>
      <c r="AW57" s="644"/>
      <c r="AX57" s="13">
        <v>15</v>
      </c>
      <c r="AY57" s="644"/>
      <c r="AZ57" s="13"/>
      <c r="BA57" s="644"/>
      <c r="BB57" s="644"/>
      <c r="BC57" s="644"/>
      <c r="BD57" s="5"/>
      <c r="BE57" s="644"/>
      <c r="BF57" s="13"/>
      <c r="BG57" s="644"/>
      <c r="BH57" s="644"/>
      <c r="BI57" s="644"/>
      <c r="BJ57" s="13">
        <v>2</v>
      </c>
      <c r="BK57" s="644"/>
      <c r="BL57" s="13"/>
      <c r="BM57" s="644"/>
      <c r="BN57" s="13"/>
      <c r="BO57" s="644"/>
      <c r="BP57" s="710">
        <v>45</v>
      </c>
      <c r="BQ57" s="644"/>
      <c r="BR57" s="13"/>
      <c r="BS57" s="644"/>
      <c r="BT57" s="13"/>
      <c r="BU57" s="644"/>
      <c r="BV57" s="13"/>
      <c r="BW57" s="644"/>
      <c r="BX57" s="710"/>
      <c r="BY57" s="644"/>
      <c r="BZ57" s="710">
        <v>3</v>
      </c>
      <c r="CA57" s="644"/>
      <c r="CB57" s="13"/>
      <c r="CC57" s="644"/>
      <c r="CD57" s="644"/>
      <c r="CE57" s="644"/>
      <c r="CF57" s="644"/>
      <c r="CG57" s="644"/>
      <c r="CH57" s="710"/>
      <c r="CI57" s="13"/>
      <c r="CJ57" s="13"/>
      <c r="CK57" s="13"/>
      <c r="CL57" s="13">
        <v>6</v>
      </c>
      <c r="CM57" s="644"/>
      <c r="CN57" s="13"/>
      <c r="CO57" s="644"/>
      <c r="CP57" s="13"/>
      <c r="CQ57" s="644"/>
      <c r="CR57" s="13">
        <v>13</v>
      </c>
      <c r="CS57" s="644"/>
      <c r="CT57" s="13">
        <v>18</v>
      </c>
      <c r="CU57" s="644"/>
      <c r="CV57" s="13">
        <v>2</v>
      </c>
      <c r="CW57" s="644"/>
      <c r="CX57" s="13">
        <v>7</v>
      </c>
      <c r="CY57" s="644"/>
      <c r="CZ57" s="13">
        <v>0</v>
      </c>
      <c r="DA57" s="644"/>
      <c r="DB57" s="13">
        <v>0</v>
      </c>
      <c r="DC57" s="644"/>
      <c r="DD57" s="703" t="s">
        <v>465</v>
      </c>
      <c r="DE57" s="644"/>
      <c r="DF57" s="644"/>
      <c r="DG57" s="644"/>
      <c r="DH57" s="13"/>
      <c r="DI57" s="644"/>
      <c r="DJ57" s="809">
        <v>0</v>
      </c>
      <c r="DK57" s="644"/>
      <c r="DL57" s="644"/>
      <c r="DM57" s="644"/>
      <c r="DN57" s="13">
        <v>0</v>
      </c>
      <c r="DO57" s="644"/>
      <c r="DP57" s="644"/>
      <c r="DQ57" s="644"/>
      <c r="DR57" s="644"/>
      <c r="DS57" s="644"/>
      <c r="DT57" s="644"/>
      <c r="DU57" s="644"/>
      <c r="DV57" s="13">
        <v>2</v>
      </c>
      <c r="DW57" s="644"/>
      <c r="DX57" s="13">
        <v>0</v>
      </c>
      <c r="DY57" s="644"/>
      <c r="DZ57" s="703" t="s">
        <v>465</v>
      </c>
      <c r="EA57" s="644"/>
      <c r="EB57" s="644"/>
      <c r="EC57" s="644"/>
      <c r="ED57" s="644"/>
      <c r="EE57" s="644"/>
      <c r="EF57" s="13">
        <v>1</v>
      </c>
      <c r="EG57" s="644"/>
      <c r="EH57" s="13">
        <v>6</v>
      </c>
      <c r="EI57" s="644"/>
      <c r="EJ57" s="644"/>
      <c r="EK57" s="644"/>
      <c r="EL57" s="644"/>
      <c r="EM57" s="644"/>
      <c r="EN57" s="13">
        <v>12</v>
      </c>
      <c r="EO57" s="644"/>
      <c r="EP57" s="13">
        <v>2</v>
      </c>
      <c r="EQ57" s="644"/>
      <c r="ER57" s="644"/>
      <c r="ES57" s="644"/>
      <c r="ET57" s="13">
        <v>3</v>
      </c>
      <c r="EU57" s="644"/>
      <c r="EV57" s="13">
        <v>96</v>
      </c>
      <c r="EW57" s="644"/>
      <c r="EX57" s="13" t="s">
        <v>465</v>
      </c>
      <c r="EY57" s="644"/>
      <c r="EZ57" s="13">
        <v>0</v>
      </c>
      <c r="FA57" s="644"/>
      <c r="FB57" s="13">
        <v>0</v>
      </c>
      <c r="FC57" s="644"/>
      <c r="FD57" s="13" t="s">
        <v>465</v>
      </c>
      <c r="FE57" s="644"/>
      <c r="FF57" s="13">
        <v>0</v>
      </c>
      <c r="FG57" s="644"/>
      <c r="FH57" s="13"/>
      <c r="FI57" s="644"/>
      <c r="FJ57" s="13"/>
      <c r="FK57" s="644"/>
      <c r="FL57" s="811">
        <v>8</v>
      </c>
      <c r="FM57" s="644"/>
      <c r="FN57" s="13"/>
      <c r="FO57" s="644"/>
      <c r="FP57" s="13">
        <v>8</v>
      </c>
      <c r="FQ57" s="644"/>
      <c r="FR57" s="644"/>
      <c r="FS57" s="644"/>
      <c r="FT57" s="644"/>
      <c r="FU57" s="644"/>
      <c r="FV57" s="644"/>
      <c r="FW57" s="644"/>
      <c r="FX57" s="13">
        <v>54</v>
      </c>
      <c r="FY57" s="644"/>
      <c r="FZ57" s="644"/>
      <c r="GA57" s="644"/>
      <c r="GB57" s="13">
        <v>1</v>
      </c>
      <c r="GC57" s="644"/>
      <c r="GD57" s="13">
        <v>7</v>
      </c>
      <c r="GE57" s="644"/>
      <c r="GF57" s="703" t="s">
        <v>465</v>
      </c>
      <c r="GG57" s="644"/>
      <c r="GH57" s="13">
        <v>33</v>
      </c>
      <c r="GI57" s="644"/>
      <c r="GJ57" s="811">
        <v>1</v>
      </c>
      <c r="GK57" s="644"/>
      <c r="GL57" s="13"/>
      <c r="GM57" s="644"/>
      <c r="GN57" s="13">
        <f>1+1</f>
        <v>2</v>
      </c>
      <c r="GO57" s="644"/>
      <c r="GP57" s="13">
        <v>0</v>
      </c>
      <c r="GQ57" s="644"/>
      <c r="GR57" s="13"/>
      <c r="GS57" s="644"/>
      <c r="GT57" s="13">
        <v>11</v>
      </c>
      <c r="GU57" s="644"/>
      <c r="GV57" s="13">
        <v>3</v>
      </c>
      <c r="GW57" s="644"/>
      <c r="GX57" s="13">
        <v>1</v>
      </c>
      <c r="GY57" s="644"/>
      <c r="GZ57" s="13"/>
      <c r="HA57" s="644"/>
      <c r="HB57" s="13"/>
      <c r="HC57" s="644"/>
      <c r="HD57" s="13"/>
      <c r="HE57" s="644"/>
      <c r="HF57" s="13"/>
      <c r="HG57" s="644"/>
      <c r="HH57" s="13" t="s">
        <v>465</v>
      </c>
      <c r="HI57" s="644"/>
      <c r="HJ57" s="644"/>
      <c r="HK57" s="644"/>
      <c r="HL57" s="13">
        <v>0</v>
      </c>
      <c r="HM57" s="644"/>
      <c r="HN57" s="13" t="s">
        <v>465</v>
      </c>
      <c r="HO57" s="644"/>
      <c r="HP57" s="13"/>
      <c r="HQ57" s="644"/>
      <c r="HR57" s="13"/>
      <c r="HS57" s="644"/>
      <c r="HT57" s="711">
        <v>39</v>
      </c>
      <c r="HU57" s="644"/>
      <c r="HV57" s="13"/>
      <c r="HW57" s="644"/>
      <c r="HX57" s="13"/>
      <c r="HY57" s="644"/>
      <c r="HZ57" s="13">
        <v>4</v>
      </c>
      <c r="IA57" s="644"/>
      <c r="IB57" s="644"/>
      <c r="IC57" s="644"/>
      <c r="ID57" s="13">
        <v>0</v>
      </c>
      <c r="IE57" s="644"/>
      <c r="IF57" s="13">
        <v>1</v>
      </c>
      <c r="IG57" s="756"/>
      <c r="IH57" s="13"/>
      <c r="II57" s="644"/>
      <c r="IJ57" s="644"/>
      <c r="IK57" s="644"/>
      <c r="IL57" s="711">
        <v>0</v>
      </c>
      <c r="IM57" s="644"/>
      <c r="IN57" s="712">
        <v>0</v>
      </c>
      <c r="IO57" s="644"/>
      <c r="IP57" s="13">
        <v>19</v>
      </c>
      <c r="IQ57" s="644"/>
      <c r="IR57" s="13">
        <v>2</v>
      </c>
      <c r="IS57" s="644"/>
      <c r="IT57" s="13">
        <v>0</v>
      </c>
      <c r="IU57" s="644"/>
      <c r="IV57" s="13">
        <v>9</v>
      </c>
      <c r="IW57" s="644"/>
      <c r="IX57" s="710"/>
      <c r="IY57" s="644"/>
      <c r="IZ57" s="13">
        <v>9</v>
      </c>
      <c r="JA57" s="644"/>
      <c r="JB57" s="13"/>
      <c r="JC57" s="644"/>
      <c r="JD57" s="13">
        <v>0</v>
      </c>
      <c r="JE57" s="644"/>
      <c r="JF57" s="644"/>
      <c r="JG57" s="644"/>
      <c r="JH57" s="13">
        <v>18</v>
      </c>
      <c r="JI57" s="644"/>
      <c r="JJ57" s="644"/>
      <c r="JK57" s="644"/>
      <c r="JL57" s="644"/>
      <c r="JM57" s="644"/>
      <c r="JN57" s="13">
        <v>1</v>
      </c>
      <c r="JO57" s="644"/>
      <c r="JP57" s="644"/>
      <c r="JQ57" s="644"/>
      <c r="JR57" s="713">
        <v>1</v>
      </c>
      <c r="JS57" s="644"/>
      <c r="JT57" s="13">
        <v>3</v>
      </c>
      <c r="JU57" s="644"/>
      <c r="JV57" s="13"/>
      <c r="JW57" s="644"/>
      <c r="JX57" s="13">
        <v>2</v>
      </c>
      <c r="JY57" s="644"/>
    </row>
    <row r="58" spans="1:285" ht="33.75" customHeight="1" x14ac:dyDescent="0.2">
      <c r="A58" s="1565"/>
      <c r="B58" s="1580"/>
      <c r="C58" s="82" t="s">
        <v>117</v>
      </c>
      <c r="D58" s="83" t="s">
        <v>223</v>
      </c>
      <c r="E58" s="813" t="s">
        <v>53</v>
      </c>
      <c r="F58" s="13">
        <v>0</v>
      </c>
      <c r="G58" s="756"/>
      <c r="H58" s="13"/>
      <c r="I58" s="644"/>
      <c r="J58" s="13" t="s">
        <v>465</v>
      </c>
      <c r="K58" s="644"/>
      <c r="L58" s="13"/>
      <c r="M58" s="644"/>
      <c r="N58" s="808"/>
      <c r="O58" s="644"/>
      <c r="P58" s="709"/>
      <c r="Q58" s="644"/>
      <c r="R58" s="13"/>
      <c r="S58" s="644"/>
      <c r="T58" s="644"/>
      <c r="U58" s="644"/>
      <c r="V58" s="644"/>
      <c r="W58" s="644"/>
      <c r="X58" s="644"/>
      <c r="Y58" s="644"/>
      <c r="Z58" s="13">
        <v>137</v>
      </c>
      <c r="AA58" s="644"/>
      <c r="AB58" s="13">
        <v>217</v>
      </c>
      <c r="AC58" s="644"/>
      <c r="AD58" s="13">
        <v>0</v>
      </c>
      <c r="AE58" s="644"/>
      <c r="AF58" s="644"/>
      <c r="AG58" s="644"/>
      <c r="AH58" s="644"/>
      <c r="AI58" s="644"/>
      <c r="AJ58" s="709">
        <v>0</v>
      </c>
      <c r="AK58" s="644"/>
      <c r="AL58" s="13"/>
      <c r="AM58" s="644"/>
      <c r="AN58" s="13"/>
      <c r="AO58" s="644"/>
      <c r="AP58" s="13"/>
      <c r="AQ58" s="644"/>
      <c r="AR58" s="13"/>
      <c r="AS58" s="644"/>
      <c r="AT58" s="13">
        <v>44</v>
      </c>
      <c r="AU58" s="644"/>
      <c r="AV58" s="808"/>
      <c r="AW58" s="644"/>
      <c r="AX58" s="13">
        <v>0</v>
      </c>
      <c r="AY58" s="644"/>
      <c r="AZ58" s="13"/>
      <c r="BA58" s="644"/>
      <c r="BB58" s="644"/>
      <c r="BC58" s="644"/>
      <c r="BD58" s="5">
        <v>3</v>
      </c>
      <c r="BE58" s="644"/>
      <c r="BF58" s="13"/>
      <c r="BG58" s="644"/>
      <c r="BH58" s="644"/>
      <c r="BI58" s="644"/>
      <c r="BJ58" s="13"/>
      <c r="BK58" s="644"/>
      <c r="BL58" s="13"/>
      <c r="BM58" s="644"/>
      <c r="BN58" s="13"/>
      <c r="BO58" s="644"/>
      <c r="BP58" s="710">
        <v>163</v>
      </c>
      <c r="BQ58" s="644"/>
      <c r="BR58" s="13"/>
      <c r="BS58" s="644"/>
      <c r="BT58" s="13" t="s">
        <v>701</v>
      </c>
      <c r="BU58" s="644"/>
      <c r="BV58" s="13"/>
      <c r="BW58" s="644"/>
      <c r="BX58" s="710"/>
      <c r="BY58" s="644"/>
      <c r="BZ58" s="710"/>
      <c r="CA58" s="644"/>
      <c r="CB58" s="13"/>
      <c r="CC58" s="644"/>
      <c r="CD58" s="644"/>
      <c r="CE58" s="644"/>
      <c r="CF58" s="644"/>
      <c r="CG58" s="644"/>
      <c r="CH58" s="710">
        <v>9</v>
      </c>
      <c r="CI58" s="13"/>
      <c r="CJ58" s="13"/>
      <c r="CK58" s="13"/>
      <c r="CL58" s="13">
        <v>4</v>
      </c>
      <c r="CM58" s="644"/>
      <c r="CN58" s="13"/>
      <c r="CO58" s="644"/>
      <c r="CP58" s="13"/>
      <c r="CQ58" s="644"/>
      <c r="CR58" s="13">
        <v>10</v>
      </c>
      <c r="CS58" s="644"/>
      <c r="CT58" s="13">
        <v>30</v>
      </c>
      <c r="CU58" s="644"/>
      <c r="CV58" s="13">
        <v>0</v>
      </c>
      <c r="CW58" s="644"/>
      <c r="CX58" s="13">
        <v>29</v>
      </c>
      <c r="CY58" s="644"/>
      <c r="CZ58" s="13">
        <v>0</v>
      </c>
      <c r="DA58" s="644"/>
      <c r="DB58" s="13">
        <v>0</v>
      </c>
      <c r="DC58" s="644"/>
      <c r="DD58" s="703" t="s">
        <v>465</v>
      </c>
      <c r="DE58" s="644"/>
      <c r="DF58" s="644"/>
      <c r="DG58" s="644"/>
      <c r="DH58" s="13"/>
      <c r="DI58" s="644"/>
      <c r="DJ58" s="809">
        <v>1</v>
      </c>
      <c r="DK58" s="644"/>
      <c r="DL58" s="644"/>
      <c r="DM58" s="644"/>
      <c r="DN58" s="13">
        <v>54</v>
      </c>
      <c r="DO58" s="644"/>
      <c r="DP58" s="644"/>
      <c r="DQ58" s="644"/>
      <c r="DR58" s="644"/>
      <c r="DS58" s="644"/>
      <c r="DT58" s="644"/>
      <c r="DU58" s="644"/>
      <c r="DV58" s="13">
        <v>0</v>
      </c>
      <c r="DW58" s="644"/>
      <c r="DX58" s="13">
        <v>0</v>
      </c>
      <c r="DY58" s="644"/>
      <c r="DZ58" s="703" t="s">
        <v>465</v>
      </c>
      <c r="EA58" s="644"/>
      <c r="EB58" s="644"/>
      <c r="EC58" s="644"/>
      <c r="ED58" s="644"/>
      <c r="EE58" s="644"/>
      <c r="EF58" s="13">
        <v>0</v>
      </c>
      <c r="EG58" s="644"/>
      <c r="EH58" s="13">
        <v>0</v>
      </c>
      <c r="EI58" s="644"/>
      <c r="EJ58" s="644"/>
      <c r="EK58" s="644"/>
      <c r="EL58" s="644"/>
      <c r="EM58" s="644"/>
      <c r="EN58" s="13">
        <v>234</v>
      </c>
      <c r="EO58" s="644"/>
      <c r="EP58" s="13">
        <v>6</v>
      </c>
      <c r="EQ58" s="644"/>
      <c r="ER58" s="644"/>
      <c r="ES58" s="644"/>
      <c r="ET58" s="13">
        <f>11+1</f>
        <v>12</v>
      </c>
      <c r="EU58" s="644"/>
      <c r="EV58" s="13">
        <v>0</v>
      </c>
      <c r="EW58" s="644"/>
      <c r="EX58" s="13" t="s">
        <v>465</v>
      </c>
      <c r="EY58" s="644"/>
      <c r="EZ58" s="13">
        <v>0</v>
      </c>
      <c r="FA58" s="644"/>
      <c r="FB58" s="13">
        <v>4</v>
      </c>
      <c r="FC58" s="644"/>
      <c r="FD58" s="13" t="s">
        <v>465</v>
      </c>
      <c r="FE58" s="644"/>
      <c r="FF58" s="13">
        <v>0</v>
      </c>
      <c r="FG58" s="644"/>
      <c r="FH58" s="13"/>
      <c r="FI58" s="644"/>
      <c r="FJ58" s="13"/>
      <c r="FK58" s="644"/>
      <c r="FL58" s="811">
        <v>8</v>
      </c>
      <c r="FM58" s="644"/>
      <c r="FN58" s="13"/>
      <c r="FO58" s="644"/>
      <c r="FP58" s="13"/>
      <c r="FQ58" s="644"/>
      <c r="FR58" s="644"/>
      <c r="FS58" s="644"/>
      <c r="FT58" s="644"/>
      <c r="FU58" s="644"/>
      <c r="FV58" s="644"/>
      <c r="FW58" s="644"/>
      <c r="FX58" s="13" t="s">
        <v>465</v>
      </c>
      <c r="FY58" s="644"/>
      <c r="FZ58" s="644"/>
      <c r="GA58" s="644"/>
      <c r="GB58" s="13"/>
      <c r="GC58" s="644"/>
      <c r="GD58" s="13">
        <v>23</v>
      </c>
      <c r="GE58" s="644"/>
      <c r="GF58" s="703" t="s">
        <v>465</v>
      </c>
      <c r="GG58" s="644"/>
      <c r="GH58" s="13">
        <v>1</v>
      </c>
      <c r="GI58" s="644"/>
      <c r="GJ58" s="811">
        <v>0</v>
      </c>
      <c r="GK58" s="644"/>
      <c r="GL58" s="9"/>
      <c r="GM58" s="644"/>
      <c r="GN58" s="13">
        <f>1</f>
        <v>1</v>
      </c>
      <c r="GO58" s="644"/>
      <c r="GP58" s="13">
        <v>0</v>
      </c>
      <c r="GQ58" s="644"/>
      <c r="GR58" s="13"/>
      <c r="GS58" s="644"/>
      <c r="GT58" s="13"/>
      <c r="GU58" s="644"/>
      <c r="GV58" s="13"/>
      <c r="GW58" s="644"/>
      <c r="GX58" s="13"/>
      <c r="GY58" s="644"/>
      <c r="GZ58" s="13"/>
      <c r="HA58" s="644"/>
      <c r="HB58" s="13"/>
      <c r="HC58" s="644"/>
      <c r="HD58" s="13"/>
      <c r="HE58" s="644"/>
      <c r="HF58" s="13"/>
      <c r="HG58" s="644"/>
      <c r="HH58" s="13" t="s">
        <v>465</v>
      </c>
      <c r="HI58" s="644"/>
      <c r="HJ58" s="644"/>
      <c r="HK58" s="644"/>
      <c r="HL58" s="13">
        <v>0</v>
      </c>
      <c r="HM58" s="644"/>
      <c r="HN58" s="13" t="s">
        <v>465</v>
      </c>
      <c r="HO58" s="644"/>
      <c r="HP58" s="13"/>
      <c r="HQ58" s="644"/>
      <c r="HR58" s="13"/>
      <c r="HS58" s="644"/>
      <c r="HT58" s="711">
        <v>4</v>
      </c>
      <c r="HU58" s="644"/>
      <c r="HV58" s="13"/>
      <c r="HW58" s="644"/>
      <c r="HX58" s="13"/>
      <c r="HY58" s="644"/>
      <c r="HZ58" s="13">
        <v>8</v>
      </c>
      <c r="IA58" s="644"/>
      <c r="IB58" s="644"/>
      <c r="IC58" s="644"/>
      <c r="ID58" s="13">
        <v>0</v>
      </c>
      <c r="IE58" s="644"/>
      <c r="IF58" s="13">
        <v>0</v>
      </c>
      <c r="IG58" s="756"/>
      <c r="IH58" s="13">
        <v>104</v>
      </c>
      <c r="II58" s="644"/>
      <c r="IJ58" s="644"/>
      <c r="IK58" s="644"/>
      <c r="IL58" s="711">
        <v>0</v>
      </c>
      <c r="IM58" s="644"/>
      <c r="IN58" s="712">
        <v>0</v>
      </c>
      <c r="IO58" s="644"/>
      <c r="IP58" s="13">
        <v>25</v>
      </c>
      <c r="IQ58" s="644"/>
      <c r="IR58" s="13">
        <v>16</v>
      </c>
      <c r="IS58" s="644"/>
      <c r="IT58" s="13">
        <v>4</v>
      </c>
      <c r="IU58" s="644"/>
      <c r="IV58" s="13">
        <v>0</v>
      </c>
      <c r="IW58" s="644"/>
      <c r="IX58" s="710"/>
      <c r="IY58" s="644"/>
      <c r="IZ58" s="13"/>
      <c r="JA58" s="644"/>
      <c r="JB58" s="13"/>
      <c r="JC58" s="644"/>
      <c r="JD58" s="13">
        <v>0</v>
      </c>
      <c r="JE58" s="644"/>
      <c r="JF58" s="644"/>
      <c r="JG58" s="644"/>
      <c r="JH58" s="13"/>
      <c r="JI58" s="644"/>
      <c r="JJ58" s="644"/>
      <c r="JK58" s="644"/>
      <c r="JL58" s="644"/>
      <c r="JM58" s="644"/>
      <c r="JN58" s="13">
        <v>460</v>
      </c>
      <c r="JO58" s="644"/>
      <c r="JP58" s="644"/>
      <c r="JQ58" s="644"/>
      <c r="JR58" s="713">
        <v>53</v>
      </c>
      <c r="JS58" s="644"/>
      <c r="JT58" s="13" t="s">
        <v>465</v>
      </c>
      <c r="JU58" s="644"/>
      <c r="JV58" s="13"/>
      <c r="JW58" s="644"/>
      <c r="JX58" s="13">
        <v>199</v>
      </c>
      <c r="JY58" s="644"/>
    </row>
    <row r="59" spans="1:285" ht="39" customHeight="1" x14ac:dyDescent="0.2">
      <c r="A59" s="1565"/>
      <c r="B59" s="1580"/>
      <c r="C59" s="82" t="s">
        <v>118</v>
      </c>
      <c r="D59" s="83" t="s">
        <v>24</v>
      </c>
      <c r="E59" s="813" t="s">
        <v>53</v>
      </c>
      <c r="F59" s="13">
        <v>2</v>
      </c>
      <c r="G59" s="756"/>
      <c r="H59" s="13"/>
      <c r="I59" s="644"/>
      <c r="J59" s="13" t="s">
        <v>465</v>
      </c>
      <c r="K59" s="644"/>
      <c r="L59" s="13"/>
      <c r="M59" s="644"/>
      <c r="N59" s="808">
        <v>58</v>
      </c>
      <c r="O59" s="644"/>
      <c r="P59" s="709"/>
      <c r="Q59" s="644"/>
      <c r="R59" s="13">
        <v>48</v>
      </c>
      <c r="S59" s="644"/>
      <c r="T59" s="644"/>
      <c r="U59" s="644"/>
      <c r="V59" s="644"/>
      <c r="W59" s="644"/>
      <c r="X59" s="644"/>
      <c r="Y59" s="644"/>
      <c r="Z59" s="13">
        <v>52</v>
      </c>
      <c r="AA59" s="644"/>
      <c r="AB59" s="13">
        <v>189</v>
      </c>
      <c r="AC59" s="644"/>
      <c r="AD59" s="13">
        <v>0</v>
      </c>
      <c r="AE59" s="644"/>
      <c r="AF59" s="644"/>
      <c r="AG59" s="644"/>
      <c r="AH59" s="644"/>
      <c r="AI59" s="644"/>
      <c r="AJ59" s="709">
        <v>0</v>
      </c>
      <c r="AK59" s="644"/>
      <c r="AL59" s="13"/>
      <c r="AM59" s="644"/>
      <c r="AN59" s="13"/>
      <c r="AO59" s="644"/>
      <c r="AP59" s="13"/>
      <c r="AQ59" s="644"/>
      <c r="AR59" s="13">
        <v>4</v>
      </c>
      <c r="AS59" s="644"/>
      <c r="AT59" s="13">
        <v>28</v>
      </c>
      <c r="AU59" s="644"/>
      <c r="AV59" s="808">
        <v>98</v>
      </c>
      <c r="AW59" s="644"/>
      <c r="AX59" s="13">
        <v>0</v>
      </c>
      <c r="AY59" s="644"/>
      <c r="AZ59" s="13"/>
      <c r="BA59" s="644"/>
      <c r="BB59" s="644"/>
      <c r="BC59" s="644"/>
      <c r="BD59" s="5">
        <v>6</v>
      </c>
      <c r="BE59" s="644"/>
      <c r="BF59" s="13"/>
      <c r="BG59" s="644"/>
      <c r="BH59" s="644"/>
      <c r="BI59" s="644"/>
      <c r="BJ59" s="13"/>
      <c r="BK59" s="644"/>
      <c r="BL59" s="13"/>
      <c r="BM59" s="644"/>
      <c r="BN59" s="13"/>
      <c r="BO59" s="644"/>
      <c r="BP59" s="710">
        <v>342</v>
      </c>
      <c r="BQ59" s="644"/>
      <c r="BR59" s="13"/>
      <c r="BS59" s="644"/>
      <c r="BT59" s="13" t="s">
        <v>701</v>
      </c>
      <c r="BU59" s="644"/>
      <c r="BV59" s="13"/>
      <c r="BW59" s="644"/>
      <c r="BX59" s="710"/>
      <c r="BY59" s="644"/>
      <c r="BZ59" s="710"/>
      <c r="CA59" s="644"/>
      <c r="CB59" s="13">
        <v>17</v>
      </c>
      <c r="CC59" s="644"/>
      <c r="CD59" s="644"/>
      <c r="CE59" s="644"/>
      <c r="CF59" s="644"/>
      <c r="CG59" s="644"/>
      <c r="CH59" s="710">
        <v>9</v>
      </c>
      <c r="CI59" s="13"/>
      <c r="CJ59" s="13">
        <v>9</v>
      </c>
      <c r="CK59" s="13"/>
      <c r="CL59" s="13">
        <v>1</v>
      </c>
      <c r="CM59" s="644"/>
      <c r="CN59" s="13"/>
      <c r="CO59" s="644"/>
      <c r="CP59" s="13">
        <v>1</v>
      </c>
      <c r="CQ59" s="644"/>
      <c r="CR59" s="13">
        <v>26</v>
      </c>
      <c r="CS59" s="644"/>
      <c r="CT59" s="13">
        <v>24</v>
      </c>
      <c r="CU59" s="644"/>
      <c r="CV59" s="13">
        <v>0</v>
      </c>
      <c r="CW59" s="644"/>
      <c r="CX59" s="13">
        <v>25</v>
      </c>
      <c r="CY59" s="644"/>
      <c r="CZ59" s="13">
        <v>0</v>
      </c>
      <c r="DA59" s="644"/>
      <c r="DB59" s="13">
        <v>0</v>
      </c>
      <c r="DC59" s="644"/>
      <c r="DD59" s="703" t="s">
        <v>465</v>
      </c>
      <c r="DE59" s="644"/>
      <c r="DF59" s="644"/>
      <c r="DG59" s="644"/>
      <c r="DH59" s="13"/>
      <c r="DI59" s="644"/>
      <c r="DJ59" s="809">
        <v>0</v>
      </c>
      <c r="DK59" s="644"/>
      <c r="DL59" s="644"/>
      <c r="DM59" s="644"/>
      <c r="DN59" s="13">
        <v>17</v>
      </c>
      <c r="DO59" s="644"/>
      <c r="DP59" s="644"/>
      <c r="DQ59" s="644"/>
      <c r="DR59" s="644"/>
      <c r="DS59" s="644"/>
      <c r="DT59" s="644"/>
      <c r="DU59" s="644"/>
      <c r="DV59" s="13">
        <v>0</v>
      </c>
      <c r="DW59" s="644"/>
      <c r="DX59" s="13">
        <v>0</v>
      </c>
      <c r="DY59" s="644"/>
      <c r="DZ59" s="703" t="s">
        <v>465</v>
      </c>
      <c r="EA59" s="644"/>
      <c r="EB59" s="644"/>
      <c r="EC59" s="644"/>
      <c r="ED59" s="644"/>
      <c r="EE59" s="644"/>
      <c r="EF59" s="13">
        <v>0</v>
      </c>
      <c r="EG59" s="644"/>
      <c r="EH59" s="13">
        <v>0</v>
      </c>
      <c r="EI59" s="644"/>
      <c r="EJ59" s="644"/>
      <c r="EK59" s="644"/>
      <c r="EL59" s="644"/>
      <c r="EM59" s="644"/>
      <c r="EN59" s="13">
        <v>72</v>
      </c>
      <c r="EO59" s="644"/>
      <c r="EP59" s="13">
        <v>7</v>
      </c>
      <c r="EQ59" s="644"/>
      <c r="ER59" s="644"/>
      <c r="ES59" s="644"/>
      <c r="ET59" s="13">
        <v>8</v>
      </c>
      <c r="EU59" s="644"/>
      <c r="EV59" s="13">
        <v>6</v>
      </c>
      <c r="EW59" s="644"/>
      <c r="EX59" s="13" t="s">
        <v>465</v>
      </c>
      <c r="EY59" s="644"/>
      <c r="EZ59" s="13">
        <v>0</v>
      </c>
      <c r="FA59" s="644"/>
      <c r="FB59" s="13">
        <v>0</v>
      </c>
      <c r="FC59" s="644"/>
      <c r="FD59" s="13" t="s">
        <v>465</v>
      </c>
      <c r="FE59" s="644"/>
      <c r="FF59" s="13">
        <v>12</v>
      </c>
      <c r="FG59" s="644"/>
      <c r="FH59" s="13">
        <v>2</v>
      </c>
      <c r="FI59" s="644"/>
      <c r="FJ59" s="13"/>
      <c r="FK59" s="644"/>
      <c r="FL59" s="811">
        <v>22</v>
      </c>
      <c r="FM59" s="644"/>
      <c r="FN59" s="13"/>
      <c r="FO59" s="644"/>
      <c r="FP59" s="13">
        <v>10</v>
      </c>
      <c r="FQ59" s="644"/>
      <c r="FR59" s="644"/>
      <c r="FS59" s="644"/>
      <c r="FT59" s="644"/>
      <c r="FU59" s="644"/>
      <c r="FV59" s="644"/>
      <c r="FW59" s="644"/>
      <c r="FX59" s="13" t="s">
        <v>465</v>
      </c>
      <c r="FY59" s="644"/>
      <c r="FZ59" s="644"/>
      <c r="GA59" s="644"/>
      <c r="GB59" s="13">
        <v>2</v>
      </c>
      <c r="GC59" s="644"/>
      <c r="GD59" s="13">
        <v>27</v>
      </c>
      <c r="GE59" s="644"/>
      <c r="GF59" s="703" t="s">
        <v>465</v>
      </c>
      <c r="GG59" s="644"/>
      <c r="GH59" s="13">
        <v>11</v>
      </c>
      <c r="GI59" s="644"/>
      <c r="GJ59" s="811">
        <v>15</v>
      </c>
      <c r="GK59" s="644"/>
      <c r="GL59" s="13"/>
      <c r="GM59" s="644"/>
      <c r="GN59" s="13">
        <f>1</f>
        <v>1</v>
      </c>
      <c r="GO59" s="644"/>
      <c r="GP59" s="13">
        <v>0</v>
      </c>
      <c r="GQ59" s="644"/>
      <c r="GR59" s="13">
        <v>11</v>
      </c>
      <c r="GS59" s="644"/>
      <c r="GT59" s="13">
        <v>11</v>
      </c>
      <c r="GU59" s="644"/>
      <c r="GV59" s="13">
        <v>1</v>
      </c>
      <c r="GW59" s="644"/>
      <c r="GX59" s="13">
        <v>1</v>
      </c>
      <c r="GY59" s="644"/>
      <c r="GZ59" s="13"/>
      <c r="HA59" s="644"/>
      <c r="HB59" s="13">
        <v>1</v>
      </c>
      <c r="HC59" s="644"/>
      <c r="HD59" s="13"/>
      <c r="HE59" s="644"/>
      <c r="HF59" s="13"/>
      <c r="HG59" s="644"/>
      <c r="HH59" s="13" t="s">
        <v>465</v>
      </c>
      <c r="HI59" s="644"/>
      <c r="HJ59" s="644"/>
      <c r="HK59" s="644"/>
      <c r="HL59" s="13">
        <v>0</v>
      </c>
      <c r="HM59" s="644"/>
      <c r="HN59" s="13">
        <v>33</v>
      </c>
      <c r="HO59" s="644"/>
      <c r="HP59" s="13"/>
      <c r="HQ59" s="644"/>
      <c r="HR59" s="13"/>
      <c r="HS59" s="644"/>
      <c r="HT59" s="711">
        <v>4</v>
      </c>
      <c r="HU59" s="644"/>
      <c r="HV59" s="13"/>
      <c r="HW59" s="644"/>
      <c r="HX59" s="13"/>
      <c r="HY59" s="644"/>
      <c r="HZ59" s="13">
        <v>4</v>
      </c>
      <c r="IA59" s="644"/>
      <c r="IB59" s="644"/>
      <c r="IC59" s="644"/>
      <c r="ID59" s="13">
        <v>17</v>
      </c>
      <c r="IE59" s="644"/>
      <c r="IF59" s="13">
        <v>3</v>
      </c>
      <c r="IG59" s="756"/>
      <c r="IH59" s="13">
        <v>12</v>
      </c>
      <c r="II59" s="644"/>
      <c r="IJ59" s="644"/>
      <c r="IK59" s="644"/>
      <c r="IL59" s="711">
        <v>0</v>
      </c>
      <c r="IM59" s="644"/>
      <c r="IN59" s="712">
        <v>0</v>
      </c>
      <c r="IO59" s="644"/>
      <c r="IP59" s="13">
        <v>14</v>
      </c>
      <c r="IQ59" s="644"/>
      <c r="IR59" s="13">
        <v>7</v>
      </c>
      <c r="IS59" s="644"/>
      <c r="IT59" s="13">
        <v>0</v>
      </c>
      <c r="IU59" s="644"/>
      <c r="IV59" s="13">
        <v>0</v>
      </c>
      <c r="IW59" s="644"/>
      <c r="IX59" s="710"/>
      <c r="IY59" s="644"/>
      <c r="IZ59" s="13"/>
      <c r="JA59" s="644"/>
      <c r="JB59" s="13"/>
      <c r="JC59" s="644"/>
      <c r="JD59" s="13">
        <v>5</v>
      </c>
      <c r="JE59" s="644"/>
      <c r="JF59" s="644"/>
      <c r="JG59" s="644"/>
      <c r="JH59" s="13"/>
      <c r="JI59" s="644"/>
      <c r="JJ59" s="644"/>
      <c r="JK59" s="644"/>
      <c r="JL59" s="644"/>
      <c r="JM59" s="644"/>
      <c r="JN59" s="13">
        <v>132</v>
      </c>
      <c r="JO59" s="644"/>
      <c r="JP59" s="644"/>
      <c r="JQ59" s="644"/>
      <c r="JR59" s="713">
        <v>19</v>
      </c>
      <c r="JS59" s="644"/>
      <c r="JT59" s="13">
        <v>1</v>
      </c>
      <c r="JU59" s="644"/>
      <c r="JV59" s="13"/>
      <c r="JW59" s="644"/>
      <c r="JX59" s="13">
        <v>18</v>
      </c>
      <c r="JY59" s="644"/>
    </row>
    <row r="60" spans="1:285" ht="37.5" customHeight="1" x14ac:dyDescent="0.2">
      <c r="A60" s="1565"/>
      <c r="B60" s="1580"/>
      <c r="C60" s="82" t="s">
        <v>119</v>
      </c>
      <c r="D60" s="83" t="s">
        <v>25</v>
      </c>
      <c r="E60" s="813" t="s">
        <v>53</v>
      </c>
      <c r="F60" s="13">
        <v>2</v>
      </c>
      <c r="G60" s="756"/>
      <c r="H60" s="13">
        <v>1</v>
      </c>
      <c r="I60" s="644"/>
      <c r="J60" s="13">
        <v>1</v>
      </c>
      <c r="K60" s="644"/>
      <c r="L60" s="13">
        <v>7</v>
      </c>
      <c r="M60" s="644"/>
      <c r="N60" s="808">
        <v>64</v>
      </c>
      <c r="O60" s="644"/>
      <c r="P60" s="709"/>
      <c r="Q60" s="644"/>
      <c r="R60" s="13">
        <v>22</v>
      </c>
      <c r="S60" s="644"/>
      <c r="T60" s="644"/>
      <c r="U60" s="644"/>
      <c r="V60" s="644"/>
      <c r="W60" s="644"/>
      <c r="X60" s="644"/>
      <c r="Y60" s="644"/>
      <c r="Z60" s="13">
        <v>23</v>
      </c>
      <c r="AA60" s="644"/>
      <c r="AB60" s="13">
        <v>48</v>
      </c>
      <c r="AC60" s="644"/>
      <c r="AD60" s="13">
        <v>0</v>
      </c>
      <c r="AE60" s="644"/>
      <c r="AF60" s="644"/>
      <c r="AG60" s="644"/>
      <c r="AH60" s="644"/>
      <c r="AI60" s="644"/>
      <c r="AJ60" s="709">
        <v>5</v>
      </c>
      <c r="AK60" s="644"/>
      <c r="AL60" s="13">
        <v>307</v>
      </c>
      <c r="AM60" s="644"/>
      <c r="AN60" s="13"/>
      <c r="AO60" s="644"/>
      <c r="AP60" s="13"/>
      <c r="AQ60" s="644"/>
      <c r="AR60" s="13">
        <v>16</v>
      </c>
      <c r="AS60" s="644"/>
      <c r="AT60" s="13">
        <v>17</v>
      </c>
      <c r="AU60" s="644"/>
      <c r="AV60" s="808">
        <v>66</v>
      </c>
      <c r="AW60" s="644"/>
      <c r="AX60" s="13">
        <v>1</v>
      </c>
      <c r="AY60" s="644"/>
      <c r="AZ60" s="13"/>
      <c r="BA60" s="644"/>
      <c r="BB60" s="644"/>
      <c r="BC60" s="644"/>
      <c r="BD60" s="5">
        <v>29</v>
      </c>
      <c r="BE60" s="644"/>
      <c r="BF60" s="13"/>
      <c r="BG60" s="644"/>
      <c r="BH60" s="644"/>
      <c r="BI60" s="644"/>
      <c r="BJ60" s="13">
        <v>1</v>
      </c>
      <c r="BK60" s="644"/>
      <c r="BL60" s="13"/>
      <c r="BM60" s="644"/>
      <c r="BN60" s="13"/>
      <c r="BO60" s="644"/>
      <c r="BP60" s="710">
        <v>23</v>
      </c>
      <c r="BQ60" s="644"/>
      <c r="BR60" s="13"/>
      <c r="BS60" s="644"/>
      <c r="BT60" s="13">
        <v>2</v>
      </c>
      <c r="BU60" s="644"/>
      <c r="BV60" s="13"/>
      <c r="BW60" s="644"/>
      <c r="BX60" s="710">
        <v>7</v>
      </c>
      <c r="BY60" s="644"/>
      <c r="BZ60" s="710">
        <v>4</v>
      </c>
      <c r="CA60" s="644"/>
      <c r="CB60" s="13">
        <v>30</v>
      </c>
      <c r="CC60" s="644"/>
      <c r="CD60" s="644"/>
      <c r="CE60" s="644"/>
      <c r="CF60" s="644"/>
      <c r="CG60" s="644"/>
      <c r="CH60" s="710">
        <v>14</v>
      </c>
      <c r="CI60" s="13"/>
      <c r="CJ60" s="13">
        <v>10</v>
      </c>
      <c r="CK60" s="13"/>
      <c r="CL60" s="13">
        <v>51</v>
      </c>
      <c r="CM60" s="644"/>
      <c r="CN60" s="13"/>
      <c r="CO60" s="644"/>
      <c r="CP60" s="13">
        <v>1</v>
      </c>
      <c r="CQ60" s="644"/>
      <c r="CR60" s="13">
        <v>17</v>
      </c>
      <c r="CS60" s="644"/>
      <c r="CT60" s="13">
        <v>19</v>
      </c>
      <c r="CU60" s="644"/>
      <c r="CV60" s="13">
        <v>2</v>
      </c>
      <c r="CW60" s="644"/>
      <c r="CX60" s="13">
        <v>23</v>
      </c>
      <c r="CY60" s="644"/>
      <c r="CZ60" s="13">
        <v>0</v>
      </c>
      <c r="DA60" s="644"/>
      <c r="DB60" s="13">
        <v>0</v>
      </c>
      <c r="DC60" s="644"/>
      <c r="DD60" s="703">
        <v>22</v>
      </c>
      <c r="DE60" s="644"/>
      <c r="DF60" s="644"/>
      <c r="DG60" s="644"/>
      <c r="DH60" s="13"/>
      <c r="DI60" s="644"/>
      <c r="DJ60" s="809">
        <v>0</v>
      </c>
      <c r="DK60" s="644"/>
      <c r="DL60" s="644"/>
      <c r="DM60" s="644"/>
      <c r="DN60" s="13">
        <v>9</v>
      </c>
      <c r="DO60" s="644"/>
      <c r="DP60" s="644"/>
      <c r="DQ60" s="644"/>
      <c r="DR60" s="644"/>
      <c r="DS60" s="644"/>
      <c r="DT60" s="644"/>
      <c r="DU60" s="644"/>
      <c r="DV60" s="13">
        <v>10</v>
      </c>
      <c r="DW60" s="644"/>
      <c r="DX60" s="13">
        <v>12</v>
      </c>
      <c r="DY60" s="644"/>
      <c r="DZ60" s="703" t="s">
        <v>465</v>
      </c>
      <c r="EA60" s="644"/>
      <c r="EB60" s="644"/>
      <c r="EC60" s="644"/>
      <c r="ED60" s="644"/>
      <c r="EE60" s="644"/>
      <c r="EF60" s="13">
        <v>5</v>
      </c>
      <c r="EG60" s="644"/>
      <c r="EH60" s="13">
        <v>3</v>
      </c>
      <c r="EI60" s="644"/>
      <c r="EJ60" s="644"/>
      <c r="EK60" s="644"/>
      <c r="EL60" s="644"/>
      <c r="EM60" s="644"/>
      <c r="EN60" s="13">
        <v>77</v>
      </c>
      <c r="EO60" s="644"/>
      <c r="EP60" s="13">
        <v>7</v>
      </c>
      <c r="EQ60" s="644"/>
      <c r="ER60" s="644"/>
      <c r="ES60" s="644"/>
      <c r="ET60" s="13">
        <f>7+1</f>
        <v>8</v>
      </c>
      <c r="EU60" s="644"/>
      <c r="EV60" s="13">
        <v>16</v>
      </c>
      <c r="EW60" s="644"/>
      <c r="EX60" s="13" t="s">
        <v>465</v>
      </c>
      <c r="EY60" s="644"/>
      <c r="EZ60" s="13">
        <v>14</v>
      </c>
      <c r="FA60" s="644"/>
      <c r="FB60" s="13">
        <v>1</v>
      </c>
      <c r="FC60" s="644"/>
      <c r="FD60" s="13">
        <v>1</v>
      </c>
      <c r="FE60" s="644"/>
      <c r="FF60" s="13">
        <v>14</v>
      </c>
      <c r="FG60" s="644"/>
      <c r="FH60" s="13">
        <v>9</v>
      </c>
      <c r="FI60" s="644"/>
      <c r="FJ60" s="13"/>
      <c r="FK60" s="644"/>
      <c r="FL60" s="811">
        <v>19</v>
      </c>
      <c r="FM60" s="644"/>
      <c r="FN60" s="13"/>
      <c r="FO60" s="644"/>
      <c r="FP60" s="13">
        <v>8</v>
      </c>
      <c r="FQ60" s="644"/>
      <c r="FR60" s="644"/>
      <c r="FS60" s="644"/>
      <c r="FT60" s="644"/>
      <c r="FU60" s="644"/>
      <c r="FV60" s="644"/>
      <c r="FW60" s="644"/>
      <c r="FX60" s="13">
        <v>103</v>
      </c>
      <c r="FY60" s="644"/>
      <c r="FZ60" s="644"/>
      <c r="GA60" s="644"/>
      <c r="GB60" s="13">
        <v>5</v>
      </c>
      <c r="GC60" s="644"/>
      <c r="GD60" s="13">
        <v>22</v>
      </c>
      <c r="GE60" s="644"/>
      <c r="GF60" s="703">
        <v>3</v>
      </c>
      <c r="GG60" s="644"/>
      <c r="GH60" s="13">
        <v>22</v>
      </c>
      <c r="GI60" s="644"/>
      <c r="GJ60" s="811">
        <v>32</v>
      </c>
      <c r="GK60" s="644"/>
      <c r="GL60" s="13"/>
      <c r="GM60" s="644"/>
      <c r="GN60" s="13">
        <f>1</f>
        <v>1</v>
      </c>
      <c r="GO60" s="644"/>
      <c r="GP60" s="13">
        <v>0</v>
      </c>
      <c r="GQ60" s="644"/>
      <c r="GR60" s="13">
        <v>9</v>
      </c>
      <c r="GS60" s="644"/>
      <c r="GT60" s="13">
        <v>35</v>
      </c>
      <c r="GU60" s="644"/>
      <c r="GV60" s="13">
        <v>15</v>
      </c>
      <c r="GW60" s="644"/>
      <c r="GX60" s="13">
        <v>3</v>
      </c>
      <c r="GY60" s="644"/>
      <c r="GZ60" s="13"/>
      <c r="HA60" s="644"/>
      <c r="HB60" s="13">
        <v>8</v>
      </c>
      <c r="HC60" s="644"/>
      <c r="HD60" s="13"/>
      <c r="HE60" s="644"/>
      <c r="HF60" s="13"/>
      <c r="HG60" s="644"/>
      <c r="HH60" s="13">
        <v>5</v>
      </c>
      <c r="HI60" s="644"/>
      <c r="HJ60" s="644"/>
      <c r="HK60" s="644"/>
      <c r="HL60" s="13">
        <v>2</v>
      </c>
      <c r="HM60" s="644"/>
      <c r="HN60" s="13">
        <v>61</v>
      </c>
      <c r="HO60" s="644"/>
      <c r="HP60" s="13">
        <v>4</v>
      </c>
      <c r="HQ60" s="644"/>
      <c r="HR60" s="13"/>
      <c r="HS60" s="644"/>
      <c r="HT60" s="711">
        <v>8</v>
      </c>
      <c r="HU60" s="644"/>
      <c r="HV60" s="13"/>
      <c r="HW60" s="644"/>
      <c r="HX60" s="13"/>
      <c r="HY60" s="644"/>
      <c r="HZ60" s="13">
        <v>16</v>
      </c>
      <c r="IA60" s="644"/>
      <c r="IB60" s="644"/>
      <c r="IC60" s="644"/>
      <c r="ID60" s="13">
        <v>26</v>
      </c>
      <c r="IE60" s="644"/>
      <c r="IF60" s="13">
        <v>9</v>
      </c>
      <c r="IG60" s="756"/>
      <c r="IH60" s="13">
        <v>1</v>
      </c>
      <c r="II60" s="644"/>
      <c r="IJ60" s="644"/>
      <c r="IK60" s="644"/>
      <c r="IL60" s="711">
        <v>0</v>
      </c>
      <c r="IM60" s="644"/>
      <c r="IN60" s="712">
        <v>0</v>
      </c>
      <c r="IO60" s="644"/>
      <c r="IP60" s="13">
        <v>30</v>
      </c>
      <c r="IQ60" s="644"/>
      <c r="IR60" s="13">
        <v>38</v>
      </c>
      <c r="IS60" s="644"/>
      <c r="IT60" s="13">
        <v>4</v>
      </c>
      <c r="IU60" s="644"/>
      <c r="IV60" s="13">
        <v>13</v>
      </c>
      <c r="IW60" s="644"/>
      <c r="IX60" s="710"/>
      <c r="IY60" s="644"/>
      <c r="IZ60" s="13">
        <v>3</v>
      </c>
      <c r="JA60" s="644"/>
      <c r="JB60" s="13"/>
      <c r="JC60" s="644"/>
      <c r="JD60" s="13">
        <v>5</v>
      </c>
      <c r="JE60" s="644"/>
      <c r="JF60" s="644"/>
      <c r="JG60" s="644"/>
      <c r="JH60" s="13"/>
      <c r="JI60" s="644"/>
      <c r="JJ60" s="644"/>
      <c r="JK60" s="644"/>
      <c r="JL60" s="644"/>
      <c r="JM60" s="644"/>
      <c r="JN60" s="13">
        <v>54</v>
      </c>
      <c r="JO60" s="644"/>
      <c r="JP60" s="644"/>
      <c r="JQ60" s="644"/>
      <c r="JR60" s="713">
        <v>0</v>
      </c>
      <c r="JS60" s="644"/>
      <c r="JT60" s="13">
        <v>5</v>
      </c>
      <c r="JU60" s="644"/>
      <c r="JV60" s="13"/>
      <c r="JW60" s="644"/>
      <c r="JX60" s="13">
        <v>15</v>
      </c>
      <c r="JY60" s="644"/>
    </row>
    <row r="61" spans="1:285" ht="29.25" customHeight="1" x14ac:dyDescent="0.2">
      <c r="A61" s="1565"/>
      <c r="B61" s="1580"/>
      <c r="C61" s="82" t="s">
        <v>120</v>
      </c>
      <c r="D61" s="83" t="s">
        <v>197</v>
      </c>
      <c r="E61" s="813" t="s">
        <v>53</v>
      </c>
      <c r="F61" s="13">
        <v>0</v>
      </c>
      <c r="G61" s="756"/>
      <c r="H61" s="13"/>
      <c r="I61" s="644"/>
      <c r="J61" s="13">
        <v>5</v>
      </c>
      <c r="K61" s="644"/>
      <c r="L61" s="13"/>
      <c r="M61" s="644"/>
      <c r="N61" s="808"/>
      <c r="O61" s="644"/>
      <c r="P61" s="709"/>
      <c r="Q61" s="644"/>
      <c r="R61" s="13"/>
      <c r="S61" s="644"/>
      <c r="T61" s="644"/>
      <c r="U61" s="644"/>
      <c r="V61" s="644"/>
      <c r="W61" s="644"/>
      <c r="X61" s="644"/>
      <c r="Y61" s="644"/>
      <c r="Z61" s="13">
        <v>13</v>
      </c>
      <c r="AA61" s="644"/>
      <c r="AB61" s="13">
        <v>1</v>
      </c>
      <c r="AC61" s="644"/>
      <c r="AD61" s="13">
        <v>380</v>
      </c>
      <c r="AE61" s="644"/>
      <c r="AF61" s="644"/>
      <c r="AG61" s="644"/>
      <c r="AH61" s="644"/>
      <c r="AI61" s="644"/>
      <c r="AJ61" s="709">
        <v>0</v>
      </c>
      <c r="AK61" s="644"/>
      <c r="AL61" s="13">
        <v>531</v>
      </c>
      <c r="AM61" s="644"/>
      <c r="AN61" s="13">
        <v>125</v>
      </c>
      <c r="AO61" s="644"/>
      <c r="AP61" s="13"/>
      <c r="AQ61" s="644"/>
      <c r="AR61" s="13"/>
      <c r="AS61" s="644"/>
      <c r="AT61" s="13"/>
      <c r="AU61" s="644"/>
      <c r="AV61" s="808"/>
      <c r="AW61" s="644"/>
      <c r="AX61" s="13">
        <v>0</v>
      </c>
      <c r="AY61" s="644"/>
      <c r="AZ61" s="13"/>
      <c r="BA61" s="644"/>
      <c r="BB61" s="644"/>
      <c r="BC61" s="644"/>
      <c r="BD61" s="5"/>
      <c r="BE61" s="644"/>
      <c r="BF61" s="13">
        <v>96</v>
      </c>
      <c r="BG61" s="644"/>
      <c r="BH61" s="644"/>
      <c r="BI61" s="644"/>
      <c r="BJ61" s="13"/>
      <c r="BK61" s="644"/>
      <c r="BL61" s="13">
        <v>11</v>
      </c>
      <c r="BM61" s="644"/>
      <c r="BN61" s="13">
        <v>3</v>
      </c>
      <c r="BO61" s="644"/>
      <c r="BP61" s="710"/>
      <c r="BQ61" s="644"/>
      <c r="BR61" s="13">
        <v>25</v>
      </c>
      <c r="BS61" s="644"/>
      <c r="BT61" s="13" t="s">
        <v>701</v>
      </c>
      <c r="BU61" s="644"/>
      <c r="BV61" s="13">
        <v>67</v>
      </c>
      <c r="BW61" s="644"/>
      <c r="BX61" s="710"/>
      <c r="BY61" s="644"/>
      <c r="BZ61" s="710"/>
      <c r="CA61" s="644"/>
      <c r="CB61" s="13"/>
      <c r="CC61" s="644"/>
      <c r="CD61" s="644"/>
      <c r="CE61" s="644"/>
      <c r="CF61" s="644"/>
      <c r="CG61" s="644"/>
      <c r="CH61" s="710"/>
      <c r="CI61" s="13"/>
      <c r="CJ61" s="13"/>
      <c r="CK61" s="13"/>
      <c r="CL61" s="13">
        <v>0</v>
      </c>
      <c r="CM61" s="644"/>
      <c r="CN61" s="13"/>
      <c r="CO61" s="644"/>
      <c r="CP61" s="13"/>
      <c r="CQ61" s="644"/>
      <c r="CR61" s="13"/>
      <c r="CS61" s="644"/>
      <c r="CT61" s="13">
        <v>0</v>
      </c>
      <c r="CU61" s="644"/>
      <c r="CV61" s="13">
        <v>0</v>
      </c>
      <c r="CW61" s="644"/>
      <c r="CX61" s="13">
        <v>10</v>
      </c>
      <c r="CY61" s="644"/>
      <c r="CZ61" s="13">
        <v>0</v>
      </c>
      <c r="DA61" s="644"/>
      <c r="DB61" s="13">
        <v>118</v>
      </c>
      <c r="DC61" s="644"/>
      <c r="DD61" s="703" t="s">
        <v>465</v>
      </c>
      <c r="DE61" s="644"/>
      <c r="DF61" s="644"/>
      <c r="DG61" s="644"/>
      <c r="DH61" s="13">
        <v>104</v>
      </c>
      <c r="DI61" s="644"/>
      <c r="DJ61" s="809">
        <v>0</v>
      </c>
      <c r="DK61" s="644"/>
      <c r="DL61" s="644"/>
      <c r="DM61" s="644"/>
      <c r="DN61" s="13">
        <v>0</v>
      </c>
      <c r="DO61" s="644"/>
      <c r="DP61" s="644"/>
      <c r="DQ61" s="644"/>
      <c r="DR61" s="644"/>
      <c r="DS61" s="644"/>
      <c r="DT61" s="644"/>
      <c r="DU61" s="644"/>
      <c r="DV61" s="13">
        <v>28</v>
      </c>
      <c r="DW61" s="644"/>
      <c r="DX61" s="13">
        <v>0</v>
      </c>
      <c r="DY61" s="644"/>
      <c r="DZ61" s="13">
        <v>19</v>
      </c>
      <c r="EA61" s="644"/>
      <c r="EB61" s="644"/>
      <c r="EC61" s="644"/>
      <c r="ED61" s="644"/>
      <c r="EE61" s="644"/>
      <c r="EF61" s="13">
        <v>0</v>
      </c>
      <c r="EG61" s="644"/>
      <c r="EH61" s="13">
        <v>5</v>
      </c>
      <c r="EI61" s="644"/>
      <c r="EJ61" s="644"/>
      <c r="EK61" s="644"/>
      <c r="EL61" s="644"/>
      <c r="EM61" s="644"/>
      <c r="EN61" s="13">
        <v>0</v>
      </c>
      <c r="EO61" s="644"/>
      <c r="EP61" s="13">
        <v>0</v>
      </c>
      <c r="EQ61" s="644"/>
      <c r="ER61" s="644"/>
      <c r="ES61" s="644"/>
      <c r="ET61" s="13">
        <v>7</v>
      </c>
      <c r="EU61" s="644"/>
      <c r="EV61" s="13">
        <v>0</v>
      </c>
      <c r="EW61" s="644"/>
      <c r="EX61" s="13" t="s">
        <v>465</v>
      </c>
      <c r="EY61" s="644"/>
      <c r="EZ61" s="13">
        <v>0</v>
      </c>
      <c r="FA61" s="644"/>
      <c r="FB61" s="13">
        <v>0</v>
      </c>
      <c r="FC61" s="644"/>
      <c r="FD61" s="13" t="s">
        <v>465</v>
      </c>
      <c r="FE61" s="644"/>
      <c r="FF61" s="13">
        <v>0</v>
      </c>
      <c r="FG61" s="644"/>
      <c r="FH61" s="13">
        <v>6</v>
      </c>
      <c r="FI61" s="644"/>
      <c r="FJ61" s="710">
        <v>96</v>
      </c>
      <c r="FK61" s="644"/>
      <c r="FL61" s="811">
        <v>0</v>
      </c>
      <c r="FM61" s="644"/>
      <c r="FN61" s="13"/>
      <c r="FO61" s="644"/>
      <c r="FP61" s="13"/>
      <c r="FQ61" s="644"/>
      <c r="FR61" s="644"/>
      <c r="FS61" s="644"/>
      <c r="FT61" s="644"/>
      <c r="FU61" s="644"/>
      <c r="FV61" s="644"/>
      <c r="FW61" s="644"/>
      <c r="FX61" s="13" t="s">
        <v>465</v>
      </c>
      <c r="FY61" s="644"/>
      <c r="FZ61" s="644"/>
      <c r="GA61" s="644"/>
      <c r="GB61" s="13">
        <v>8</v>
      </c>
      <c r="GC61" s="644"/>
      <c r="GD61" s="13">
        <v>3</v>
      </c>
      <c r="GE61" s="644"/>
      <c r="GF61" s="703" t="s">
        <v>465</v>
      </c>
      <c r="GG61" s="644"/>
      <c r="GH61" s="13">
        <v>1</v>
      </c>
      <c r="GI61" s="644"/>
      <c r="GJ61" s="811">
        <v>7</v>
      </c>
      <c r="GK61" s="644"/>
      <c r="GL61" s="13"/>
      <c r="GM61" s="644"/>
      <c r="GN61" s="13"/>
      <c r="GO61" s="644"/>
      <c r="GP61" s="13">
        <v>0</v>
      </c>
      <c r="GQ61" s="644"/>
      <c r="GR61" s="13"/>
      <c r="GS61" s="644"/>
      <c r="GT61" s="13">
        <v>95</v>
      </c>
      <c r="GU61" s="644"/>
      <c r="GV61" s="13"/>
      <c r="GW61" s="644"/>
      <c r="GX61" s="13"/>
      <c r="GY61" s="644"/>
      <c r="GZ61" s="13"/>
      <c r="HA61" s="644"/>
      <c r="HB61" s="13"/>
      <c r="HC61" s="644"/>
      <c r="HD61" s="13">
        <v>48</v>
      </c>
      <c r="HE61" s="644"/>
      <c r="HF61" s="13"/>
      <c r="HG61" s="644"/>
      <c r="HH61" s="13">
        <v>25</v>
      </c>
      <c r="HI61" s="644"/>
      <c r="HJ61" s="644"/>
      <c r="HK61" s="644"/>
      <c r="HL61" s="13">
        <v>1</v>
      </c>
      <c r="HM61" s="644"/>
      <c r="HN61" s="13" t="s">
        <v>465</v>
      </c>
      <c r="HO61" s="644"/>
      <c r="HP61" s="13"/>
      <c r="HQ61" s="644"/>
      <c r="HR61" s="13">
        <v>185</v>
      </c>
      <c r="HS61" s="644"/>
      <c r="HT61" s="711" t="s">
        <v>702</v>
      </c>
      <c r="HU61" s="644"/>
      <c r="HV61" s="13"/>
      <c r="HW61" s="644"/>
      <c r="HX61" s="13">
        <v>3</v>
      </c>
      <c r="HY61" s="644"/>
      <c r="HZ61" s="13"/>
      <c r="IA61" s="644"/>
      <c r="IB61" s="644"/>
      <c r="IC61" s="644"/>
      <c r="ID61" s="13"/>
      <c r="IE61" s="644"/>
      <c r="IF61" s="13">
        <v>0</v>
      </c>
      <c r="IG61" s="756"/>
      <c r="IH61" s="13">
        <v>10</v>
      </c>
      <c r="II61" s="644"/>
      <c r="IJ61" s="644"/>
      <c r="IK61" s="644"/>
      <c r="IL61" s="711">
        <v>0</v>
      </c>
      <c r="IM61" s="644"/>
      <c r="IN61" s="712">
        <v>27</v>
      </c>
      <c r="IO61" s="644"/>
      <c r="IP61" s="13"/>
      <c r="IQ61" s="644"/>
      <c r="IR61" s="13"/>
      <c r="IS61" s="644"/>
      <c r="IT61" s="13">
        <v>7</v>
      </c>
      <c r="IU61" s="644"/>
      <c r="IV61" s="13">
        <v>0</v>
      </c>
      <c r="IW61" s="644"/>
      <c r="IX61" s="710"/>
      <c r="IY61" s="644"/>
      <c r="IZ61" s="13">
        <v>18</v>
      </c>
      <c r="JA61" s="644"/>
      <c r="JB61" s="13"/>
      <c r="JC61" s="644"/>
      <c r="JD61" s="13">
        <v>0</v>
      </c>
      <c r="JE61" s="644"/>
      <c r="JF61" s="644"/>
      <c r="JG61" s="644"/>
      <c r="JH61" s="13"/>
      <c r="JI61" s="644"/>
      <c r="JJ61" s="644"/>
      <c r="JK61" s="644"/>
      <c r="JL61" s="644"/>
      <c r="JM61" s="644"/>
      <c r="JN61" s="13">
        <v>0</v>
      </c>
      <c r="JO61" s="644"/>
      <c r="JP61" s="644"/>
      <c r="JQ61" s="644"/>
      <c r="JR61" s="713">
        <v>0</v>
      </c>
      <c r="JS61" s="644"/>
      <c r="JT61" s="13" t="s">
        <v>465</v>
      </c>
      <c r="JU61" s="644"/>
      <c r="JV61" s="13"/>
      <c r="JW61" s="644"/>
      <c r="JX61" s="13">
        <v>112</v>
      </c>
      <c r="JY61" s="644"/>
    </row>
    <row r="62" spans="1:285" ht="29.25" customHeight="1" x14ac:dyDescent="0.2">
      <c r="A62" s="1565"/>
      <c r="B62" s="1580"/>
      <c r="C62" s="82" t="s">
        <v>121</v>
      </c>
      <c r="D62" s="83" t="s">
        <v>27</v>
      </c>
      <c r="E62" s="813" t="s">
        <v>53</v>
      </c>
      <c r="F62" s="13">
        <v>1</v>
      </c>
      <c r="G62" s="756"/>
      <c r="H62" s="13">
        <v>1</v>
      </c>
      <c r="I62" s="644"/>
      <c r="J62" s="13">
        <v>10</v>
      </c>
      <c r="K62" s="644"/>
      <c r="L62" s="13">
        <v>10</v>
      </c>
      <c r="M62" s="644"/>
      <c r="N62" s="808">
        <v>82</v>
      </c>
      <c r="O62" s="644"/>
      <c r="P62" s="709"/>
      <c r="Q62" s="644"/>
      <c r="R62" s="13">
        <v>18</v>
      </c>
      <c r="S62" s="644"/>
      <c r="T62" s="644"/>
      <c r="U62" s="644"/>
      <c r="V62" s="644"/>
      <c r="W62" s="644"/>
      <c r="X62" s="644"/>
      <c r="Y62" s="644"/>
      <c r="Z62" s="13">
        <v>40</v>
      </c>
      <c r="AA62" s="644"/>
      <c r="AB62" s="13">
        <v>119</v>
      </c>
      <c r="AC62" s="644"/>
      <c r="AD62" s="13">
        <v>0</v>
      </c>
      <c r="AE62" s="644"/>
      <c r="AF62" s="644"/>
      <c r="AG62" s="644"/>
      <c r="AH62" s="644"/>
      <c r="AI62" s="644"/>
      <c r="AJ62" s="709">
        <v>13</v>
      </c>
      <c r="AK62" s="644"/>
      <c r="AL62" s="13">
        <v>129</v>
      </c>
      <c r="AM62" s="644"/>
      <c r="AN62" s="13"/>
      <c r="AO62" s="644"/>
      <c r="AP62" s="13">
        <v>17</v>
      </c>
      <c r="AQ62" s="644"/>
      <c r="AR62" s="13">
        <v>18</v>
      </c>
      <c r="AS62" s="644"/>
      <c r="AT62" s="13">
        <v>10</v>
      </c>
      <c r="AU62" s="644"/>
      <c r="AV62" s="808">
        <v>185</v>
      </c>
      <c r="AW62" s="644"/>
      <c r="AX62" s="13">
        <v>0</v>
      </c>
      <c r="AY62" s="644"/>
      <c r="AZ62" s="13"/>
      <c r="BA62" s="644"/>
      <c r="BB62" s="644"/>
      <c r="BC62" s="644"/>
      <c r="BD62" s="5">
        <v>3</v>
      </c>
      <c r="BE62" s="644"/>
      <c r="BF62" s="13"/>
      <c r="BG62" s="644"/>
      <c r="BH62" s="644"/>
      <c r="BI62" s="644"/>
      <c r="BJ62" s="13">
        <v>1</v>
      </c>
      <c r="BK62" s="644"/>
      <c r="BL62" s="13">
        <v>73</v>
      </c>
      <c r="BM62" s="644"/>
      <c r="BN62" s="13">
        <v>1</v>
      </c>
      <c r="BO62" s="644"/>
      <c r="BP62" s="710">
        <v>146</v>
      </c>
      <c r="BQ62" s="644"/>
      <c r="BR62" s="13"/>
      <c r="BS62" s="644"/>
      <c r="BT62" s="13">
        <v>27</v>
      </c>
      <c r="BU62" s="644"/>
      <c r="BV62" s="13"/>
      <c r="BW62" s="644"/>
      <c r="BX62" s="710">
        <v>5</v>
      </c>
      <c r="BY62" s="644"/>
      <c r="BZ62" s="710">
        <v>2</v>
      </c>
      <c r="CA62" s="644"/>
      <c r="CB62" s="13">
        <v>15</v>
      </c>
      <c r="CC62" s="644"/>
      <c r="CD62" s="644"/>
      <c r="CE62" s="644"/>
      <c r="CF62" s="644"/>
      <c r="CG62" s="644"/>
      <c r="CH62" s="710">
        <v>8</v>
      </c>
      <c r="CI62" s="13"/>
      <c r="CJ62" s="13">
        <v>10</v>
      </c>
      <c r="CK62" s="13"/>
      <c r="CL62" s="13">
        <v>22</v>
      </c>
      <c r="CM62" s="644"/>
      <c r="CN62" s="13"/>
      <c r="CO62" s="644"/>
      <c r="CP62" s="13">
        <v>1</v>
      </c>
      <c r="CQ62" s="644"/>
      <c r="CR62" s="13"/>
      <c r="CS62" s="644"/>
      <c r="CT62" s="13">
        <v>8</v>
      </c>
      <c r="CU62" s="644"/>
      <c r="CV62" s="13">
        <v>2</v>
      </c>
      <c r="CW62" s="644"/>
      <c r="CX62" s="13">
        <v>14</v>
      </c>
      <c r="CY62" s="644"/>
      <c r="CZ62" s="13">
        <v>0</v>
      </c>
      <c r="DA62" s="644"/>
      <c r="DB62" s="13">
        <v>0</v>
      </c>
      <c r="DC62" s="644"/>
      <c r="DD62" s="703">
        <v>35</v>
      </c>
      <c r="DE62" s="644"/>
      <c r="DF62" s="644"/>
      <c r="DG62" s="644"/>
      <c r="DH62" s="13">
        <v>30</v>
      </c>
      <c r="DI62" s="644"/>
      <c r="DJ62" s="809">
        <v>10</v>
      </c>
      <c r="DK62" s="644"/>
      <c r="DL62" s="644"/>
      <c r="DM62" s="644"/>
      <c r="DN62" s="13">
        <v>25</v>
      </c>
      <c r="DO62" s="644"/>
      <c r="DP62" s="644"/>
      <c r="DQ62" s="644"/>
      <c r="DR62" s="644"/>
      <c r="DS62" s="644"/>
      <c r="DT62" s="644"/>
      <c r="DU62" s="644"/>
      <c r="DV62" s="13">
        <v>35</v>
      </c>
      <c r="DW62" s="644"/>
      <c r="DX62" s="13">
        <v>24</v>
      </c>
      <c r="DY62" s="644"/>
      <c r="DZ62" s="13">
        <v>24</v>
      </c>
      <c r="EA62" s="644"/>
      <c r="EB62" s="644"/>
      <c r="EC62" s="644"/>
      <c r="ED62" s="644"/>
      <c r="EE62" s="644"/>
      <c r="EF62" s="13">
        <v>7</v>
      </c>
      <c r="EG62" s="644"/>
      <c r="EH62" s="13">
        <v>5</v>
      </c>
      <c r="EI62" s="644"/>
      <c r="EJ62" s="644"/>
      <c r="EK62" s="644"/>
      <c r="EL62" s="644"/>
      <c r="EM62" s="644"/>
      <c r="EN62" s="13">
        <v>0</v>
      </c>
      <c r="EO62" s="644"/>
      <c r="EP62" s="13">
        <v>3</v>
      </c>
      <c r="EQ62" s="644"/>
      <c r="ER62" s="644"/>
      <c r="ES62" s="644"/>
      <c r="ET62" s="13">
        <v>6</v>
      </c>
      <c r="EU62" s="644"/>
      <c r="EV62" s="13">
        <v>38</v>
      </c>
      <c r="EW62" s="644"/>
      <c r="EX62" s="13" t="s">
        <v>465</v>
      </c>
      <c r="EY62" s="644"/>
      <c r="EZ62" s="13">
        <v>11</v>
      </c>
      <c r="FA62" s="644"/>
      <c r="FB62" s="13">
        <v>0</v>
      </c>
      <c r="FC62" s="644"/>
      <c r="FD62" s="13" t="s">
        <v>465</v>
      </c>
      <c r="FE62" s="644"/>
      <c r="FF62" s="13">
        <v>2</v>
      </c>
      <c r="FG62" s="644"/>
      <c r="FH62" s="13">
        <v>30</v>
      </c>
      <c r="FI62" s="644"/>
      <c r="FJ62" s="710"/>
      <c r="FK62" s="644"/>
      <c r="FL62" s="811">
        <v>16</v>
      </c>
      <c r="FM62" s="644"/>
      <c r="FN62" s="13"/>
      <c r="FO62" s="644"/>
      <c r="FP62" s="13">
        <v>15</v>
      </c>
      <c r="FQ62" s="644"/>
      <c r="FR62" s="644"/>
      <c r="FS62" s="644"/>
      <c r="FT62" s="644"/>
      <c r="FU62" s="644"/>
      <c r="FV62" s="644"/>
      <c r="FW62" s="644"/>
      <c r="FX62" s="13" t="s">
        <v>465</v>
      </c>
      <c r="FY62" s="644"/>
      <c r="FZ62" s="644"/>
      <c r="GA62" s="644"/>
      <c r="GB62" s="13">
        <v>22</v>
      </c>
      <c r="GC62" s="644"/>
      <c r="GD62" s="13">
        <v>13</v>
      </c>
      <c r="GE62" s="644"/>
      <c r="GF62" s="703">
        <v>3</v>
      </c>
      <c r="GG62" s="644"/>
      <c r="GH62" s="13">
        <v>23</v>
      </c>
      <c r="GI62" s="644"/>
      <c r="GJ62" s="811">
        <v>43</v>
      </c>
      <c r="GK62" s="644"/>
      <c r="GL62" s="13"/>
      <c r="GM62" s="644"/>
      <c r="GN62" s="13">
        <f>1</f>
        <v>1</v>
      </c>
      <c r="GO62" s="644"/>
      <c r="GP62" s="13">
        <v>0</v>
      </c>
      <c r="GQ62" s="644"/>
      <c r="GR62" s="13">
        <v>12</v>
      </c>
      <c r="GS62" s="644"/>
      <c r="GT62" s="13">
        <v>12</v>
      </c>
      <c r="GU62" s="644"/>
      <c r="GV62" s="13">
        <v>9</v>
      </c>
      <c r="GW62" s="644"/>
      <c r="GX62" s="13"/>
      <c r="GY62" s="644"/>
      <c r="GZ62" s="13"/>
      <c r="HA62" s="644"/>
      <c r="HB62" s="13"/>
      <c r="HC62" s="644"/>
      <c r="HD62" s="13"/>
      <c r="HE62" s="644"/>
      <c r="HF62" s="13"/>
      <c r="HG62" s="644"/>
      <c r="HH62" s="13">
        <v>9</v>
      </c>
      <c r="HI62" s="644"/>
      <c r="HJ62" s="644"/>
      <c r="HK62" s="644"/>
      <c r="HL62" s="13">
        <v>4</v>
      </c>
      <c r="HM62" s="644"/>
      <c r="HN62" s="13" t="s">
        <v>465</v>
      </c>
      <c r="HO62" s="644"/>
      <c r="HP62" s="13">
        <v>14</v>
      </c>
      <c r="HQ62" s="644"/>
      <c r="HR62" s="13"/>
      <c r="HS62" s="644"/>
      <c r="HT62" s="711">
        <v>16</v>
      </c>
      <c r="HU62" s="644"/>
      <c r="HV62" s="13"/>
      <c r="HW62" s="644"/>
      <c r="HX62" s="13">
        <v>1</v>
      </c>
      <c r="HY62" s="644"/>
      <c r="HZ62" s="13"/>
      <c r="IA62" s="644"/>
      <c r="IB62" s="644"/>
      <c r="IC62" s="644"/>
      <c r="ID62" s="13">
        <v>26</v>
      </c>
      <c r="IE62" s="644"/>
      <c r="IF62" s="13">
        <v>21</v>
      </c>
      <c r="IG62" s="756"/>
      <c r="IH62" s="13">
        <v>17</v>
      </c>
      <c r="II62" s="644"/>
      <c r="IJ62" s="644"/>
      <c r="IK62" s="644"/>
      <c r="IL62" s="711">
        <v>32</v>
      </c>
      <c r="IM62" s="644"/>
      <c r="IN62" s="712">
        <v>0</v>
      </c>
      <c r="IO62" s="644"/>
      <c r="IP62" s="13">
        <v>41</v>
      </c>
      <c r="IQ62" s="644"/>
      <c r="IR62" s="13"/>
      <c r="IS62" s="644"/>
      <c r="IT62" s="13">
        <v>2</v>
      </c>
      <c r="IU62" s="644"/>
      <c r="IV62" s="13">
        <v>13</v>
      </c>
      <c r="IW62" s="644"/>
      <c r="IX62" s="710"/>
      <c r="IY62" s="644"/>
      <c r="IZ62" s="13">
        <v>83</v>
      </c>
      <c r="JA62" s="644"/>
      <c r="JB62" s="13"/>
      <c r="JC62" s="644"/>
      <c r="JD62" s="13">
        <v>2</v>
      </c>
      <c r="JE62" s="644"/>
      <c r="JF62" s="644"/>
      <c r="JG62" s="644"/>
      <c r="JH62" s="13"/>
      <c r="JI62" s="644"/>
      <c r="JJ62" s="644"/>
      <c r="JK62" s="644"/>
      <c r="JL62" s="644"/>
      <c r="JM62" s="644"/>
      <c r="JN62" s="13">
        <v>0</v>
      </c>
      <c r="JO62" s="644"/>
      <c r="JP62" s="644"/>
      <c r="JQ62" s="644"/>
      <c r="JR62" s="713">
        <v>65</v>
      </c>
      <c r="JS62" s="644"/>
      <c r="JT62" s="13">
        <v>3</v>
      </c>
      <c r="JU62" s="644"/>
      <c r="JV62" s="13"/>
      <c r="JW62" s="644"/>
      <c r="JX62" s="13">
        <v>13</v>
      </c>
      <c r="JY62" s="644"/>
    </row>
    <row r="63" spans="1:285" ht="29.25" customHeight="1" x14ac:dyDescent="0.2">
      <c r="A63" s="1565"/>
      <c r="B63" s="1580"/>
      <c r="C63" s="82" t="s">
        <v>122</v>
      </c>
      <c r="D63" s="83" t="s">
        <v>198</v>
      </c>
      <c r="E63" s="813" t="s">
        <v>53</v>
      </c>
      <c r="F63" s="13">
        <v>0</v>
      </c>
      <c r="G63" s="756"/>
      <c r="H63" s="13">
        <v>3</v>
      </c>
      <c r="I63" s="644"/>
      <c r="J63" s="13">
        <v>1</v>
      </c>
      <c r="K63" s="644"/>
      <c r="L63" s="13">
        <v>2</v>
      </c>
      <c r="M63" s="644"/>
      <c r="N63" s="808">
        <v>13</v>
      </c>
      <c r="O63" s="644"/>
      <c r="P63" s="709"/>
      <c r="Q63" s="644"/>
      <c r="R63" s="13">
        <v>52</v>
      </c>
      <c r="S63" s="644"/>
      <c r="T63" s="644"/>
      <c r="U63" s="644"/>
      <c r="V63" s="644"/>
      <c r="W63" s="644"/>
      <c r="X63" s="644"/>
      <c r="Y63" s="644"/>
      <c r="Z63" s="13">
        <v>6</v>
      </c>
      <c r="AA63" s="644"/>
      <c r="AB63" s="13">
        <v>82</v>
      </c>
      <c r="AC63" s="644"/>
      <c r="AD63" s="13">
        <v>0</v>
      </c>
      <c r="AE63" s="644"/>
      <c r="AF63" s="644"/>
      <c r="AG63" s="644"/>
      <c r="AH63" s="644"/>
      <c r="AI63" s="644"/>
      <c r="AJ63" s="709">
        <v>13</v>
      </c>
      <c r="AK63" s="644"/>
      <c r="AL63" s="13"/>
      <c r="AM63" s="644"/>
      <c r="AN63" s="13">
        <v>44</v>
      </c>
      <c r="AO63" s="644"/>
      <c r="AP63" s="13">
        <v>4</v>
      </c>
      <c r="AQ63" s="644"/>
      <c r="AR63" s="13">
        <v>65</v>
      </c>
      <c r="AS63" s="644"/>
      <c r="AT63" s="13">
        <v>31</v>
      </c>
      <c r="AU63" s="644"/>
      <c r="AV63" s="808">
        <v>99</v>
      </c>
      <c r="AW63" s="644"/>
      <c r="AX63" s="13">
        <v>24</v>
      </c>
      <c r="AY63" s="644"/>
      <c r="AZ63" s="13">
        <v>24</v>
      </c>
      <c r="BA63" s="644"/>
      <c r="BB63" s="644"/>
      <c r="BC63" s="644"/>
      <c r="BD63" s="5">
        <v>16</v>
      </c>
      <c r="BE63" s="644"/>
      <c r="BF63" s="13">
        <v>163</v>
      </c>
      <c r="BG63" s="644"/>
      <c r="BH63" s="644"/>
      <c r="BI63" s="644"/>
      <c r="BJ63" s="13">
        <v>4</v>
      </c>
      <c r="BK63" s="644"/>
      <c r="BL63" s="13">
        <v>7</v>
      </c>
      <c r="BM63" s="644"/>
      <c r="BN63" s="13"/>
      <c r="BO63" s="644"/>
      <c r="BP63" s="710">
        <v>200</v>
      </c>
      <c r="BQ63" s="644"/>
      <c r="BR63" s="13">
        <v>2</v>
      </c>
      <c r="BS63" s="644"/>
      <c r="BT63" s="13">
        <v>22</v>
      </c>
      <c r="BU63" s="644"/>
      <c r="BV63" s="13"/>
      <c r="BW63" s="644"/>
      <c r="BX63" s="710">
        <v>18</v>
      </c>
      <c r="BY63" s="644"/>
      <c r="BZ63" s="710">
        <v>4</v>
      </c>
      <c r="CA63" s="644"/>
      <c r="CB63" s="13">
        <f>26+20+3</f>
        <v>49</v>
      </c>
      <c r="CC63" s="644"/>
      <c r="CD63" s="644"/>
      <c r="CE63" s="644"/>
      <c r="CF63" s="644"/>
      <c r="CG63" s="644"/>
      <c r="CH63" s="710">
        <v>16</v>
      </c>
      <c r="CI63" s="13"/>
      <c r="CJ63" s="13">
        <v>15</v>
      </c>
      <c r="CK63" s="13"/>
      <c r="CL63" s="13">
        <v>21</v>
      </c>
      <c r="CM63" s="644"/>
      <c r="CN63" s="13"/>
      <c r="CO63" s="644"/>
      <c r="CP63" s="13">
        <v>5</v>
      </c>
      <c r="CQ63" s="644"/>
      <c r="CR63" s="13">
        <v>62</v>
      </c>
      <c r="CS63" s="644"/>
      <c r="CT63" s="13">
        <v>18</v>
      </c>
      <c r="CU63" s="644"/>
      <c r="CV63" s="13">
        <v>6</v>
      </c>
      <c r="CW63" s="644"/>
      <c r="CX63" s="13">
        <v>9</v>
      </c>
      <c r="CY63" s="644"/>
      <c r="CZ63" s="13">
        <v>0</v>
      </c>
      <c r="DA63" s="644"/>
      <c r="DB63" s="13">
        <v>32</v>
      </c>
      <c r="DC63" s="644"/>
      <c r="DD63" s="703">
        <v>86</v>
      </c>
      <c r="DE63" s="644"/>
      <c r="DF63" s="644"/>
      <c r="DG63" s="644"/>
      <c r="DH63" s="13">
        <v>68</v>
      </c>
      <c r="DI63" s="644"/>
      <c r="DJ63" s="809">
        <v>0</v>
      </c>
      <c r="DK63" s="644"/>
      <c r="DL63" s="644"/>
      <c r="DM63" s="644"/>
      <c r="DN63" s="13">
        <v>9</v>
      </c>
      <c r="DO63" s="644"/>
      <c r="DP63" s="644"/>
      <c r="DQ63" s="644"/>
      <c r="DR63" s="644"/>
      <c r="DS63" s="644"/>
      <c r="DT63" s="644"/>
      <c r="DU63" s="644"/>
      <c r="DV63" s="13">
        <v>5</v>
      </c>
      <c r="DW63" s="644"/>
      <c r="DX63" s="13">
        <v>7</v>
      </c>
      <c r="DY63" s="644"/>
      <c r="DZ63" s="13">
        <v>24</v>
      </c>
      <c r="EA63" s="644"/>
      <c r="EB63" s="644"/>
      <c r="EC63" s="644"/>
      <c r="ED63" s="644"/>
      <c r="EE63" s="644"/>
      <c r="EF63" s="13">
        <v>1</v>
      </c>
      <c r="EG63" s="644"/>
      <c r="EH63" s="13">
        <v>4</v>
      </c>
      <c r="EI63" s="644"/>
      <c r="EJ63" s="644"/>
      <c r="EK63" s="644"/>
      <c r="EL63" s="644"/>
      <c r="EM63" s="644"/>
      <c r="EN63" s="13">
        <v>18</v>
      </c>
      <c r="EO63" s="644"/>
      <c r="EP63" s="13">
        <v>8</v>
      </c>
      <c r="EQ63" s="644"/>
      <c r="ER63" s="644"/>
      <c r="ES63" s="644"/>
      <c r="ET63" s="13">
        <f>20+1</f>
        <v>21</v>
      </c>
      <c r="EU63" s="644"/>
      <c r="EV63" s="13">
        <v>6</v>
      </c>
      <c r="EW63" s="644"/>
      <c r="EX63" s="13" t="s">
        <v>465</v>
      </c>
      <c r="EY63" s="644"/>
      <c r="EZ63" s="13">
        <v>12</v>
      </c>
      <c r="FA63" s="644"/>
      <c r="FB63" s="13">
        <v>0</v>
      </c>
      <c r="FC63" s="644"/>
      <c r="FD63" s="13">
        <v>5</v>
      </c>
      <c r="FE63" s="644"/>
      <c r="FF63" s="13">
        <v>14</v>
      </c>
      <c r="FG63" s="644"/>
      <c r="FH63" s="13">
        <v>17</v>
      </c>
      <c r="FI63" s="644"/>
      <c r="FJ63" s="710">
        <v>31</v>
      </c>
      <c r="FK63" s="644"/>
      <c r="FL63" s="811">
        <v>26</v>
      </c>
      <c r="FM63" s="644"/>
      <c r="FN63" s="13">
        <v>14</v>
      </c>
      <c r="FO63" s="644"/>
      <c r="FP63" s="13">
        <v>10</v>
      </c>
      <c r="FQ63" s="644"/>
      <c r="FR63" s="644"/>
      <c r="FS63" s="644"/>
      <c r="FT63" s="644"/>
      <c r="FU63" s="644"/>
      <c r="FV63" s="644"/>
      <c r="FW63" s="644"/>
      <c r="FX63" s="13" t="s">
        <v>465</v>
      </c>
      <c r="FY63" s="644"/>
      <c r="FZ63" s="644"/>
      <c r="GA63" s="644"/>
      <c r="GB63" s="13">
        <v>25</v>
      </c>
      <c r="GC63" s="644"/>
      <c r="GD63" s="13">
        <v>39</v>
      </c>
      <c r="GE63" s="644"/>
      <c r="GF63" s="703">
        <v>1</v>
      </c>
      <c r="GG63" s="644"/>
      <c r="GH63" s="13">
        <v>42</v>
      </c>
      <c r="GI63" s="644"/>
      <c r="GJ63" s="811">
        <v>55</v>
      </c>
      <c r="GK63" s="644"/>
      <c r="GL63" s="13"/>
      <c r="GM63" s="644"/>
      <c r="GN63" s="13">
        <f>1+1+1+1+1+1+1</f>
        <v>7</v>
      </c>
      <c r="GO63" s="644"/>
      <c r="GP63" s="13">
        <v>0</v>
      </c>
      <c r="GQ63" s="644"/>
      <c r="GR63" s="13">
        <v>35</v>
      </c>
      <c r="GS63" s="644"/>
      <c r="GT63" s="13">
        <v>15</v>
      </c>
      <c r="GU63" s="644"/>
      <c r="GV63" s="13">
        <v>20</v>
      </c>
      <c r="GW63" s="644"/>
      <c r="GX63" s="13">
        <v>2</v>
      </c>
      <c r="GY63" s="644"/>
      <c r="GZ63" s="13"/>
      <c r="HA63" s="644"/>
      <c r="HB63" s="13">
        <v>2</v>
      </c>
      <c r="HC63" s="644"/>
      <c r="HD63" s="13">
        <v>54</v>
      </c>
      <c r="HE63" s="644"/>
      <c r="HF63" s="13">
        <v>1</v>
      </c>
      <c r="HG63" s="644"/>
      <c r="HH63" s="13">
        <v>3</v>
      </c>
      <c r="HI63" s="644"/>
      <c r="HJ63" s="644"/>
      <c r="HK63" s="644"/>
      <c r="HL63" s="13">
        <v>1</v>
      </c>
      <c r="HM63" s="644"/>
      <c r="HN63" s="13">
        <v>139</v>
      </c>
      <c r="HO63" s="644"/>
      <c r="HP63" s="13">
        <v>7</v>
      </c>
      <c r="HQ63" s="644"/>
      <c r="HR63" s="13"/>
      <c r="HS63" s="644"/>
      <c r="HT63" s="711">
        <v>65</v>
      </c>
      <c r="HU63" s="644"/>
      <c r="HV63" s="13"/>
      <c r="HW63" s="644"/>
      <c r="HX63" s="13"/>
      <c r="HY63" s="644"/>
      <c r="HZ63" s="13"/>
      <c r="IA63" s="644"/>
      <c r="IB63" s="644"/>
      <c r="IC63" s="644"/>
      <c r="ID63" s="13">
        <v>14</v>
      </c>
      <c r="IE63" s="644"/>
      <c r="IF63" s="13">
        <v>5</v>
      </c>
      <c r="IG63" s="756"/>
      <c r="IH63" s="13">
        <v>15</v>
      </c>
      <c r="II63" s="644"/>
      <c r="IJ63" s="644"/>
      <c r="IK63" s="644"/>
      <c r="IL63" s="711">
        <v>0</v>
      </c>
      <c r="IM63" s="644"/>
      <c r="IN63" s="712">
        <v>4</v>
      </c>
      <c r="IO63" s="644"/>
      <c r="IP63" s="13">
        <v>33</v>
      </c>
      <c r="IQ63" s="644"/>
      <c r="IR63" s="13">
        <v>19</v>
      </c>
      <c r="IS63" s="644"/>
      <c r="IT63" s="13">
        <v>3</v>
      </c>
      <c r="IU63" s="644"/>
      <c r="IV63" s="13">
        <v>31</v>
      </c>
      <c r="IW63" s="644"/>
      <c r="IX63" s="710">
        <v>16</v>
      </c>
      <c r="IY63" s="644"/>
      <c r="IZ63" s="13">
        <v>14</v>
      </c>
      <c r="JA63" s="644"/>
      <c r="JB63" s="13">
        <v>121</v>
      </c>
      <c r="JC63" s="644"/>
      <c r="JD63" s="13">
        <v>17</v>
      </c>
      <c r="JE63" s="644"/>
      <c r="JF63" s="644"/>
      <c r="JG63" s="644"/>
      <c r="JH63" s="13">
        <v>11</v>
      </c>
      <c r="JI63" s="644"/>
      <c r="JJ63" s="644"/>
      <c r="JK63" s="644"/>
      <c r="JL63" s="644"/>
      <c r="JM63" s="644"/>
      <c r="JN63" s="13">
        <v>292</v>
      </c>
      <c r="JO63" s="644"/>
      <c r="JP63" s="644"/>
      <c r="JQ63" s="644"/>
      <c r="JR63" s="713">
        <v>126</v>
      </c>
      <c r="JS63" s="644"/>
      <c r="JT63" s="13">
        <v>2</v>
      </c>
      <c r="JU63" s="644"/>
      <c r="JV63" s="13"/>
      <c r="JW63" s="644"/>
      <c r="JX63" s="13">
        <v>51</v>
      </c>
      <c r="JY63" s="644"/>
    </row>
    <row r="64" spans="1:285" ht="29.25" customHeight="1" x14ac:dyDescent="0.2">
      <c r="A64" s="1565"/>
      <c r="B64" s="1580"/>
      <c r="C64" s="82" t="s">
        <v>123</v>
      </c>
      <c r="D64" s="83" t="s">
        <v>185</v>
      </c>
      <c r="E64" s="813" t="s">
        <v>53</v>
      </c>
      <c r="F64" s="13">
        <v>0</v>
      </c>
      <c r="G64" s="756"/>
      <c r="H64" s="13"/>
      <c r="I64" s="644"/>
      <c r="J64" s="13" t="s">
        <v>465</v>
      </c>
      <c r="K64" s="644"/>
      <c r="L64" s="13"/>
      <c r="M64" s="644"/>
      <c r="N64" s="808">
        <v>30</v>
      </c>
      <c r="O64" s="644"/>
      <c r="P64" s="709"/>
      <c r="Q64" s="644"/>
      <c r="R64" s="13">
        <v>11</v>
      </c>
      <c r="S64" s="644"/>
      <c r="T64" s="644"/>
      <c r="U64" s="644"/>
      <c r="V64" s="644"/>
      <c r="W64" s="644"/>
      <c r="X64" s="644"/>
      <c r="Y64" s="644"/>
      <c r="Z64" s="13">
        <v>70</v>
      </c>
      <c r="AA64" s="644"/>
      <c r="AB64" s="13">
        <v>39</v>
      </c>
      <c r="AC64" s="644"/>
      <c r="AD64" s="13">
        <v>0</v>
      </c>
      <c r="AE64" s="644"/>
      <c r="AF64" s="644"/>
      <c r="AG64" s="644"/>
      <c r="AH64" s="644"/>
      <c r="AI64" s="644"/>
      <c r="AJ64" s="709">
        <v>85</v>
      </c>
      <c r="AK64" s="644"/>
      <c r="AL64" s="13"/>
      <c r="AM64" s="644"/>
      <c r="AN64" s="13"/>
      <c r="AO64" s="644"/>
      <c r="AP64" s="13"/>
      <c r="AQ64" s="644"/>
      <c r="AR64" s="13">
        <v>13</v>
      </c>
      <c r="AS64" s="644"/>
      <c r="AT64" s="13">
        <v>7</v>
      </c>
      <c r="AU64" s="644"/>
      <c r="AV64" s="808"/>
      <c r="AW64" s="644"/>
      <c r="AX64" s="13">
        <v>10</v>
      </c>
      <c r="AY64" s="644"/>
      <c r="AZ64" s="13">
        <v>1</v>
      </c>
      <c r="BA64" s="644"/>
      <c r="BB64" s="644"/>
      <c r="BC64" s="644"/>
      <c r="BD64" s="5"/>
      <c r="BE64" s="644"/>
      <c r="BF64" s="13"/>
      <c r="BG64" s="644"/>
      <c r="BH64" s="644"/>
      <c r="BI64" s="644"/>
      <c r="BJ64" s="13"/>
      <c r="BK64" s="644"/>
      <c r="BL64" s="13">
        <v>3</v>
      </c>
      <c r="BM64" s="644"/>
      <c r="BN64" s="13"/>
      <c r="BO64" s="644"/>
      <c r="BP64" s="710">
        <v>36</v>
      </c>
      <c r="BQ64" s="644"/>
      <c r="BR64" s="13"/>
      <c r="BS64" s="644"/>
      <c r="BT64" s="13" t="s">
        <v>701</v>
      </c>
      <c r="BU64" s="644"/>
      <c r="BV64" s="13"/>
      <c r="BW64" s="644"/>
      <c r="BX64" s="710"/>
      <c r="BY64" s="644"/>
      <c r="BZ64" s="710">
        <v>3</v>
      </c>
      <c r="CA64" s="644"/>
      <c r="CB64" s="13">
        <v>36</v>
      </c>
      <c r="CC64" s="644"/>
      <c r="CD64" s="644"/>
      <c r="CE64" s="644"/>
      <c r="CF64" s="644"/>
      <c r="CG64" s="644"/>
      <c r="CH64" s="710">
        <v>2</v>
      </c>
      <c r="CI64" s="13"/>
      <c r="CJ64" s="13">
        <v>3</v>
      </c>
      <c r="CK64" s="13"/>
      <c r="CL64" s="13">
        <v>33</v>
      </c>
      <c r="CM64" s="644"/>
      <c r="CN64" s="13"/>
      <c r="CO64" s="644"/>
      <c r="CP64" s="13"/>
      <c r="CQ64" s="644"/>
      <c r="CR64" s="13">
        <v>9</v>
      </c>
      <c r="CS64" s="644"/>
      <c r="CT64" s="13">
        <v>9</v>
      </c>
      <c r="CU64" s="644"/>
      <c r="CV64" s="13">
        <v>0</v>
      </c>
      <c r="CW64" s="644"/>
      <c r="CX64" s="13">
        <v>2</v>
      </c>
      <c r="CY64" s="644"/>
      <c r="CZ64" s="13">
        <v>0</v>
      </c>
      <c r="DA64" s="644"/>
      <c r="DB64" s="13">
        <v>0</v>
      </c>
      <c r="DC64" s="644"/>
      <c r="DD64" s="703">
        <v>14</v>
      </c>
      <c r="DE64" s="644"/>
      <c r="DF64" s="644"/>
      <c r="DG64" s="644"/>
      <c r="DH64" s="13"/>
      <c r="DI64" s="644"/>
      <c r="DJ64" s="809">
        <v>0</v>
      </c>
      <c r="DK64" s="644"/>
      <c r="DL64" s="644"/>
      <c r="DM64" s="644"/>
      <c r="DN64" s="13">
        <v>17</v>
      </c>
      <c r="DO64" s="644"/>
      <c r="DP64" s="644"/>
      <c r="DQ64" s="644"/>
      <c r="DR64" s="644"/>
      <c r="DS64" s="644"/>
      <c r="DT64" s="644"/>
      <c r="DU64" s="644"/>
      <c r="DV64" s="13">
        <v>8</v>
      </c>
      <c r="DW64" s="644"/>
      <c r="DX64" s="13">
        <v>5</v>
      </c>
      <c r="DY64" s="644"/>
      <c r="DZ64" s="13"/>
      <c r="EA64" s="644"/>
      <c r="EB64" s="644"/>
      <c r="EC64" s="644"/>
      <c r="ED64" s="644"/>
      <c r="EE64" s="644"/>
      <c r="EF64" s="13">
        <v>0</v>
      </c>
      <c r="EG64" s="644"/>
      <c r="EH64" s="13">
        <v>2</v>
      </c>
      <c r="EI64" s="644"/>
      <c r="EJ64" s="644"/>
      <c r="EK64" s="644"/>
      <c r="EL64" s="644"/>
      <c r="EM64" s="644"/>
      <c r="EN64" s="13">
        <v>0</v>
      </c>
      <c r="EO64" s="644"/>
      <c r="EP64" s="13">
        <v>0</v>
      </c>
      <c r="EQ64" s="644"/>
      <c r="ER64" s="644"/>
      <c r="ES64" s="644"/>
      <c r="ET64" s="13">
        <v>1</v>
      </c>
      <c r="EU64" s="644"/>
      <c r="EV64" s="13">
        <v>54</v>
      </c>
      <c r="EW64" s="644"/>
      <c r="EX64" s="13" t="s">
        <v>465</v>
      </c>
      <c r="EY64" s="644"/>
      <c r="EZ64" s="13">
        <v>0</v>
      </c>
      <c r="FA64" s="644"/>
      <c r="FB64" s="13">
        <v>0</v>
      </c>
      <c r="FC64" s="644"/>
      <c r="FD64" s="13" t="s">
        <v>465</v>
      </c>
      <c r="FE64" s="644"/>
      <c r="FF64" s="13">
        <v>3</v>
      </c>
      <c r="FG64" s="644"/>
      <c r="FH64" s="13">
        <v>14</v>
      </c>
      <c r="FI64" s="644"/>
      <c r="FJ64" s="13"/>
      <c r="FK64" s="644"/>
      <c r="FL64" s="811">
        <v>71</v>
      </c>
      <c r="FM64" s="644"/>
      <c r="FN64" s="13"/>
      <c r="FO64" s="644"/>
      <c r="FP64" s="13">
        <v>39</v>
      </c>
      <c r="FQ64" s="644"/>
      <c r="FR64" s="644"/>
      <c r="FS64" s="644"/>
      <c r="FT64" s="644"/>
      <c r="FU64" s="644"/>
      <c r="FV64" s="644"/>
      <c r="FW64" s="644"/>
      <c r="FX64" s="13" t="s">
        <v>465</v>
      </c>
      <c r="FY64" s="644"/>
      <c r="FZ64" s="644"/>
      <c r="GA64" s="644"/>
      <c r="GB64" s="13">
        <v>4</v>
      </c>
      <c r="GC64" s="644"/>
      <c r="GD64" s="13">
        <v>5</v>
      </c>
      <c r="GE64" s="644"/>
      <c r="GF64" s="703" t="s">
        <v>465</v>
      </c>
      <c r="GG64" s="644"/>
      <c r="GH64" s="13">
        <v>39</v>
      </c>
      <c r="GI64" s="644"/>
      <c r="GJ64" s="811">
        <v>26</v>
      </c>
      <c r="GK64" s="644"/>
      <c r="GL64" s="13"/>
      <c r="GM64" s="644"/>
      <c r="GN64" s="13"/>
      <c r="GO64" s="644"/>
      <c r="GP64" s="13">
        <v>0</v>
      </c>
      <c r="GQ64" s="644"/>
      <c r="GR64" s="13">
        <v>8</v>
      </c>
      <c r="GS64" s="644"/>
      <c r="GT64" s="13">
        <v>6</v>
      </c>
      <c r="GU64" s="644"/>
      <c r="GV64" s="13"/>
      <c r="GW64" s="644"/>
      <c r="GX64" s="13"/>
      <c r="GY64" s="644"/>
      <c r="GZ64" s="13"/>
      <c r="HA64" s="644"/>
      <c r="HB64" s="13"/>
      <c r="HC64" s="644"/>
      <c r="HD64" s="13"/>
      <c r="HE64" s="644"/>
      <c r="HF64" s="13"/>
      <c r="HG64" s="644"/>
      <c r="HH64" s="13" t="s">
        <v>465</v>
      </c>
      <c r="HI64" s="644"/>
      <c r="HJ64" s="644"/>
      <c r="HK64" s="644"/>
      <c r="HL64" s="13">
        <v>0</v>
      </c>
      <c r="HM64" s="644"/>
      <c r="HN64" s="13">
        <v>13</v>
      </c>
      <c r="HO64" s="644"/>
      <c r="HP64" s="13"/>
      <c r="HQ64" s="644"/>
      <c r="HR64" s="13"/>
      <c r="HS64" s="644"/>
      <c r="HT64" s="711">
        <v>23</v>
      </c>
      <c r="HU64" s="644"/>
      <c r="HV64" s="13"/>
      <c r="HW64" s="644"/>
      <c r="HX64" s="13"/>
      <c r="HY64" s="644"/>
      <c r="HZ64" s="13"/>
      <c r="IA64" s="644"/>
      <c r="IB64" s="644"/>
      <c r="IC64" s="644"/>
      <c r="ID64" s="13">
        <v>15</v>
      </c>
      <c r="IE64" s="644"/>
      <c r="IF64" s="13">
        <v>15</v>
      </c>
      <c r="IG64" s="756"/>
      <c r="IH64" s="13"/>
      <c r="II64" s="644"/>
      <c r="IJ64" s="644"/>
      <c r="IK64" s="644"/>
      <c r="IL64" s="711">
        <v>0</v>
      </c>
      <c r="IM64" s="644"/>
      <c r="IN64" s="712">
        <v>0</v>
      </c>
      <c r="IO64" s="644"/>
      <c r="IP64" s="13">
        <v>8</v>
      </c>
      <c r="IQ64" s="644"/>
      <c r="IR64" s="13"/>
      <c r="IS64" s="644"/>
      <c r="IT64" s="13">
        <v>0</v>
      </c>
      <c r="IU64" s="644"/>
      <c r="IV64" s="13">
        <v>0</v>
      </c>
      <c r="IW64" s="644"/>
      <c r="IX64" s="710"/>
      <c r="IY64" s="644"/>
      <c r="IZ64" s="13">
        <v>3</v>
      </c>
      <c r="JA64" s="644"/>
      <c r="JB64" s="13"/>
      <c r="JC64" s="644"/>
      <c r="JD64" s="13">
        <v>0</v>
      </c>
      <c r="JE64" s="644"/>
      <c r="JF64" s="644"/>
      <c r="JG64" s="644"/>
      <c r="JH64" s="13"/>
      <c r="JI64" s="644"/>
      <c r="JJ64" s="644"/>
      <c r="JK64" s="644"/>
      <c r="JL64" s="644"/>
      <c r="JM64" s="644"/>
      <c r="JN64" s="13">
        <v>0</v>
      </c>
      <c r="JO64" s="644"/>
      <c r="JP64" s="644"/>
      <c r="JQ64" s="644"/>
      <c r="JR64" s="713">
        <v>97</v>
      </c>
      <c r="JS64" s="644"/>
      <c r="JT64" s="13" t="s">
        <v>465</v>
      </c>
      <c r="JU64" s="644"/>
      <c r="JV64" s="13"/>
      <c r="JW64" s="644"/>
      <c r="JX64" s="13">
        <v>5</v>
      </c>
      <c r="JY64" s="644"/>
    </row>
    <row r="65" spans="1:285" ht="37.5" customHeight="1" x14ac:dyDescent="0.2">
      <c r="A65" s="1565"/>
      <c r="B65" s="1580"/>
      <c r="C65" s="82" t="s">
        <v>124</v>
      </c>
      <c r="D65" s="83" t="s">
        <v>215</v>
      </c>
      <c r="E65" s="813" t="s">
        <v>53</v>
      </c>
      <c r="F65" s="13">
        <v>0</v>
      </c>
      <c r="G65" s="756"/>
      <c r="H65" s="13"/>
      <c r="I65" s="644"/>
      <c r="J65" s="13" t="s">
        <v>465</v>
      </c>
      <c r="K65" s="644"/>
      <c r="L65" s="13"/>
      <c r="M65" s="644"/>
      <c r="N65" s="808"/>
      <c r="O65" s="644"/>
      <c r="P65" s="709"/>
      <c r="Q65" s="644"/>
      <c r="R65" s="13"/>
      <c r="S65" s="644"/>
      <c r="T65" s="644"/>
      <c r="U65" s="644"/>
      <c r="V65" s="644"/>
      <c r="W65" s="644"/>
      <c r="X65" s="644"/>
      <c r="Y65" s="644"/>
      <c r="Z65" s="13">
        <v>0</v>
      </c>
      <c r="AA65" s="644"/>
      <c r="AB65" s="13">
        <v>11</v>
      </c>
      <c r="AC65" s="644"/>
      <c r="AD65" s="13">
        <v>0</v>
      </c>
      <c r="AE65" s="644"/>
      <c r="AF65" s="644"/>
      <c r="AG65" s="644"/>
      <c r="AH65" s="644"/>
      <c r="AI65" s="644"/>
      <c r="AJ65" s="709">
        <v>2</v>
      </c>
      <c r="AK65" s="644"/>
      <c r="AL65" s="13"/>
      <c r="AM65" s="644"/>
      <c r="AN65" s="13"/>
      <c r="AO65" s="644"/>
      <c r="AP65" s="13">
        <v>3</v>
      </c>
      <c r="AQ65" s="644"/>
      <c r="AR65" s="13">
        <v>4</v>
      </c>
      <c r="AS65" s="644"/>
      <c r="AT65" s="13"/>
      <c r="AU65" s="644"/>
      <c r="AV65" s="808">
        <v>48</v>
      </c>
      <c r="AW65" s="644"/>
      <c r="AX65" s="13">
        <v>0</v>
      </c>
      <c r="AY65" s="644"/>
      <c r="AZ65" s="13"/>
      <c r="BA65" s="644"/>
      <c r="BB65" s="644"/>
      <c r="BC65" s="644"/>
      <c r="BD65" s="5"/>
      <c r="BE65" s="644"/>
      <c r="BF65" s="13"/>
      <c r="BG65" s="644"/>
      <c r="BH65" s="644"/>
      <c r="BI65" s="644"/>
      <c r="BJ65" s="13"/>
      <c r="BK65" s="644"/>
      <c r="BL65" s="13"/>
      <c r="BM65" s="644"/>
      <c r="BN65" s="13"/>
      <c r="BO65" s="644"/>
      <c r="BP65" s="710"/>
      <c r="BQ65" s="644"/>
      <c r="BR65" s="13"/>
      <c r="BS65" s="644"/>
      <c r="BT65" s="13">
        <v>18</v>
      </c>
      <c r="BU65" s="644"/>
      <c r="BV65" s="13"/>
      <c r="BW65" s="644"/>
      <c r="BX65" s="710"/>
      <c r="BY65" s="644"/>
      <c r="BZ65" s="710"/>
      <c r="CA65" s="644"/>
      <c r="CB65" s="13">
        <v>5</v>
      </c>
      <c r="CC65" s="644"/>
      <c r="CD65" s="644"/>
      <c r="CE65" s="644"/>
      <c r="CF65" s="644"/>
      <c r="CG65" s="644"/>
      <c r="CH65" s="710"/>
      <c r="CI65" s="13"/>
      <c r="CJ65" s="13"/>
      <c r="CK65" s="13"/>
      <c r="CL65" s="13">
        <v>0</v>
      </c>
      <c r="CM65" s="644"/>
      <c r="CN65" s="13"/>
      <c r="CO65" s="644"/>
      <c r="CP65" s="13">
        <v>1</v>
      </c>
      <c r="CQ65" s="644"/>
      <c r="CR65" s="13">
        <v>14</v>
      </c>
      <c r="CS65" s="644"/>
      <c r="CT65" s="13">
        <v>3</v>
      </c>
      <c r="CU65" s="644"/>
      <c r="CV65" s="13">
        <v>8</v>
      </c>
      <c r="CW65" s="644"/>
      <c r="CX65" s="13">
        <v>0</v>
      </c>
      <c r="CY65" s="644"/>
      <c r="CZ65" s="13">
        <v>0</v>
      </c>
      <c r="DA65" s="644"/>
      <c r="DB65" s="13">
        <v>0</v>
      </c>
      <c r="DC65" s="644"/>
      <c r="DD65" s="13"/>
      <c r="DE65" s="644"/>
      <c r="DF65" s="644"/>
      <c r="DG65" s="644"/>
      <c r="DH65" s="13"/>
      <c r="DI65" s="644"/>
      <c r="DJ65" s="809">
        <v>0</v>
      </c>
      <c r="DK65" s="644"/>
      <c r="DL65" s="644"/>
      <c r="DM65" s="644"/>
      <c r="DN65" s="13">
        <v>0</v>
      </c>
      <c r="DO65" s="644"/>
      <c r="DP65" s="644"/>
      <c r="DQ65" s="644"/>
      <c r="DR65" s="644"/>
      <c r="DS65" s="644"/>
      <c r="DT65" s="644"/>
      <c r="DU65" s="644"/>
      <c r="DV65" s="13">
        <v>17</v>
      </c>
      <c r="DW65" s="644"/>
      <c r="DX65" s="13">
        <v>7</v>
      </c>
      <c r="DY65" s="644"/>
      <c r="DZ65" s="703" t="s">
        <v>465</v>
      </c>
      <c r="EA65" s="644"/>
      <c r="EB65" s="644"/>
      <c r="EC65" s="644"/>
      <c r="ED65" s="644"/>
      <c r="EE65" s="644"/>
      <c r="EF65" s="13">
        <v>5</v>
      </c>
      <c r="EG65" s="644"/>
      <c r="EH65" s="13">
        <v>1</v>
      </c>
      <c r="EI65" s="644"/>
      <c r="EJ65" s="644"/>
      <c r="EK65" s="644"/>
      <c r="EL65" s="644"/>
      <c r="EM65" s="644"/>
      <c r="EN65" s="13">
        <v>0</v>
      </c>
      <c r="EO65" s="644"/>
      <c r="EP65" s="13">
        <v>1</v>
      </c>
      <c r="EQ65" s="644"/>
      <c r="ER65" s="644"/>
      <c r="ES65" s="644"/>
      <c r="ET65" s="13"/>
      <c r="EU65" s="644"/>
      <c r="EV65" s="13">
        <v>2</v>
      </c>
      <c r="EW65" s="644"/>
      <c r="EX65" s="13" t="s">
        <v>465</v>
      </c>
      <c r="EY65" s="644"/>
      <c r="EZ65" s="13">
        <v>7</v>
      </c>
      <c r="FA65" s="644"/>
      <c r="FB65" s="13">
        <v>0</v>
      </c>
      <c r="FC65" s="644"/>
      <c r="FD65" s="13" t="s">
        <v>465</v>
      </c>
      <c r="FE65" s="644"/>
      <c r="FF65" s="13">
        <v>0</v>
      </c>
      <c r="FG65" s="644"/>
      <c r="FH65" s="13">
        <v>3</v>
      </c>
      <c r="FI65" s="644"/>
      <c r="FJ65" s="13"/>
      <c r="FK65" s="644"/>
      <c r="FL65" s="811">
        <v>0</v>
      </c>
      <c r="FM65" s="644"/>
      <c r="FN65" s="13"/>
      <c r="FO65" s="644"/>
      <c r="FP65" s="13"/>
      <c r="FQ65" s="644"/>
      <c r="FR65" s="644"/>
      <c r="FS65" s="644"/>
      <c r="FT65" s="644"/>
      <c r="FU65" s="644"/>
      <c r="FV65" s="644"/>
      <c r="FW65" s="644"/>
      <c r="FX65" s="13" t="s">
        <v>465</v>
      </c>
      <c r="FY65" s="644"/>
      <c r="FZ65" s="644"/>
      <c r="GA65" s="644"/>
      <c r="GB65" s="13">
        <v>3</v>
      </c>
      <c r="GC65" s="644"/>
      <c r="GD65" s="13">
        <v>1</v>
      </c>
      <c r="GE65" s="644"/>
      <c r="GF65" s="703">
        <v>6</v>
      </c>
      <c r="GG65" s="644"/>
      <c r="GH65" s="13">
        <v>2</v>
      </c>
      <c r="GI65" s="644"/>
      <c r="GJ65" s="811">
        <v>0</v>
      </c>
      <c r="GK65" s="644"/>
      <c r="GL65" s="13"/>
      <c r="GM65" s="644"/>
      <c r="GN65" s="13"/>
      <c r="GO65" s="644"/>
      <c r="GP65" s="13">
        <v>0</v>
      </c>
      <c r="GQ65" s="644"/>
      <c r="GR65" s="13"/>
      <c r="GS65" s="644"/>
      <c r="GT65" s="13">
        <v>4</v>
      </c>
      <c r="GU65" s="644"/>
      <c r="GV65" s="13"/>
      <c r="GW65" s="644"/>
      <c r="GX65" s="13"/>
      <c r="GY65" s="644"/>
      <c r="GZ65" s="13"/>
      <c r="HA65" s="644"/>
      <c r="HB65" s="13"/>
      <c r="HC65" s="644"/>
      <c r="HD65" s="13"/>
      <c r="HE65" s="644"/>
      <c r="HF65" s="13"/>
      <c r="HG65" s="644"/>
      <c r="HH65" s="13" t="s">
        <v>465</v>
      </c>
      <c r="HI65" s="644"/>
      <c r="HJ65" s="644"/>
      <c r="HK65" s="644"/>
      <c r="HL65" s="13">
        <v>0</v>
      </c>
      <c r="HM65" s="644"/>
      <c r="HN65" s="13" t="s">
        <v>465</v>
      </c>
      <c r="HO65" s="644"/>
      <c r="HP65" s="13"/>
      <c r="HQ65" s="644"/>
      <c r="HR65" s="13"/>
      <c r="HS65" s="644"/>
      <c r="HT65" s="711">
        <v>24</v>
      </c>
      <c r="HU65" s="644"/>
      <c r="HV65" s="13"/>
      <c r="HW65" s="644"/>
      <c r="HX65" s="13"/>
      <c r="HY65" s="644"/>
      <c r="HZ65" s="13"/>
      <c r="IA65" s="644"/>
      <c r="IB65" s="644"/>
      <c r="IC65" s="644"/>
      <c r="ID65" s="13">
        <v>20</v>
      </c>
      <c r="IE65" s="644"/>
      <c r="IF65" s="13">
        <v>0</v>
      </c>
      <c r="IG65" s="756"/>
      <c r="IH65" s="13"/>
      <c r="II65" s="644"/>
      <c r="IJ65" s="644"/>
      <c r="IK65" s="644"/>
      <c r="IL65" s="711">
        <v>0</v>
      </c>
      <c r="IM65" s="644"/>
      <c r="IN65" s="712">
        <v>0</v>
      </c>
      <c r="IO65" s="644"/>
      <c r="IP65" s="13"/>
      <c r="IQ65" s="644"/>
      <c r="IR65" s="13"/>
      <c r="IS65" s="644"/>
      <c r="IT65" s="13">
        <v>0</v>
      </c>
      <c r="IU65" s="644"/>
      <c r="IV65" s="13">
        <v>32</v>
      </c>
      <c r="IW65" s="644"/>
      <c r="IX65" s="710"/>
      <c r="IY65" s="644"/>
      <c r="IZ65" s="13">
        <v>4</v>
      </c>
      <c r="JA65" s="644"/>
      <c r="JB65" s="13"/>
      <c r="JC65" s="644"/>
      <c r="JD65" s="13">
        <v>0</v>
      </c>
      <c r="JE65" s="644"/>
      <c r="JF65" s="644"/>
      <c r="JG65" s="644"/>
      <c r="JH65" s="13"/>
      <c r="JI65" s="644"/>
      <c r="JJ65" s="644"/>
      <c r="JK65" s="644"/>
      <c r="JL65" s="644"/>
      <c r="JM65" s="644"/>
      <c r="JN65" s="13">
        <v>0</v>
      </c>
      <c r="JO65" s="644"/>
      <c r="JP65" s="644"/>
      <c r="JQ65" s="644"/>
      <c r="JR65" s="713">
        <f>0+(1+1+1+1+1+2+1+1+3+6+1+11+6)</f>
        <v>36</v>
      </c>
      <c r="JS65" s="644"/>
      <c r="JT65" s="13">
        <v>2</v>
      </c>
      <c r="JU65" s="644"/>
      <c r="JV65" s="13"/>
      <c r="JW65" s="644"/>
      <c r="JX65" s="13">
        <v>0</v>
      </c>
      <c r="JY65" s="644"/>
    </row>
    <row r="66" spans="1:285" ht="29.25" customHeight="1" x14ac:dyDescent="0.2">
      <c r="A66" s="1565"/>
      <c r="B66" s="1580"/>
      <c r="C66" s="82" t="s">
        <v>125</v>
      </c>
      <c r="D66" s="83" t="s">
        <v>32</v>
      </c>
      <c r="E66" s="813" t="s">
        <v>53</v>
      </c>
      <c r="F66" s="13">
        <v>0</v>
      </c>
      <c r="G66" s="756"/>
      <c r="H66" s="13"/>
      <c r="I66" s="644"/>
      <c r="J66" s="13" t="s">
        <v>465</v>
      </c>
      <c r="K66" s="644"/>
      <c r="L66" s="13"/>
      <c r="M66" s="644"/>
      <c r="N66" s="808"/>
      <c r="O66" s="644"/>
      <c r="P66" s="709"/>
      <c r="Q66" s="644"/>
      <c r="R66" s="13"/>
      <c r="S66" s="644"/>
      <c r="T66" s="644"/>
      <c r="U66" s="644"/>
      <c r="V66" s="644"/>
      <c r="W66" s="644"/>
      <c r="X66" s="644"/>
      <c r="Y66" s="644"/>
      <c r="Z66" s="13">
        <v>0</v>
      </c>
      <c r="AA66" s="644"/>
      <c r="AB66" s="13">
        <v>0</v>
      </c>
      <c r="AC66" s="644"/>
      <c r="AD66" s="13">
        <v>0</v>
      </c>
      <c r="AE66" s="644"/>
      <c r="AF66" s="644"/>
      <c r="AG66" s="644"/>
      <c r="AH66" s="644"/>
      <c r="AI66" s="644"/>
      <c r="AJ66" s="709">
        <v>0</v>
      </c>
      <c r="AK66" s="644"/>
      <c r="AL66" s="13"/>
      <c r="AM66" s="644"/>
      <c r="AN66" s="13"/>
      <c r="AO66" s="644"/>
      <c r="AP66" s="13"/>
      <c r="AQ66" s="644"/>
      <c r="AR66" s="13"/>
      <c r="AS66" s="644"/>
      <c r="AT66" s="13"/>
      <c r="AU66" s="644"/>
      <c r="AV66" s="808"/>
      <c r="AW66" s="644"/>
      <c r="AX66" s="13">
        <v>0</v>
      </c>
      <c r="AY66" s="644"/>
      <c r="AZ66" s="13"/>
      <c r="BA66" s="644"/>
      <c r="BB66" s="644"/>
      <c r="BC66" s="644"/>
      <c r="BD66" s="5"/>
      <c r="BE66" s="644"/>
      <c r="BF66" s="13"/>
      <c r="BG66" s="644"/>
      <c r="BH66" s="644"/>
      <c r="BI66" s="644"/>
      <c r="BJ66" s="13"/>
      <c r="BK66" s="644"/>
      <c r="BL66" s="13"/>
      <c r="BM66" s="644"/>
      <c r="BN66" s="13"/>
      <c r="BO66" s="644"/>
      <c r="BP66" s="710"/>
      <c r="BQ66" s="644"/>
      <c r="BR66" s="13"/>
      <c r="BS66" s="644"/>
      <c r="BT66" s="13" t="s">
        <v>701</v>
      </c>
      <c r="BU66" s="644"/>
      <c r="BV66" s="13"/>
      <c r="BW66" s="644"/>
      <c r="BX66" s="710"/>
      <c r="BY66" s="644"/>
      <c r="BZ66" s="710"/>
      <c r="CA66" s="644"/>
      <c r="CB66" s="13"/>
      <c r="CC66" s="644"/>
      <c r="CD66" s="644"/>
      <c r="CE66" s="644"/>
      <c r="CF66" s="644"/>
      <c r="CG66" s="644"/>
      <c r="CH66" s="710"/>
      <c r="CI66" s="13"/>
      <c r="CJ66" s="13">
        <v>10</v>
      </c>
      <c r="CK66" s="13"/>
      <c r="CL66" s="13">
        <v>0</v>
      </c>
      <c r="CM66" s="644"/>
      <c r="CN66" s="13"/>
      <c r="CO66" s="644"/>
      <c r="CP66" s="13"/>
      <c r="CQ66" s="644"/>
      <c r="CR66" s="13"/>
      <c r="CS66" s="644"/>
      <c r="CT66" s="13">
        <v>8</v>
      </c>
      <c r="CU66" s="644"/>
      <c r="CV66" s="13">
        <v>0</v>
      </c>
      <c r="CW66" s="644"/>
      <c r="CX66" s="13">
        <v>0</v>
      </c>
      <c r="CY66" s="644"/>
      <c r="CZ66" s="13">
        <v>0</v>
      </c>
      <c r="DA66" s="644"/>
      <c r="DB66" s="13">
        <v>0</v>
      </c>
      <c r="DC66" s="644"/>
      <c r="DD66" s="13"/>
      <c r="DE66" s="644"/>
      <c r="DF66" s="644"/>
      <c r="DG66" s="644"/>
      <c r="DH66" s="13"/>
      <c r="DI66" s="644"/>
      <c r="DJ66" s="809">
        <v>0</v>
      </c>
      <c r="DK66" s="644"/>
      <c r="DL66" s="644"/>
      <c r="DM66" s="644"/>
      <c r="DN66" s="13">
        <v>0</v>
      </c>
      <c r="DO66" s="644"/>
      <c r="DP66" s="644"/>
      <c r="DQ66" s="644"/>
      <c r="DR66" s="644"/>
      <c r="DS66" s="644"/>
      <c r="DT66" s="644"/>
      <c r="DU66" s="644"/>
      <c r="DV66" s="13">
        <v>0</v>
      </c>
      <c r="DW66" s="644"/>
      <c r="DX66" s="13">
        <v>0</v>
      </c>
      <c r="DY66" s="644"/>
      <c r="DZ66" s="703" t="s">
        <v>465</v>
      </c>
      <c r="EA66" s="644"/>
      <c r="EB66" s="644"/>
      <c r="EC66" s="644"/>
      <c r="ED66" s="644"/>
      <c r="EE66" s="644"/>
      <c r="EF66" s="13">
        <v>0</v>
      </c>
      <c r="EG66" s="644"/>
      <c r="EH66" s="13">
        <v>0</v>
      </c>
      <c r="EI66" s="644"/>
      <c r="EJ66" s="644"/>
      <c r="EK66" s="644"/>
      <c r="EL66" s="644"/>
      <c r="EM66" s="644"/>
      <c r="EN66" s="13">
        <v>0</v>
      </c>
      <c r="EO66" s="644"/>
      <c r="EP66" s="13">
        <v>0</v>
      </c>
      <c r="EQ66" s="644"/>
      <c r="ER66" s="644"/>
      <c r="ES66" s="644"/>
      <c r="ET66" s="13"/>
      <c r="EU66" s="644"/>
      <c r="EV66" s="13">
        <v>0</v>
      </c>
      <c r="EW66" s="644"/>
      <c r="EX66" s="13" t="s">
        <v>465</v>
      </c>
      <c r="EY66" s="644"/>
      <c r="EZ66" s="13">
        <v>0</v>
      </c>
      <c r="FA66" s="644"/>
      <c r="FB66" s="13">
        <v>0</v>
      </c>
      <c r="FC66" s="644"/>
      <c r="FD66" s="13" t="s">
        <v>465</v>
      </c>
      <c r="FE66" s="644"/>
      <c r="FF66" s="13">
        <v>0</v>
      </c>
      <c r="FG66" s="644"/>
      <c r="FH66" s="13"/>
      <c r="FI66" s="644"/>
      <c r="FJ66" s="13"/>
      <c r="FK66" s="644"/>
      <c r="FL66" s="811">
        <v>0</v>
      </c>
      <c r="FM66" s="644"/>
      <c r="FN66" s="13"/>
      <c r="FO66" s="644"/>
      <c r="FP66" s="13"/>
      <c r="FQ66" s="644"/>
      <c r="FR66" s="644"/>
      <c r="FS66" s="644"/>
      <c r="FT66" s="644"/>
      <c r="FU66" s="644"/>
      <c r="FV66" s="644"/>
      <c r="FW66" s="644"/>
      <c r="FX66" s="13" t="s">
        <v>465</v>
      </c>
      <c r="FY66" s="644"/>
      <c r="FZ66" s="644"/>
      <c r="GA66" s="644"/>
      <c r="GB66" s="13">
        <v>1</v>
      </c>
      <c r="GC66" s="644"/>
      <c r="GD66" s="13" t="s">
        <v>2499</v>
      </c>
      <c r="GE66" s="644"/>
      <c r="GF66" s="703" t="s">
        <v>465</v>
      </c>
      <c r="GG66" s="644"/>
      <c r="GH66" s="13">
        <v>0</v>
      </c>
      <c r="GI66" s="644"/>
      <c r="GJ66" s="811">
        <v>3</v>
      </c>
      <c r="GK66" s="644"/>
      <c r="GL66" s="13"/>
      <c r="GM66" s="644"/>
      <c r="GN66" s="13"/>
      <c r="GO66" s="644"/>
      <c r="GP66" s="13">
        <v>0</v>
      </c>
      <c r="GQ66" s="644"/>
      <c r="GR66" s="13"/>
      <c r="GS66" s="644"/>
      <c r="GT66" s="13"/>
      <c r="GU66" s="644"/>
      <c r="GV66" s="13"/>
      <c r="GW66" s="644"/>
      <c r="GX66" s="13"/>
      <c r="GY66" s="644"/>
      <c r="GZ66" s="13"/>
      <c r="HA66" s="644"/>
      <c r="HB66" s="13"/>
      <c r="HC66" s="644"/>
      <c r="HD66" s="13"/>
      <c r="HE66" s="644"/>
      <c r="HF66" s="13"/>
      <c r="HG66" s="644"/>
      <c r="HH66" s="13" t="s">
        <v>465</v>
      </c>
      <c r="HI66" s="644"/>
      <c r="HJ66" s="644"/>
      <c r="HK66" s="644"/>
      <c r="HL66" s="13">
        <v>0</v>
      </c>
      <c r="HM66" s="644"/>
      <c r="HN66" s="13" t="s">
        <v>465</v>
      </c>
      <c r="HO66" s="644"/>
      <c r="HP66" s="13"/>
      <c r="HQ66" s="644"/>
      <c r="HR66" s="13"/>
      <c r="HS66" s="644"/>
      <c r="HT66" s="711" t="s">
        <v>702</v>
      </c>
      <c r="HU66" s="644"/>
      <c r="HV66" s="13"/>
      <c r="HW66" s="644"/>
      <c r="HX66" s="13"/>
      <c r="HY66" s="644"/>
      <c r="HZ66" s="13">
        <v>12</v>
      </c>
      <c r="IA66" s="644"/>
      <c r="IB66" s="644"/>
      <c r="IC66" s="644"/>
      <c r="ID66" s="13">
        <v>0</v>
      </c>
      <c r="IE66" s="644"/>
      <c r="IF66" s="13">
        <v>0</v>
      </c>
      <c r="IG66" s="756"/>
      <c r="IH66" s="13"/>
      <c r="II66" s="644"/>
      <c r="IJ66" s="644"/>
      <c r="IK66" s="644"/>
      <c r="IL66" s="711">
        <v>0</v>
      </c>
      <c r="IM66" s="644"/>
      <c r="IN66" s="712">
        <v>0</v>
      </c>
      <c r="IO66" s="644"/>
      <c r="IP66" s="13"/>
      <c r="IQ66" s="644"/>
      <c r="IR66" s="13">
        <v>57</v>
      </c>
      <c r="IS66" s="644"/>
      <c r="IT66" s="13">
        <v>0</v>
      </c>
      <c r="IU66" s="644"/>
      <c r="IV66" s="13">
        <v>0</v>
      </c>
      <c r="IW66" s="644"/>
      <c r="IX66" s="710"/>
      <c r="IY66" s="644"/>
      <c r="IZ66" s="13">
        <v>1</v>
      </c>
      <c r="JA66" s="644"/>
      <c r="JB66" s="13"/>
      <c r="JC66" s="644"/>
      <c r="JD66" s="13">
        <v>0</v>
      </c>
      <c r="JE66" s="644"/>
      <c r="JF66" s="644"/>
      <c r="JG66" s="644"/>
      <c r="JH66" s="13"/>
      <c r="JI66" s="644"/>
      <c r="JJ66" s="644"/>
      <c r="JK66" s="644"/>
      <c r="JL66" s="644"/>
      <c r="JM66" s="644"/>
      <c r="JN66" s="13">
        <v>0</v>
      </c>
      <c r="JO66" s="644"/>
      <c r="JP66" s="644"/>
      <c r="JQ66" s="644"/>
      <c r="JR66" s="713">
        <v>0</v>
      </c>
      <c r="JS66" s="644"/>
      <c r="JT66" s="13" t="s">
        <v>465</v>
      </c>
      <c r="JU66" s="644"/>
      <c r="JV66" s="13"/>
      <c r="JW66" s="644"/>
      <c r="JX66" s="13">
        <v>0</v>
      </c>
      <c r="JY66" s="644"/>
    </row>
    <row r="67" spans="1:285" ht="32.25" customHeight="1" x14ac:dyDescent="0.2">
      <c r="A67" s="1565"/>
      <c r="B67" s="1580"/>
      <c r="C67" s="82" t="s">
        <v>126</v>
      </c>
      <c r="D67" s="83" t="s">
        <v>214</v>
      </c>
      <c r="E67" s="813" t="s">
        <v>53</v>
      </c>
      <c r="F67" s="13">
        <v>0</v>
      </c>
      <c r="G67" s="756"/>
      <c r="H67" s="13"/>
      <c r="I67" s="644"/>
      <c r="J67" s="13" t="s">
        <v>465</v>
      </c>
      <c r="K67" s="644"/>
      <c r="L67" s="13"/>
      <c r="M67" s="644"/>
      <c r="N67" s="808"/>
      <c r="O67" s="644"/>
      <c r="P67" s="709"/>
      <c r="Q67" s="644"/>
      <c r="R67" s="13"/>
      <c r="S67" s="644"/>
      <c r="T67" s="644"/>
      <c r="U67" s="644"/>
      <c r="V67" s="644"/>
      <c r="W67" s="644"/>
      <c r="X67" s="644"/>
      <c r="Y67" s="644"/>
      <c r="Z67" s="13">
        <v>0</v>
      </c>
      <c r="AA67" s="644"/>
      <c r="AB67" s="13">
        <v>0</v>
      </c>
      <c r="AC67" s="644"/>
      <c r="AD67" s="13">
        <v>0</v>
      </c>
      <c r="AE67" s="644"/>
      <c r="AF67" s="644"/>
      <c r="AG67" s="644"/>
      <c r="AH67" s="644"/>
      <c r="AI67" s="644"/>
      <c r="AJ67" s="709">
        <v>0</v>
      </c>
      <c r="AK67" s="644"/>
      <c r="AL67" s="13"/>
      <c r="AM67" s="644"/>
      <c r="AN67" s="13"/>
      <c r="AO67" s="644"/>
      <c r="AP67" s="13"/>
      <c r="AQ67" s="644"/>
      <c r="AR67" s="13">
        <v>2</v>
      </c>
      <c r="AS67" s="644"/>
      <c r="AT67" s="13"/>
      <c r="AU67" s="644"/>
      <c r="AV67" s="808">
        <v>24</v>
      </c>
      <c r="AW67" s="644"/>
      <c r="AX67" s="13">
        <v>0</v>
      </c>
      <c r="AY67" s="644"/>
      <c r="AZ67" s="13"/>
      <c r="BA67" s="644"/>
      <c r="BB67" s="644"/>
      <c r="BC67" s="644"/>
      <c r="BD67" s="5">
        <v>1</v>
      </c>
      <c r="BE67" s="644"/>
      <c r="BF67" s="13"/>
      <c r="BG67" s="644"/>
      <c r="BH67" s="644"/>
      <c r="BI67" s="644"/>
      <c r="BJ67" s="13"/>
      <c r="BK67" s="644"/>
      <c r="BL67" s="13"/>
      <c r="BM67" s="644"/>
      <c r="BN67" s="13"/>
      <c r="BO67" s="644"/>
      <c r="BP67" s="710"/>
      <c r="BQ67" s="644"/>
      <c r="BR67" s="13"/>
      <c r="BS67" s="644"/>
      <c r="BT67" s="13" t="s">
        <v>701</v>
      </c>
      <c r="BU67" s="644"/>
      <c r="BV67" s="13"/>
      <c r="BW67" s="644"/>
      <c r="BX67" s="710"/>
      <c r="BY67" s="644"/>
      <c r="BZ67" s="13"/>
      <c r="CA67" s="644"/>
      <c r="CB67" s="13"/>
      <c r="CC67" s="644"/>
      <c r="CD67" s="644"/>
      <c r="CE67" s="644"/>
      <c r="CF67" s="644"/>
      <c r="CG67" s="644"/>
      <c r="CH67" s="710"/>
      <c r="CI67" s="13"/>
      <c r="CJ67" s="13">
        <v>5</v>
      </c>
      <c r="CK67" s="13"/>
      <c r="CL67" s="13">
        <v>0</v>
      </c>
      <c r="CM67" s="644"/>
      <c r="CN67" s="13"/>
      <c r="CO67" s="644"/>
      <c r="CP67" s="13"/>
      <c r="CQ67" s="644"/>
      <c r="CR67" s="13"/>
      <c r="CS67" s="644"/>
      <c r="CT67" s="13">
        <v>0</v>
      </c>
      <c r="CU67" s="644"/>
      <c r="CV67" s="13">
        <v>0</v>
      </c>
      <c r="CW67" s="644"/>
      <c r="CX67" s="13">
        <v>0</v>
      </c>
      <c r="CY67" s="644"/>
      <c r="CZ67" s="13">
        <v>0</v>
      </c>
      <c r="DA67" s="644"/>
      <c r="DB67" s="13">
        <v>0</v>
      </c>
      <c r="DC67" s="644"/>
      <c r="DD67" s="13"/>
      <c r="DE67" s="644"/>
      <c r="DF67" s="644"/>
      <c r="DG67" s="644"/>
      <c r="DH67" s="13"/>
      <c r="DI67" s="644"/>
      <c r="DJ67" s="809">
        <v>0</v>
      </c>
      <c r="DK67" s="644"/>
      <c r="DL67" s="644"/>
      <c r="DM67" s="644"/>
      <c r="DN67" s="13">
        <v>0</v>
      </c>
      <c r="DO67" s="644"/>
      <c r="DP67" s="644"/>
      <c r="DQ67" s="644"/>
      <c r="DR67" s="644"/>
      <c r="DS67" s="644"/>
      <c r="DT67" s="644"/>
      <c r="DU67" s="644"/>
      <c r="DV67" s="13">
        <v>3</v>
      </c>
      <c r="DW67" s="644"/>
      <c r="DX67" s="13">
        <v>0</v>
      </c>
      <c r="DY67" s="644"/>
      <c r="DZ67" s="703" t="s">
        <v>465</v>
      </c>
      <c r="EA67" s="644"/>
      <c r="EB67" s="644"/>
      <c r="EC67" s="644"/>
      <c r="ED67" s="644"/>
      <c r="EE67" s="644"/>
      <c r="EF67" s="13">
        <v>0</v>
      </c>
      <c r="EG67" s="644"/>
      <c r="EH67" s="13">
        <v>0</v>
      </c>
      <c r="EI67" s="644"/>
      <c r="EJ67" s="644"/>
      <c r="EK67" s="644"/>
      <c r="EL67" s="644"/>
      <c r="EM67" s="644"/>
      <c r="EN67" s="13">
        <v>0</v>
      </c>
      <c r="EO67" s="644"/>
      <c r="EP67" s="13">
        <v>23</v>
      </c>
      <c r="EQ67" s="644"/>
      <c r="ER67" s="644"/>
      <c r="ES67" s="644"/>
      <c r="ET67" s="13"/>
      <c r="EU67" s="644"/>
      <c r="EV67" s="13">
        <v>4</v>
      </c>
      <c r="EW67" s="644"/>
      <c r="EX67" s="13" t="s">
        <v>465</v>
      </c>
      <c r="EY67" s="644"/>
      <c r="EZ67" s="13">
        <v>0</v>
      </c>
      <c r="FA67" s="644"/>
      <c r="FB67" s="13">
        <v>0</v>
      </c>
      <c r="FC67" s="644"/>
      <c r="FD67" s="13" t="s">
        <v>465</v>
      </c>
      <c r="FE67" s="644"/>
      <c r="FF67" s="13">
        <v>0</v>
      </c>
      <c r="FG67" s="644"/>
      <c r="FH67" s="13">
        <v>1</v>
      </c>
      <c r="FI67" s="644"/>
      <c r="FJ67" s="13"/>
      <c r="FK67" s="644"/>
      <c r="FL67" s="811">
        <v>1</v>
      </c>
      <c r="FM67" s="644"/>
      <c r="FN67" s="13"/>
      <c r="FO67" s="644"/>
      <c r="FP67" s="13"/>
      <c r="FQ67" s="644"/>
      <c r="FR67" s="644"/>
      <c r="FS67" s="644"/>
      <c r="FT67" s="644"/>
      <c r="FU67" s="644"/>
      <c r="FV67" s="644"/>
      <c r="FW67" s="644"/>
      <c r="FX67" s="13" t="s">
        <v>465</v>
      </c>
      <c r="FY67" s="644"/>
      <c r="FZ67" s="644"/>
      <c r="GA67" s="644"/>
      <c r="GB67" s="13"/>
      <c r="GC67" s="644"/>
      <c r="GD67" s="13" t="s">
        <v>2499</v>
      </c>
      <c r="GE67" s="644"/>
      <c r="GF67" s="703" t="s">
        <v>465</v>
      </c>
      <c r="GG67" s="644"/>
      <c r="GH67" s="13">
        <v>0</v>
      </c>
      <c r="GI67" s="644"/>
      <c r="GJ67" s="811">
        <v>0</v>
      </c>
      <c r="GK67" s="644"/>
      <c r="GL67" s="13"/>
      <c r="GM67" s="644"/>
      <c r="GN67" s="13"/>
      <c r="GO67" s="644"/>
      <c r="GP67" s="13">
        <v>0</v>
      </c>
      <c r="GQ67" s="644"/>
      <c r="GR67" s="13"/>
      <c r="GS67" s="644"/>
      <c r="GT67" s="13"/>
      <c r="GU67" s="644"/>
      <c r="GV67" s="13"/>
      <c r="GW67" s="644"/>
      <c r="GX67" s="13"/>
      <c r="GY67" s="644"/>
      <c r="GZ67" s="13"/>
      <c r="HA67" s="644"/>
      <c r="HB67" s="13"/>
      <c r="HC67" s="644"/>
      <c r="HD67" s="13"/>
      <c r="HE67" s="644"/>
      <c r="HF67" s="13"/>
      <c r="HG67" s="644"/>
      <c r="HH67" s="13" t="s">
        <v>465</v>
      </c>
      <c r="HI67" s="644"/>
      <c r="HJ67" s="644"/>
      <c r="HK67" s="644"/>
      <c r="HL67" s="13">
        <v>0</v>
      </c>
      <c r="HM67" s="644"/>
      <c r="HN67" s="714" t="s">
        <v>465</v>
      </c>
      <c r="HO67" s="644"/>
      <c r="HP67" s="13"/>
      <c r="HQ67" s="644"/>
      <c r="HR67" s="13"/>
      <c r="HS67" s="644"/>
      <c r="HT67" s="711" t="s">
        <v>702</v>
      </c>
      <c r="HU67" s="644"/>
      <c r="HV67" s="13"/>
      <c r="HW67" s="644"/>
      <c r="HX67" s="13"/>
      <c r="HY67" s="644"/>
      <c r="HZ67" s="13"/>
      <c r="IA67" s="644"/>
      <c r="IB67" s="644"/>
      <c r="IC67" s="644"/>
      <c r="ID67" s="13">
        <v>0</v>
      </c>
      <c r="IE67" s="644"/>
      <c r="IF67" s="13">
        <v>0</v>
      </c>
      <c r="IG67" s="756"/>
      <c r="IH67" s="13">
        <v>63</v>
      </c>
      <c r="II67" s="644"/>
      <c r="IJ67" s="644"/>
      <c r="IK67" s="644"/>
      <c r="IL67" s="711">
        <v>0</v>
      </c>
      <c r="IM67" s="644"/>
      <c r="IN67" s="712">
        <v>0</v>
      </c>
      <c r="IO67" s="644"/>
      <c r="IP67" s="13"/>
      <c r="IQ67" s="644"/>
      <c r="IR67" s="13"/>
      <c r="IS67" s="644"/>
      <c r="IT67" s="13">
        <v>0</v>
      </c>
      <c r="IU67" s="644"/>
      <c r="IV67" s="13">
        <v>0</v>
      </c>
      <c r="IW67" s="644"/>
      <c r="IX67" s="710"/>
      <c r="IY67" s="644"/>
      <c r="IZ67" s="13"/>
      <c r="JA67" s="644"/>
      <c r="JB67" s="13"/>
      <c r="JC67" s="644"/>
      <c r="JD67" s="13">
        <v>0</v>
      </c>
      <c r="JE67" s="644"/>
      <c r="JF67" s="644"/>
      <c r="JG67" s="644"/>
      <c r="JH67" s="13"/>
      <c r="JI67" s="644"/>
      <c r="JJ67" s="644"/>
      <c r="JK67" s="644"/>
      <c r="JL67" s="644"/>
      <c r="JM67" s="644"/>
      <c r="JN67" s="13">
        <v>26</v>
      </c>
      <c r="JO67" s="644"/>
      <c r="JP67" s="644"/>
      <c r="JQ67" s="644"/>
      <c r="JR67" s="713">
        <v>0</v>
      </c>
      <c r="JS67" s="644"/>
      <c r="JT67" s="13" t="s">
        <v>465</v>
      </c>
      <c r="JU67" s="644"/>
      <c r="JV67" s="13"/>
      <c r="JW67" s="644"/>
      <c r="JX67" s="13">
        <v>0</v>
      </c>
      <c r="JY67" s="644"/>
    </row>
    <row r="68" spans="1:285" ht="35.25" customHeight="1" x14ac:dyDescent="0.2">
      <c r="A68" s="1565"/>
      <c r="B68" s="1580"/>
      <c r="C68" s="82" t="s">
        <v>127</v>
      </c>
      <c r="D68" s="83" t="s">
        <v>199</v>
      </c>
      <c r="E68" s="813" t="s">
        <v>53</v>
      </c>
      <c r="F68" s="13">
        <v>0</v>
      </c>
      <c r="G68" s="756"/>
      <c r="H68" s="13"/>
      <c r="I68" s="644"/>
      <c r="J68" s="13" t="s">
        <v>465</v>
      </c>
      <c r="K68" s="644"/>
      <c r="L68" s="13"/>
      <c r="M68" s="644"/>
      <c r="N68" s="808"/>
      <c r="O68" s="644"/>
      <c r="P68" s="709"/>
      <c r="Q68" s="644"/>
      <c r="R68" s="13"/>
      <c r="S68" s="644"/>
      <c r="T68" s="644"/>
      <c r="U68" s="644"/>
      <c r="V68" s="644"/>
      <c r="W68" s="644"/>
      <c r="X68" s="644"/>
      <c r="Y68" s="644"/>
      <c r="Z68" s="13">
        <v>1</v>
      </c>
      <c r="AA68" s="644"/>
      <c r="AB68" s="13">
        <v>0</v>
      </c>
      <c r="AC68" s="644"/>
      <c r="AD68" s="13">
        <v>0</v>
      </c>
      <c r="AE68" s="644"/>
      <c r="AF68" s="644"/>
      <c r="AG68" s="644"/>
      <c r="AH68" s="644"/>
      <c r="AI68" s="644"/>
      <c r="AJ68" s="709">
        <v>0</v>
      </c>
      <c r="AK68" s="644"/>
      <c r="AL68" s="13"/>
      <c r="AM68" s="644"/>
      <c r="AN68" s="13"/>
      <c r="AO68" s="644"/>
      <c r="AP68" s="13"/>
      <c r="AQ68" s="644"/>
      <c r="AR68" s="13">
        <v>18</v>
      </c>
      <c r="AS68" s="644"/>
      <c r="AT68" s="13"/>
      <c r="AU68" s="644"/>
      <c r="AV68" s="808"/>
      <c r="AW68" s="644"/>
      <c r="AX68" s="13">
        <v>0</v>
      </c>
      <c r="AY68" s="644"/>
      <c r="AZ68" s="13"/>
      <c r="BA68" s="644"/>
      <c r="BB68" s="644"/>
      <c r="BC68" s="644"/>
      <c r="BD68" s="5"/>
      <c r="BE68" s="644"/>
      <c r="BF68" s="13"/>
      <c r="BG68" s="644"/>
      <c r="BH68" s="644"/>
      <c r="BI68" s="644"/>
      <c r="BJ68" s="13"/>
      <c r="BK68" s="644"/>
      <c r="BL68" s="13"/>
      <c r="BM68" s="644"/>
      <c r="BN68" s="13"/>
      <c r="BO68" s="644"/>
      <c r="BP68" s="710"/>
      <c r="BQ68" s="644"/>
      <c r="BR68" s="13"/>
      <c r="BS68" s="644"/>
      <c r="BT68" s="13" t="s">
        <v>701</v>
      </c>
      <c r="BU68" s="644"/>
      <c r="BV68" s="13"/>
      <c r="BW68" s="644"/>
      <c r="BX68" s="710"/>
      <c r="BY68" s="644"/>
      <c r="BZ68" s="13"/>
      <c r="CA68" s="644"/>
      <c r="CB68" s="13"/>
      <c r="CC68" s="644"/>
      <c r="CD68" s="644"/>
      <c r="CE68" s="644"/>
      <c r="CF68" s="644"/>
      <c r="CG68" s="644"/>
      <c r="CH68" s="710"/>
      <c r="CI68" s="13"/>
      <c r="CJ68" s="13"/>
      <c r="CK68" s="13"/>
      <c r="CL68" s="13">
        <v>0</v>
      </c>
      <c r="CM68" s="644"/>
      <c r="CN68" s="13"/>
      <c r="CO68" s="644"/>
      <c r="CP68" s="13"/>
      <c r="CQ68" s="644"/>
      <c r="CR68" s="13"/>
      <c r="CS68" s="644"/>
      <c r="CT68" s="13">
        <v>0</v>
      </c>
      <c r="CU68" s="644"/>
      <c r="CV68" s="13">
        <v>0</v>
      </c>
      <c r="CW68" s="644"/>
      <c r="CX68" s="13">
        <v>0</v>
      </c>
      <c r="CY68" s="644"/>
      <c r="CZ68" s="13">
        <v>0</v>
      </c>
      <c r="DA68" s="644"/>
      <c r="DB68" s="13">
        <v>0</v>
      </c>
      <c r="DC68" s="644"/>
      <c r="DD68" s="13"/>
      <c r="DE68" s="644"/>
      <c r="DF68" s="644"/>
      <c r="DG68" s="644"/>
      <c r="DH68" s="13"/>
      <c r="DI68" s="644"/>
      <c r="DJ68" s="809">
        <v>0</v>
      </c>
      <c r="DK68" s="644"/>
      <c r="DL68" s="644"/>
      <c r="DM68" s="644"/>
      <c r="DN68" s="13">
        <v>0</v>
      </c>
      <c r="DO68" s="644"/>
      <c r="DP68" s="644"/>
      <c r="DQ68" s="644"/>
      <c r="DR68" s="644"/>
      <c r="DS68" s="644"/>
      <c r="DT68" s="644"/>
      <c r="DU68" s="644"/>
      <c r="DV68" s="13">
        <v>2</v>
      </c>
      <c r="DW68" s="644"/>
      <c r="DX68" s="13">
        <v>0</v>
      </c>
      <c r="DY68" s="644"/>
      <c r="DZ68" s="703" t="s">
        <v>465</v>
      </c>
      <c r="EA68" s="644"/>
      <c r="EB68" s="644"/>
      <c r="EC68" s="644"/>
      <c r="ED68" s="644"/>
      <c r="EE68" s="644"/>
      <c r="EF68" s="13">
        <v>0</v>
      </c>
      <c r="EG68" s="644"/>
      <c r="EH68" s="13">
        <v>0</v>
      </c>
      <c r="EI68" s="644"/>
      <c r="EJ68" s="644"/>
      <c r="EK68" s="644"/>
      <c r="EL68" s="644"/>
      <c r="EM68" s="644"/>
      <c r="EN68" s="13">
        <v>0</v>
      </c>
      <c r="EO68" s="644"/>
      <c r="EP68" s="13">
        <v>0</v>
      </c>
      <c r="EQ68" s="644"/>
      <c r="ER68" s="644"/>
      <c r="ES68" s="644"/>
      <c r="ET68" s="13">
        <v>1</v>
      </c>
      <c r="EU68" s="644"/>
      <c r="EV68" s="13">
        <v>0</v>
      </c>
      <c r="EW68" s="644"/>
      <c r="EX68" s="13" t="s">
        <v>465</v>
      </c>
      <c r="EY68" s="644"/>
      <c r="EZ68" s="13">
        <v>0</v>
      </c>
      <c r="FA68" s="644"/>
      <c r="FB68" s="13">
        <v>0</v>
      </c>
      <c r="FC68" s="644"/>
      <c r="FD68" s="13" t="s">
        <v>465</v>
      </c>
      <c r="FE68" s="644"/>
      <c r="FF68" s="13">
        <v>0</v>
      </c>
      <c r="FG68" s="644"/>
      <c r="FH68" s="13"/>
      <c r="FI68" s="644"/>
      <c r="FJ68" s="13"/>
      <c r="FK68" s="644"/>
      <c r="FL68" s="811">
        <v>0</v>
      </c>
      <c r="FM68" s="644"/>
      <c r="FN68" s="13"/>
      <c r="FO68" s="644"/>
      <c r="FP68" s="13"/>
      <c r="FQ68" s="644"/>
      <c r="FR68" s="644"/>
      <c r="FS68" s="644"/>
      <c r="FT68" s="644"/>
      <c r="FU68" s="644"/>
      <c r="FV68" s="644"/>
      <c r="FW68" s="644"/>
      <c r="FX68" s="13" t="s">
        <v>465</v>
      </c>
      <c r="FY68" s="644"/>
      <c r="FZ68" s="644"/>
      <c r="GA68" s="644"/>
      <c r="GB68" s="13"/>
      <c r="GC68" s="644"/>
      <c r="GD68" s="13" t="s">
        <v>2499</v>
      </c>
      <c r="GE68" s="644"/>
      <c r="GF68" s="715" t="s">
        <v>465</v>
      </c>
      <c r="GG68" s="644"/>
      <c r="GH68" s="13">
        <v>0</v>
      </c>
      <c r="GI68" s="644"/>
      <c r="GJ68" s="811">
        <v>0</v>
      </c>
      <c r="GK68" s="644"/>
      <c r="GL68" s="13"/>
      <c r="GM68" s="644"/>
      <c r="GN68" s="13"/>
      <c r="GO68" s="644"/>
      <c r="GP68" s="13">
        <v>0</v>
      </c>
      <c r="GQ68" s="644"/>
      <c r="GR68" s="13"/>
      <c r="GS68" s="644"/>
      <c r="GT68" s="13"/>
      <c r="GU68" s="644"/>
      <c r="GV68" s="13"/>
      <c r="GW68" s="644"/>
      <c r="GX68" s="13"/>
      <c r="GY68" s="644"/>
      <c r="GZ68" s="13"/>
      <c r="HA68" s="644"/>
      <c r="HB68" s="13"/>
      <c r="HC68" s="644"/>
      <c r="HD68" s="13"/>
      <c r="HE68" s="644"/>
      <c r="HF68" s="13"/>
      <c r="HG68" s="644"/>
      <c r="HH68" s="13" t="s">
        <v>465</v>
      </c>
      <c r="HI68" s="644"/>
      <c r="HJ68" s="644"/>
      <c r="HK68" s="644"/>
      <c r="HL68" s="13">
        <v>0</v>
      </c>
      <c r="HM68" s="644"/>
      <c r="HN68" s="13" t="s">
        <v>465</v>
      </c>
      <c r="HO68" s="644"/>
      <c r="HP68" s="13"/>
      <c r="HQ68" s="644"/>
      <c r="HR68" s="13"/>
      <c r="HS68" s="644"/>
      <c r="HT68" s="711">
        <v>2</v>
      </c>
      <c r="HU68" s="644"/>
      <c r="HV68" s="13"/>
      <c r="HW68" s="644"/>
      <c r="HX68" s="13"/>
      <c r="HY68" s="644"/>
      <c r="HZ68" s="13"/>
      <c r="IA68" s="644"/>
      <c r="IB68" s="644"/>
      <c r="IC68" s="644"/>
      <c r="ID68" s="13">
        <v>0</v>
      </c>
      <c r="IE68" s="644"/>
      <c r="IF68" s="13">
        <v>0</v>
      </c>
      <c r="IG68" s="756"/>
      <c r="IH68" s="13"/>
      <c r="II68" s="644"/>
      <c r="IJ68" s="644"/>
      <c r="IK68" s="644"/>
      <c r="IL68" s="711">
        <v>0</v>
      </c>
      <c r="IM68" s="644"/>
      <c r="IN68" s="712">
        <v>0</v>
      </c>
      <c r="IO68" s="644"/>
      <c r="IP68" s="13"/>
      <c r="IQ68" s="644"/>
      <c r="IR68" s="13"/>
      <c r="IS68" s="644"/>
      <c r="IT68" s="13">
        <v>0</v>
      </c>
      <c r="IU68" s="644"/>
      <c r="IV68" s="13">
        <v>3</v>
      </c>
      <c r="IW68" s="644"/>
      <c r="IX68" s="710"/>
      <c r="IY68" s="644"/>
      <c r="IZ68" s="13"/>
      <c r="JA68" s="644"/>
      <c r="JB68" s="13"/>
      <c r="JC68" s="644"/>
      <c r="JD68" s="13">
        <v>1</v>
      </c>
      <c r="JE68" s="644"/>
      <c r="JF68" s="644"/>
      <c r="JG68" s="644"/>
      <c r="JH68" s="13"/>
      <c r="JI68" s="644"/>
      <c r="JJ68" s="644"/>
      <c r="JK68" s="644"/>
      <c r="JL68" s="644"/>
      <c r="JM68" s="644"/>
      <c r="JN68" s="13">
        <v>0</v>
      </c>
      <c r="JO68" s="644"/>
      <c r="JP68" s="644"/>
      <c r="JQ68" s="644"/>
      <c r="JR68" s="713">
        <v>0</v>
      </c>
      <c r="JS68" s="644"/>
      <c r="JT68" s="13" t="s">
        <v>465</v>
      </c>
      <c r="JU68" s="644"/>
      <c r="JV68" s="13"/>
      <c r="JW68" s="644"/>
      <c r="JX68" s="13">
        <v>0</v>
      </c>
      <c r="JY68" s="644"/>
    </row>
    <row r="69" spans="1:285" ht="29.25" customHeight="1" x14ac:dyDescent="0.2">
      <c r="A69" s="1565"/>
      <c r="B69" s="1580"/>
      <c r="C69" s="82" t="s">
        <v>128</v>
      </c>
      <c r="D69" s="83" t="s">
        <v>36</v>
      </c>
      <c r="E69" s="813" t="s">
        <v>53</v>
      </c>
      <c r="F69" s="13">
        <v>0</v>
      </c>
      <c r="G69" s="756"/>
      <c r="H69" s="13"/>
      <c r="I69" s="644"/>
      <c r="J69" s="13" t="s">
        <v>465</v>
      </c>
      <c r="K69" s="644"/>
      <c r="L69" s="13"/>
      <c r="M69" s="644"/>
      <c r="N69" s="808"/>
      <c r="O69" s="644"/>
      <c r="P69" s="709"/>
      <c r="Q69" s="644"/>
      <c r="R69" s="13"/>
      <c r="S69" s="644"/>
      <c r="T69" s="644"/>
      <c r="U69" s="644"/>
      <c r="V69" s="644"/>
      <c r="W69" s="644"/>
      <c r="X69" s="644"/>
      <c r="Y69" s="644"/>
      <c r="Z69" s="13">
        <v>40</v>
      </c>
      <c r="AA69" s="644"/>
      <c r="AB69" s="13">
        <v>9</v>
      </c>
      <c r="AC69" s="644"/>
      <c r="AD69" s="13">
        <v>0</v>
      </c>
      <c r="AE69" s="644"/>
      <c r="AF69" s="644"/>
      <c r="AG69" s="644"/>
      <c r="AH69" s="644"/>
      <c r="AI69" s="644"/>
      <c r="AJ69" s="709">
        <v>0</v>
      </c>
      <c r="AK69" s="644"/>
      <c r="AL69" s="13"/>
      <c r="AM69" s="644"/>
      <c r="AN69" s="13"/>
      <c r="AO69" s="644"/>
      <c r="AP69" s="13"/>
      <c r="AQ69" s="644"/>
      <c r="AR69" s="13"/>
      <c r="AS69" s="644"/>
      <c r="AT69" s="13"/>
      <c r="AU69" s="644"/>
      <c r="AV69" s="808"/>
      <c r="AW69" s="644"/>
      <c r="AX69" s="13">
        <v>0</v>
      </c>
      <c r="AY69" s="644"/>
      <c r="AZ69" s="13"/>
      <c r="BA69" s="644"/>
      <c r="BB69" s="644"/>
      <c r="BC69" s="644"/>
      <c r="BD69" s="5"/>
      <c r="BE69" s="644"/>
      <c r="BF69" s="13"/>
      <c r="BG69" s="644"/>
      <c r="BH69" s="644"/>
      <c r="BI69" s="644"/>
      <c r="BJ69" s="13"/>
      <c r="BK69" s="644"/>
      <c r="BL69" s="13"/>
      <c r="BM69" s="644"/>
      <c r="BN69" s="13"/>
      <c r="BO69" s="644"/>
      <c r="BP69" s="710">
        <v>245</v>
      </c>
      <c r="BQ69" s="644"/>
      <c r="BR69" s="13"/>
      <c r="BS69" s="644"/>
      <c r="BT69" s="13" t="s">
        <v>701</v>
      </c>
      <c r="BU69" s="644"/>
      <c r="BV69" s="13"/>
      <c r="BW69" s="644"/>
      <c r="BX69" s="710"/>
      <c r="BY69" s="644"/>
      <c r="BZ69" s="13"/>
      <c r="CA69" s="644"/>
      <c r="CB69" s="13"/>
      <c r="CC69" s="644"/>
      <c r="CD69" s="644"/>
      <c r="CE69" s="644"/>
      <c r="CF69" s="644"/>
      <c r="CG69" s="644"/>
      <c r="CH69" s="710">
        <v>3</v>
      </c>
      <c r="CI69" s="13"/>
      <c r="CJ69" s="13"/>
      <c r="CK69" s="13"/>
      <c r="CL69" s="13">
        <v>0</v>
      </c>
      <c r="CM69" s="644"/>
      <c r="CN69" s="13"/>
      <c r="CO69" s="644"/>
      <c r="CP69" s="13">
        <v>2</v>
      </c>
      <c r="CQ69" s="644"/>
      <c r="CR69" s="13"/>
      <c r="CS69" s="644"/>
      <c r="CT69" s="13">
        <v>22</v>
      </c>
      <c r="CU69" s="644"/>
      <c r="CV69" s="13">
        <v>0</v>
      </c>
      <c r="CW69" s="644"/>
      <c r="CX69" s="13">
        <v>0</v>
      </c>
      <c r="CY69" s="644"/>
      <c r="CZ69" s="13">
        <v>0</v>
      </c>
      <c r="DA69" s="644"/>
      <c r="DB69" s="13">
        <v>0</v>
      </c>
      <c r="DC69" s="644"/>
      <c r="DD69" s="13"/>
      <c r="DE69" s="644"/>
      <c r="DF69" s="644"/>
      <c r="DG69" s="644"/>
      <c r="DH69" s="13"/>
      <c r="DI69" s="644"/>
      <c r="DJ69" s="809">
        <v>0</v>
      </c>
      <c r="DK69" s="644"/>
      <c r="DL69" s="644"/>
      <c r="DM69" s="644"/>
      <c r="DN69" s="13">
        <v>0</v>
      </c>
      <c r="DO69" s="644"/>
      <c r="DP69" s="644"/>
      <c r="DQ69" s="644"/>
      <c r="DR69" s="644"/>
      <c r="DS69" s="644"/>
      <c r="DT69" s="644"/>
      <c r="DU69" s="644"/>
      <c r="DV69" s="13">
        <v>2</v>
      </c>
      <c r="DW69" s="644"/>
      <c r="DX69" s="13">
        <v>0</v>
      </c>
      <c r="DY69" s="644"/>
      <c r="DZ69" s="703" t="s">
        <v>465</v>
      </c>
      <c r="EA69" s="644"/>
      <c r="EB69" s="644"/>
      <c r="EC69" s="644"/>
      <c r="ED69" s="644"/>
      <c r="EE69" s="644"/>
      <c r="EF69" s="13">
        <v>0</v>
      </c>
      <c r="EG69" s="644"/>
      <c r="EH69" s="13">
        <v>0</v>
      </c>
      <c r="EI69" s="644"/>
      <c r="EJ69" s="644"/>
      <c r="EK69" s="644"/>
      <c r="EL69" s="644"/>
      <c r="EM69" s="644"/>
      <c r="EN69" s="13">
        <v>0</v>
      </c>
      <c r="EO69" s="644"/>
      <c r="EP69" s="13">
        <v>1</v>
      </c>
      <c r="EQ69" s="644"/>
      <c r="ER69" s="644"/>
      <c r="ES69" s="644"/>
      <c r="ET69" s="13">
        <v>4</v>
      </c>
      <c r="EU69" s="644"/>
      <c r="EV69" s="13">
        <v>0</v>
      </c>
      <c r="EW69" s="644"/>
      <c r="EX69" s="13" t="s">
        <v>465</v>
      </c>
      <c r="EY69" s="644"/>
      <c r="EZ69" s="13">
        <v>0</v>
      </c>
      <c r="FA69" s="644"/>
      <c r="FB69" s="13">
        <v>0</v>
      </c>
      <c r="FC69" s="644"/>
      <c r="FD69" s="13" t="s">
        <v>465</v>
      </c>
      <c r="FE69" s="644"/>
      <c r="FF69" s="13">
        <v>0</v>
      </c>
      <c r="FG69" s="644"/>
      <c r="FH69" s="13"/>
      <c r="FI69" s="644"/>
      <c r="FJ69" s="13"/>
      <c r="FK69" s="644"/>
      <c r="FL69" s="811">
        <v>3</v>
      </c>
      <c r="FM69" s="644"/>
      <c r="FN69" s="13"/>
      <c r="FO69" s="644"/>
      <c r="FP69" s="13">
        <v>10</v>
      </c>
      <c r="FQ69" s="644"/>
      <c r="FR69" s="644"/>
      <c r="FS69" s="644"/>
      <c r="FT69" s="644"/>
      <c r="FU69" s="644"/>
      <c r="FV69" s="644"/>
      <c r="FW69" s="644"/>
      <c r="FX69" s="13" t="s">
        <v>465</v>
      </c>
      <c r="FY69" s="644"/>
      <c r="FZ69" s="644"/>
      <c r="GA69" s="644"/>
      <c r="GB69" s="13"/>
      <c r="GC69" s="644"/>
      <c r="GD69" s="13" t="s">
        <v>2499</v>
      </c>
      <c r="GE69" s="644"/>
      <c r="GF69" s="665" t="s">
        <v>465</v>
      </c>
      <c r="GG69" s="644"/>
      <c r="GH69" s="13">
        <v>0</v>
      </c>
      <c r="GI69" s="644"/>
      <c r="GJ69" s="811">
        <v>6</v>
      </c>
      <c r="GK69" s="644"/>
      <c r="GL69" s="13"/>
      <c r="GM69" s="644"/>
      <c r="GN69" s="13"/>
      <c r="GO69" s="644"/>
      <c r="GP69" s="13">
        <v>0</v>
      </c>
      <c r="GQ69" s="644"/>
      <c r="GR69" s="13"/>
      <c r="GS69" s="644"/>
      <c r="GT69" s="13">
        <v>14</v>
      </c>
      <c r="GU69" s="644"/>
      <c r="GV69" s="13">
        <v>1</v>
      </c>
      <c r="GW69" s="644"/>
      <c r="GX69" s="13"/>
      <c r="GY69" s="644"/>
      <c r="GZ69" s="13"/>
      <c r="HA69" s="644"/>
      <c r="HB69" s="13"/>
      <c r="HC69" s="644"/>
      <c r="HD69" s="13"/>
      <c r="HE69" s="644"/>
      <c r="HF69" s="13"/>
      <c r="HG69" s="644"/>
      <c r="HH69" s="13" t="s">
        <v>465</v>
      </c>
      <c r="HI69" s="644"/>
      <c r="HJ69" s="644"/>
      <c r="HK69" s="644"/>
      <c r="HL69" s="13">
        <v>0</v>
      </c>
      <c r="HM69" s="644"/>
      <c r="HN69" s="13" t="s">
        <v>465</v>
      </c>
      <c r="HO69" s="644"/>
      <c r="HP69" s="13"/>
      <c r="HQ69" s="644"/>
      <c r="HR69" s="13"/>
      <c r="HS69" s="644"/>
      <c r="HT69" s="711">
        <v>5</v>
      </c>
      <c r="HU69" s="644"/>
      <c r="HV69" s="13"/>
      <c r="HW69" s="644"/>
      <c r="HX69" s="13"/>
      <c r="HY69" s="644"/>
      <c r="HZ69" s="13"/>
      <c r="IA69" s="644"/>
      <c r="IB69" s="644"/>
      <c r="IC69" s="644"/>
      <c r="ID69" s="13">
        <v>14</v>
      </c>
      <c r="IE69" s="644"/>
      <c r="IF69" s="13">
        <v>0</v>
      </c>
      <c r="IG69" s="756"/>
      <c r="IH69" s="13"/>
      <c r="II69" s="644"/>
      <c r="IJ69" s="644"/>
      <c r="IK69" s="644"/>
      <c r="IL69" s="711">
        <v>0</v>
      </c>
      <c r="IM69" s="644"/>
      <c r="IN69" s="712">
        <v>0</v>
      </c>
      <c r="IO69" s="644"/>
      <c r="IP69" s="13">
        <v>1</v>
      </c>
      <c r="IQ69" s="644"/>
      <c r="IR69" s="13"/>
      <c r="IS69" s="644"/>
      <c r="IT69" s="13">
        <v>0</v>
      </c>
      <c r="IU69" s="644"/>
      <c r="IV69" s="13">
        <v>0</v>
      </c>
      <c r="IW69" s="644"/>
      <c r="IX69" s="710"/>
      <c r="IY69" s="644"/>
      <c r="IZ69" s="13">
        <v>1</v>
      </c>
      <c r="JA69" s="644"/>
      <c r="JB69" s="13"/>
      <c r="JC69" s="644"/>
      <c r="JD69" s="13">
        <v>0</v>
      </c>
      <c r="JE69" s="644"/>
      <c r="JF69" s="644"/>
      <c r="JG69" s="644"/>
      <c r="JH69" s="13"/>
      <c r="JI69" s="644"/>
      <c r="JJ69" s="644"/>
      <c r="JK69" s="644"/>
      <c r="JL69" s="644"/>
      <c r="JM69" s="644"/>
      <c r="JN69" s="13">
        <v>10</v>
      </c>
      <c r="JO69" s="644"/>
      <c r="JP69" s="644"/>
      <c r="JQ69" s="644"/>
      <c r="JR69" s="713">
        <v>0</v>
      </c>
      <c r="JS69" s="644"/>
      <c r="JT69" s="13" t="s">
        <v>465</v>
      </c>
      <c r="JU69" s="644"/>
      <c r="JV69" s="13"/>
      <c r="JW69" s="644"/>
      <c r="JX69" s="13">
        <v>17</v>
      </c>
      <c r="JY69" s="644"/>
    </row>
    <row r="70" spans="1:285" ht="29.25" customHeight="1" x14ac:dyDescent="0.2">
      <c r="A70" s="1565"/>
      <c r="B70" s="1580"/>
      <c r="C70" s="82" t="s">
        <v>129</v>
      </c>
      <c r="D70" s="83" t="s">
        <v>38</v>
      </c>
      <c r="E70" s="813" t="s">
        <v>53</v>
      </c>
      <c r="F70" s="13">
        <v>0</v>
      </c>
      <c r="G70" s="756"/>
      <c r="H70" s="13"/>
      <c r="I70" s="644"/>
      <c r="J70" s="13" t="s">
        <v>465</v>
      </c>
      <c r="K70" s="644"/>
      <c r="L70" s="13"/>
      <c r="M70" s="644"/>
      <c r="N70" s="808"/>
      <c r="O70" s="644"/>
      <c r="P70" s="709"/>
      <c r="Q70" s="644"/>
      <c r="R70" s="13"/>
      <c r="S70" s="644"/>
      <c r="T70" s="644"/>
      <c r="U70" s="644"/>
      <c r="V70" s="644"/>
      <c r="W70" s="644"/>
      <c r="X70" s="644"/>
      <c r="Y70" s="644"/>
      <c r="Z70" s="13">
        <v>0</v>
      </c>
      <c r="AA70" s="644"/>
      <c r="AB70" s="13">
        <v>0</v>
      </c>
      <c r="AC70" s="644"/>
      <c r="AD70" s="13">
        <v>0</v>
      </c>
      <c r="AE70" s="644"/>
      <c r="AF70" s="644"/>
      <c r="AG70" s="644"/>
      <c r="AH70" s="644"/>
      <c r="AI70" s="644"/>
      <c r="AJ70" s="709">
        <v>0</v>
      </c>
      <c r="AK70" s="644"/>
      <c r="AL70" s="13"/>
      <c r="AM70" s="644"/>
      <c r="AN70" s="13"/>
      <c r="AO70" s="644"/>
      <c r="AP70" s="13"/>
      <c r="AQ70" s="644"/>
      <c r="AR70" s="13"/>
      <c r="AS70" s="644"/>
      <c r="AT70" s="13"/>
      <c r="AU70" s="644"/>
      <c r="AV70" s="808"/>
      <c r="AW70" s="644"/>
      <c r="AX70" s="13">
        <v>0</v>
      </c>
      <c r="AY70" s="644"/>
      <c r="AZ70" s="13"/>
      <c r="BA70" s="644"/>
      <c r="BB70" s="644"/>
      <c r="BC70" s="644"/>
      <c r="BD70" s="5"/>
      <c r="BE70" s="644"/>
      <c r="BF70" s="13"/>
      <c r="BG70" s="644"/>
      <c r="BH70" s="644"/>
      <c r="BI70" s="644"/>
      <c r="BJ70" s="13"/>
      <c r="BK70" s="644"/>
      <c r="BL70" s="13"/>
      <c r="BM70" s="644"/>
      <c r="BN70" s="13"/>
      <c r="BO70" s="644"/>
      <c r="BP70" s="710"/>
      <c r="BQ70" s="644"/>
      <c r="BR70" s="13"/>
      <c r="BS70" s="644"/>
      <c r="BT70" s="13" t="s">
        <v>701</v>
      </c>
      <c r="BU70" s="644"/>
      <c r="BV70" s="13"/>
      <c r="BW70" s="644"/>
      <c r="BX70" s="710"/>
      <c r="BY70" s="644"/>
      <c r="BZ70" s="13"/>
      <c r="CA70" s="644"/>
      <c r="CB70" s="13"/>
      <c r="CC70" s="644"/>
      <c r="CD70" s="644"/>
      <c r="CE70" s="644"/>
      <c r="CF70" s="644"/>
      <c r="CG70" s="644"/>
      <c r="CH70" s="710">
        <v>0</v>
      </c>
      <c r="CI70" s="13"/>
      <c r="CJ70" s="13"/>
      <c r="CK70" s="13"/>
      <c r="CL70" s="13">
        <v>0</v>
      </c>
      <c r="CM70" s="644"/>
      <c r="CN70" s="13"/>
      <c r="CO70" s="644"/>
      <c r="CP70" s="13"/>
      <c r="CQ70" s="644"/>
      <c r="CR70" s="13"/>
      <c r="CS70" s="644"/>
      <c r="CT70" s="13">
        <v>0</v>
      </c>
      <c r="CU70" s="644"/>
      <c r="CV70" s="13">
        <v>0</v>
      </c>
      <c r="CW70" s="644"/>
      <c r="CX70" s="13">
        <v>0</v>
      </c>
      <c r="CY70" s="644"/>
      <c r="CZ70" s="13">
        <v>0</v>
      </c>
      <c r="DA70" s="644"/>
      <c r="DB70" s="13">
        <v>0</v>
      </c>
      <c r="DC70" s="644"/>
      <c r="DD70" s="13"/>
      <c r="DE70" s="644"/>
      <c r="DF70" s="644"/>
      <c r="DG70" s="644"/>
      <c r="DH70" s="13"/>
      <c r="DI70" s="644"/>
      <c r="DJ70" s="809">
        <v>0</v>
      </c>
      <c r="DK70" s="644"/>
      <c r="DL70" s="644"/>
      <c r="DM70" s="644"/>
      <c r="DN70" s="13">
        <v>0</v>
      </c>
      <c r="DO70" s="644"/>
      <c r="DP70" s="644"/>
      <c r="DQ70" s="644"/>
      <c r="DR70" s="644"/>
      <c r="DS70" s="644"/>
      <c r="DT70" s="644"/>
      <c r="DU70" s="644"/>
      <c r="DV70" s="13">
        <v>0</v>
      </c>
      <c r="DW70" s="644"/>
      <c r="DX70" s="13">
        <v>0</v>
      </c>
      <c r="DY70" s="644"/>
      <c r="DZ70" s="703" t="s">
        <v>465</v>
      </c>
      <c r="EA70" s="644"/>
      <c r="EB70" s="644"/>
      <c r="EC70" s="644"/>
      <c r="ED70" s="644"/>
      <c r="EE70" s="644"/>
      <c r="EF70" s="13">
        <v>0</v>
      </c>
      <c r="EG70" s="644"/>
      <c r="EH70" s="13">
        <v>0</v>
      </c>
      <c r="EI70" s="644"/>
      <c r="EJ70" s="644"/>
      <c r="EK70" s="644"/>
      <c r="EL70" s="644"/>
      <c r="EM70" s="644"/>
      <c r="EN70" s="13">
        <v>0</v>
      </c>
      <c r="EO70" s="644"/>
      <c r="EP70" s="13">
        <v>1</v>
      </c>
      <c r="EQ70" s="644"/>
      <c r="ER70" s="644"/>
      <c r="ES70" s="644"/>
      <c r="ET70" s="13">
        <v>1</v>
      </c>
      <c r="EU70" s="644"/>
      <c r="EV70" s="13">
        <v>0</v>
      </c>
      <c r="EW70" s="644"/>
      <c r="EX70" s="13" t="s">
        <v>465</v>
      </c>
      <c r="EY70" s="644"/>
      <c r="EZ70" s="13">
        <v>0</v>
      </c>
      <c r="FA70" s="644"/>
      <c r="FB70" s="13">
        <v>0</v>
      </c>
      <c r="FC70" s="644"/>
      <c r="FD70" s="13" t="s">
        <v>465</v>
      </c>
      <c r="FE70" s="644"/>
      <c r="FF70" s="13">
        <v>0</v>
      </c>
      <c r="FG70" s="644"/>
      <c r="FH70" s="13"/>
      <c r="FI70" s="644"/>
      <c r="FJ70" s="13"/>
      <c r="FK70" s="644"/>
      <c r="FL70" s="811">
        <v>0</v>
      </c>
      <c r="FM70" s="644"/>
      <c r="FN70" s="13"/>
      <c r="FO70" s="644"/>
      <c r="FP70" s="13"/>
      <c r="FQ70" s="644"/>
      <c r="FR70" s="644"/>
      <c r="FS70" s="644"/>
      <c r="FT70" s="644"/>
      <c r="FU70" s="644"/>
      <c r="FV70" s="644"/>
      <c r="FW70" s="644"/>
      <c r="FX70" s="13" t="s">
        <v>465</v>
      </c>
      <c r="FY70" s="644"/>
      <c r="FZ70" s="644"/>
      <c r="GA70" s="644"/>
      <c r="GB70" s="13"/>
      <c r="GC70" s="644"/>
      <c r="GD70" s="13">
        <v>1</v>
      </c>
      <c r="GE70" s="644"/>
      <c r="GF70" s="5" t="s">
        <v>465</v>
      </c>
      <c r="GG70" s="644"/>
      <c r="GH70" s="13">
        <v>0</v>
      </c>
      <c r="GI70" s="644"/>
      <c r="GJ70" s="811">
        <v>0</v>
      </c>
      <c r="GK70" s="644"/>
      <c r="GL70" s="13"/>
      <c r="GM70" s="644"/>
      <c r="GN70" s="13">
        <f>1+1+1</f>
        <v>3</v>
      </c>
      <c r="GO70" s="644"/>
      <c r="GP70" s="13">
        <v>0</v>
      </c>
      <c r="GQ70" s="644"/>
      <c r="GR70" s="13"/>
      <c r="GS70" s="644"/>
      <c r="GT70" s="13"/>
      <c r="GU70" s="644"/>
      <c r="GV70" s="13"/>
      <c r="GW70" s="644"/>
      <c r="GX70" s="13"/>
      <c r="GY70" s="644"/>
      <c r="GZ70" s="13"/>
      <c r="HA70" s="644"/>
      <c r="HB70" s="13"/>
      <c r="HC70" s="644"/>
      <c r="HD70" s="13"/>
      <c r="HE70" s="644"/>
      <c r="HF70" s="13"/>
      <c r="HG70" s="644"/>
      <c r="HH70" s="13" t="s">
        <v>465</v>
      </c>
      <c r="HI70" s="644"/>
      <c r="HJ70" s="644"/>
      <c r="HK70" s="644"/>
      <c r="HL70" s="13">
        <v>0</v>
      </c>
      <c r="HM70" s="644"/>
      <c r="HN70" s="13" t="s">
        <v>465</v>
      </c>
      <c r="HO70" s="644"/>
      <c r="HP70" s="13"/>
      <c r="HQ70" s="644"/>
      <c r="HR70" s="13"/>
      <c r="HS70" s="644"/>
      <c r="HT70" s="711" t="s">
        <v>702</v>
      </c>
      <c r="HU70" s="644"/>
      <c r="HV70" s="13"/>
      <c r="HW70" s="644"/>
      <c r="HX70" s="13"/>
      <c r="HY70" s="644"/>
      <c r="HZ70" s="13">
        <v>24</v>
      </c>
      <c r="IA70" s="644"/>
      <c r="IB70" s="644"/>
      <c r="IC70" s="644"/>
      <c r="ID70" s="13">
        <v>0</v>
      </c>
      <c r="IE70" s="644"/>
      <c r="IF70" s="13">
        <v>0</v>
      </c>
      <c r="IG70" s="756"/>
      <c r="IH70" s="13"/>
      <c r="II70" s="644"/>
      <c r="IJ70" s="644"/>
      <c r="IK70" s="644"/>
      <c r="IL70" s="711">
        <v>0</v>
      </c>
      <c r="IM70" s="644"/>
      <c r="IN70" s="712">
        <v>0</v>
      </c>
      <c r="IO70" s="644"/>
      <c r="IP70" s="13"/>
      <c r="IQ70" s="644"/>
      <c r="IR70" s="13"/>
      <c r="IS70" s="644"/>
      <c r="IT70" s="13">
        <v>0</v>
      </c>
      <c r="IU70" s="644"/>
      <c r="IV70" s="13">
        <v>0</v>
      </c>
      <c r="IW70" s="644"/>
      <c r="IX70" s="710"/>
      <c r="IY70" s="644"/>
      <c r="IZ70" s="13"/>
      <c r="JA70" s="644"/>
      <c r="JB70" s="13"/>
      <c r="JC70" s="644"/>
      <c r="JD70" s="13">
        <v>0</v>
      </c>
      <c r="JE70" s="644"/>
      <c r="JF70" s="644"/>
      <c r="JG70" s="644"/>
      <c r="JH70" s="13"/>
      <c r="JI70" s="644"/>
      <c r="JJ70" s="644"/>
      <c r="JK70" s="644"/>
      <c r="JL70" s="644"/>
      <c r="JM70" s="644"/>
      <c r="JN70" s="13">
        <v>0</v>
      </c>
      <c r="JO70" s="644"/>
      <c r="JP70" s="644"/>
      <c r="JQ70" s="644"/>
      <c r="JR70" s="713">
        <v>0</v>
      </c>
      <c r="JS70" s="644"/>
      <c r="JT70" s="13" t="s">
        <v>465</v>
      </c>
      <c r="JU70" s="644"/>
      <c r="JV70" s="13"/>
      <c r="JW70" s="644"/>
      <c r="JX70" s="13">
        <v>1</v>
      </c>
      <c r="JY70" s="644"/>
    </row>
    <row r="71" spans="1:285" ht="29.25" customHeight="1" x14ac:dyDescent="0.2">
      <c r="A71" s="1565"/>
      <c r="B71" s="1580"/>
      <c r="C71" s="82" t="s">
        <v>130</v>
      </c>
      <c r="D71" s="83" t="s">
        <v>226</v>
      </c>
      <c r="E71" s="813" t="s">
        <v>53</v>
      </c>
      <c r="F71" s="13">
        <v>0</v>
      </c>
      <c r="G71" s="756"/>
      <c r="H71" s="13"/>
      <c r="I71" s="644"/>
      <c r="J71" s="13" t="s">
        <v>465</v>
      </c>
      <c r="K71" s="644"/>
      <c r="L71" s="13"/>
      <c r="M71" s="644"/>
      <c r="N71" s="808"/>
      <c r="O71" s="644"/>
      <c r="P71" s="709">
        <v>17</v>
      </c>
      <c r="Q71" s="644"/>
      <c r="R71" s="13"/>
      <c r="S71" s="644"/>
      <c r="T71" s="644"/>
      <c r="U71" s="644"/>
      <c r="V71" s="644"/>
      <c r="W71" s="644"/>
      <c r="X71" s="644"/>
      <c r="Y71" s="644"/>
      <c r="Z71" s="13">
        <v>0</v>
      </c>
      <c r="AA71" s="644"/>
      <c r="AB71" s="13">
        <v>0</v>
      </c>
      <c r="AC71" s="644"/>
      <c r="AD71" s="13">
        <v>0</v>
      </c>
      <c r="AE71" s="644"/>
      <c r="AF71" s="644"/>
      <c r="AG71" s="644"/>
      <c r="AH71" s="644"/>
      <c r="AI71" s="644"/>
      <c r="AJ71" s="709">
        <v>0</v>
      </c>
      <c r="AK71" s="644"/>
      <c r="AL71" s="13"/>
      <c r="AM71" s="644"/>
      <c r="AN71" s="13"/>
      <c r="AO71" s="644"/>
      <c r="AP71" s="13"/>
      <c r="AQ71" s="644"/>
      <c r="AR71" s="13"/>
      <c r="AS71" s="644"/>
      <c r="AT71" s="13"/>
      <c r="AU71" s="644"/>
      <c r="AV71" s="808"/>
      <c r="AW71" s="644"/>
      <c r="AX71" s="13">
        <v>0</v>
      </c>
      <c r="AY71" s="644"/>
      <c r="AZ71" s="13"/>
      <c r="BA71" s="644"/>
      <c r="BB71" s="644"/>
      <c r="BC71" s="644"/>
      <c r="BD71" s="5"/>
      <c r="BE71" s="644"/>
      <c r="BF71" s="13"/>
      <c r="BG71" s="644"/>
      <c r="BH71" s="644"/>
      <c r="BI71" s="644"/>
      <c r="BJ71" s="13"/>
      <c r="BK71" s="644"/>
      <c r="BL71" s="13"/>
      <c r="BM71" s="644"/>
      <c r="BN71" s="13"/>
      <c r="BO71" s="644"/>
      <c r="BP71" s="710"/>
      <c r="BQ71" s="644"/>
      <c r="BR71" s="13"/>
      <c r="BS71" s="644"/>
      <c r="BT71" s="13" t="s">
        <v>701</v>
      </c>
      <c r="BU71" s="644"/>
      <c r="BV71" s="13"/>
      <c r="BW71" s="644"/>
      <c r="BX71" s="710"/>
      <c r="BY71" s="644"/>
      <c r="BZ71" s="13"/>
      <c r="CA71" s="644"/>
      <c r="CB71" s="13"/>
      <c r="CC71" s="644"/>
      <c r="CD71" s="644"/>
      <c r="CE71" s="644"/>
      <c r="CF71" s="644"/>
      <c r="CG71" s="644"/>
      <c r="CH71" s="710">
        <v>0</v>
      </c>
      <c r="CI71" s="13"/>
      <c r="CJ71" s="13"/>
      <c r="CK71" s="13"/>
      <c r="CL71" s="13">
        <v>0</v>
      </c>
      <c r="CM71" s="644"/>
      <c r="CN71" s="13"/>
      <c r="CO71" s="644"/>
      <c r="CP71" s="13"/>
      <c r="CQ71" s="644"/>
      <c r="CR71" s="13"/>
      <c r="CS71" s="644"/>
      <c r="CT71" s="13">
        <v>19</v>
      </c>
      <c r="CU71" s="644"/>
      <c r="CV71" s="13">
        <v>0</v>
      </c>
      <c r="CW71" s="644"/>
      <c r="CX71" s="13">
        <v>29</v>
      </c>
      <c r="CY71" s="644"/>
      <c r="CZ71" s="13">
        <v>0</v>
      </c>
      <c r="DA71" s="644"/>
      <c r="DB71" s="13">
        <v>0</v>
      </c>
      <c r="DC71" s="644"/>
      <c r="DD71" s="13"/>
      <c r="DE71" s="644"/>
      <c r="DF71" s="644"/>
      <c r="DG71" s="644"/>
      <c r="DH71" s="13"/>
      <c r="DI71" s="644"/>
      <c r="DJ71" s="809">
        <v>0</v>
      </c>
      <c r="DK71" s="644"/>
      <c r="DL71" s="644"/>
      <c r="DM71" s="644"/>
      <c r="DN71" s="13">
        <v>0</v>
      </c>
      <c r="DO71" s="644"/>
      <c r="DP71" s="644"/>
      <c r="DQ71" s="644"/>
      <c r="DR71" s="644"/>
      <c r="DS71" s="644"/>
      <c r="DT71" s="644"/>
      <c r="DU71" s="644"/>
      <c r="DV71" s="13">
        <v>0</v>
      </c>
      <c r="DW71" s="644"/>
      <c r="DX71" s="13">
        <v>0</v>
      </c>
      <c r="DY71" s="644"/>
      <c r="DZ71" s="703" t="s">
        <v>465</v>
      </c>
      <c r="EA71" s="644"/>
      <c r="EB71" s="644"/>
      <c r="EC71" s="644"/>
      <c r="ED71" s="644"/>
      <c r="EE71" s="644"/>
      <c r="EF71" s="13">
        <v>0</v>
      </c>
      <c r="EG71" s="644"/>
      <c r="EH71" s="13">
        <v>0</v>
      </c>
      <c r="EI71" s="644"/>
      <c r="EJ71" s="644"/>
      <c r="EK71" s="644"/>
      <c r="EL71" s="644"/>
      <c r="EM71" s="644"/>
      <c r="EN71" s="13">
        <v>0</v>
      </c>
      <c r="EO71" s="644"/>
      <c r="EP71" s="13">
        <v>0</v>
      </c>
      <c r="EQ71" s="644"/>
      <c r="ER71" s="644"/>
      <c r="ES71" s="644"/>
      <c r="ET71" s="13"/>
      <c r="EU71" s="644"/>
      <c r="EV71" s="13">
        <v>0</v>
      </c>
      <c r="EW71" s="644"/>
      <c r="EX71" s="13" t="s">
        <v>465</v>
      </c>
      <c r="EY71" s="644"/>
      <c r="EZ71" s="13">
        <v>0</v>
      </c>
      <c r="FA71" s="644"/>
      <c r="FB71" s="13">
        <v>0</v>
      </c>
      <c r="FC71" s="644"/>
      <c r="FD71" s="13" t="s">
        <v>465</v>
      </c>
      <c r="FE71" s="644"/>
      <c r="FF71" s="13">
        <v>0</v>
      </c>
      <c r="FG71" s="644"/>
      <c r="FH71" s="13"/>
      <c r="FI71" s="644"/>
      <c r="FJ71" s="13"/>
      <c r="FK71" s="644"/>
      <c r="FL71" s="811">
        <v>0</v>
      </c>
      <c r="FM71" s="644"/>
      <c r="FN71" s="13"/>
      <c r="FO71" s="644"/>
      <c r="FP71" s="13"/>
      <c r="FQ71" s="644"/>
      <c r="FR71" s="644"/>
      <c r="FS71" s="644"/>
      <c r="FT71" s="644"/>
      <c r="FU71" s="644"/>
      <c r="FV71" s="644"/>
      <c r="FW71" s="644"/>
      <c r="FX71" s="13" t="s">
        <v>465</v>
      </c>
      <c r="FY71" s="644"/>
      <c r="FZ71" s="644"/>
      <c r="GA71" s="644"/>
      <c r="GB71" s="13"/>
      <c r="GC71" s="644"/>
      <c r="GD71" s="13">
        <v>5</v>
      </c>
      <c r="GE71" s="644"/>
      <c r="GF71" s="5" t="s">
        <v>465</v>
      </c>
      <c r="GG71" s="644"/>
      <c r="GH71" s="13">
        <v>0</v>
      </c>
      <c r="GI71" s="644"/>
      <c r="GJ71" s="811">
        <v>0</v>
      </c>
      <c r="GK71" s="644"/>
      <c r="GL71" s="13">
        <v>10</v>
      </c>
      <c r="GM71" s="644"/>
      <c r="GN71" s="13"/>
      <c r="GO71" s="644"/>
      <c r="GP71" s="13">
        <v>2</v>
      </c>
      <c r="GQ71" s="644"/>
      <c r="GR71" s="13"/>
      <c r="GS71" s="644"/>
      <c r="GT71" s="13"/>
      <c r="GU71" s="644"/>
      <c r="GV71" s="13"/>
      <c r="GW71" s="644"/>
      <c r="GX71" s="13"/>
      <c r="GY71" s="644"/>
      <c r="GZ71" s="13">
        <v>136</v>
      </c>
      <c r="HA71" s="644"/>
      <c r="HB71" s="13"/>
      <c r="HC71" s="644"/>
      <c r="HD71" s="13"/>
      <c r="HE71" s="644"/>
      <c r="HF71" s="13"/>
      <c r="HG71" s="644"/>
      <c r="HH71" s="13" t="s">
        <v>465</v>
      </c>
      <c r="HI71" s="644"/>
      <c r="HJ71" s="644"/>
      <c r="HK71" s="644"/>
      <c r="HL71" s="13">
        <v>0</v>
      </c>
      <c r="HM71" s="644"/>
      <c r="HN71" s="13" t="s">
        <v>465</v>
      </c>
      <c r="HO71" s="644"/>
      <c r="HP71" s="13"/>
      <c r="HQ71" s="644"/>
      <c r="HR71" s="13"/>
      <c r="HS71" s="644"/>
      <c r="HT71" s="711" t="s">
        <v>702</v>
      </c>
      <c r="HU71" s="644"/>
      <c r="HV71" s="13"/>
      <c r="HW71" s="644"/>
      <c r="HX71" s="13"/>
      <c r="HY71" s="644"/>
      <c r="HZ71" s="13"/>
      <c r="IA71" s="644"/>
      <c r="IB71" s="644"/>
      <c r="IC71" s="644"/>
      <c r="ID71" s="13">
        <v>0</v>
      </c>
      <c r="IE71" s="644"/>
      <c r="IF71" s="13">
        <v>0</v>
      </c>
      <c r="IG71" s="756"/>
      <c r="IH71" s="13"/>
      <c r="II71" s="644"/>
      <c r="IJ71" s="644"/>
      <c r="IK71" s="644"/>
      <c r="IL71" s="711">
        <v>0</v>
      </c>
      <c r="IM71" s="644"/>
      <c r="IN71" s="712">
        <v>0</v>
      </c>
      <c r="IO71" s="644"/>
      <c r="IP71" s="13"/>
      <c r="IQ71" s="644"/>
      <c r="IR71" s="13"/>
      <c r="IS71" s="644"/>
      <c r="IT71" s="13">
        <v>0</v>
      </c>
      <c r="IU71" s="644"/>
      <c r="IV71" s="13">
        <v>0</v>
      </c>
      <c r="IW71" s="644"/>
      <c r="IX71" s="710"/>
      <c r="IY71" s="644"/>
      <c r="IZ71" s="13"/>
      <c r="JA71" s="644"/>
      <c r="JB71" s="13"/>
      <c r="JC71" s="644"/>
      <c r="JD71" s="13">
        <v>0</v>
      </c>
      <c r="JE71" s="644"/>
      <c r="JF71" s="644"/>
      <c r="JG71" s="644"/>
      <c r="JH71" s="13"/>
      <c r="JI71" s="644"/>
      <c r="JJ71" s="644"/>
      <c r="JK71" s="644"/>
      <c r="JL71" s="644"/>
      <c r="JM71" s="644"/>
      <c r="JN71" s="13">
        <v>0</v>
      </c>
      <c r="JO71" s="644"/>
      <c r="JP71" s="644"/>
      <c r="JQ71" s="644"/>
      <c r="JR71" s="713">
        <v>0</v>
      </c>
      <c r="JS71" s="644"/>
      <c r="JT71" s="13" t="s">
        <v>465</v>
      </c>
      <c r="JU71" s="644"/>
      <c r="JV71" s="13"/>
      <c r="JW71" s="644"/>
      <c r="JX71" s="13">
        <v>5</v>
      </c>
      <c r="JY71" s="644"/>
    </row>
    <row r="72" spans="1:285" ht="29.25" customHeight="1" x14ac:dyDescent="0.2">
      <c r="A72" s="1565"/>
      <c r="B72" s="1580"/>
      <c r="C72" s="82" t="s">
        <v>131</v>
      </c>
      <c r="D72" s="9" t="s">
        <v>144</v>
      </c>
      <c r="E72" s="813" t="s">
        <v>53</v>
      </c>
      <c r="F72" s="13">
        <v>0</v>
      </c>
      <c r="G72" s="756"/>
      <c r="H72" s="13">
        <v>1</v>
      </c>
      <c r="I72" s="644"/>
      <c r="J72" s="13" t="s">
        <v>465</v>
      </c>
      <c r="K72" s="644"/>
      <c r="L72" s="13"/>
      <c r="M72" s="644"/>
      <c r="N72" s="808"/>
      <c r="O72" s="644"/>
      <c r="P72" s="709"/>
      <c r="Q72" s="644"/>
      <c r="R72" s="13"/>
      <c r="S72" s="644"/>
      <c r="T72" s="644"/>
      <c r="U72" s="644"/>
      <c r="V72" s="644"/>
      <c r="W72" s="644"/>
      <c r="X72" s="644"/>
      <c r="Y72" s="644"/>
      <c r="Z72" s="13">
        <v>0</v>
      </c>
      <c r="AA72" s="644"/>
      <c r="AB72" s="13">
        <v>12</v>
      </c>
      <c r="AC72" s="644"/>
      <c r="AD72" s="13">
        <v>0</v>
      </c>
      <c r="AE72" s="644"/>
      <c r="AF72" s="644"/>
      <c r="AG72" s="644"/>
      <c r="AH72" s="644"/>
      <c r="AI72" s="644"/>
      <c r="AJ72" s="709">
        <v>0</v>
      </c>
      <c r="AK72" s="644"/>
      <c r="AL72" s="13"/>
      <c r="AM72" s="644"/>
      <c r="AN72" s="13"/>
      <c r="AO72" s="644"/>
      <c r="AP72" s="13"/>
      <c r="AQ72" s="644"/>
      <c r="AR72" s="13">
        <v>9</v>
      </c>
      <c r="AS72" s="644"/>
      <c r="AT72" s="13"/>
      <c r="AU72" s="644"/>
      <c r="AV72" s="808"/>
      <c r="AW72" s="644"/>
      <c r="AX72" s="13">
        <v>0</v>
      </c>
      <c r="AY72" s="644"/>
      <c r="AZ72" s="13">
        <v>21</v>
      </c>
      <c r="BA72" s="644"/>
      <c r="BB72" s="644"/>
      <c r="BC72" s="644"/>
      <c r="BD72" s="5">
        <v>2</v>
      </c>
      <c r="BE72" s="644"/>
      <c r="BF72" s="13"/>
      <c r="BG72" s="644"/>
      <c r="BH72" s="644"/>
      <c r="BI72" s="644"/>
      <c r="BJ72" s="13"/>
      <c r="BK72" s="644"/>
      <c r="BL72" s="13">
        <v>6</v>
      </c>
      <c r="BM72" s="644"/>
      <c r="BN72" s="13"/>
      <c r="BO72" s="644"/>
      <c r="BP72" s="710"/>
      <c r="BQ72" s="644"/>
      <c r="BR72" s="13"/>
      <c r="BS72" s="644"/>
      <c r="BT72" s="13" t="s">
        <v>465</v>
      </c>
      <c r="BU72" s="644"/>
      <c r="BV72" s="13"/>
      <c r="BW72" s="644"/>
      <c r="BX72" s="710">
        <v>5</v>
      </c>
      <c r="BY72" s="644"/>
      <c r="BZ72" s="13"/>
      <c r="CA72" s="644"/>
      <c r="CB72" s="13">
        <v>19</v>
      </c>
      <c r="CC72" s="644"/>
      <c r="CD72" s="644"/>
      <c r="CE72" s="644"/>
      <c r="CF72" s="644"/>
      <c r="CG72" s="644"/>
      <c r="CH72" s="710"/>
      <c r="CI72" s="13"/>
      <c r="CJ72" s="13"/>
      <c r="CK72" s="13"/>
      <c r="CL72" s="13">
        <v>0</v>
      </c>
      <c r="CM72" s="644"/>
      <c r="CN72" s="13"/>
      <c r="CO72" s="644"/>
      <c r="CP72" s="13"/>
      <c r="CQ72" s="644"/>
      <c r="CR72" s="13"/>
      <c r="CS72" s="644"/>
      <c r="CT72" s="13">
        <v>6</v>
      </c>
      <c r="CU72" s="644"/>
      <c r="CV72" s="13">
        <v>2</v>
      </c>
      <c r="CW72" s="644"/>
      <c r="CX72" s="13">
        <v>0</v>
      </c>
      <c r="CY72" s="644"/>
      <c r="CZ72" s="13">
        <v>0</v>
      </c>
      <c r="DA72" s="644"/>
      <c r="DB72" s="13">
        <v>0</v>
      </c>
      <c r="DC72" s="644"/>
      <c r="DD72" s="13"/>
      <c r="DE72" s="644"/>
      <c r="DF72" s="644"/>
      <c r="DG72" s="644"/>
      <c r="DH72" s="13">
        <v>104</v>
      </c>
      <c r="DI72" s="644"/>
      <c r="DJ72" s="809">
        <v>0</v>
      </c>
      <c r="DK72" s="644"/>
      <c r="DL72" s="644"/>
      <c r="DM72" s="644"/>
      <c r="DN72" s="13">
        <v>4</v>
      </c>
      <c r="DO72" s="644"/>
      <c r="DP72" s="644"/>
      <c r="DQ72" s="644"/>
      <c r="DR72" s="644"/>
      <c r="DS72" s="644"/>
      <c r="DT72" s="644"/>
      <c r="DU72" s="644"/>
      <c r="DV72" s="13">
        <v>0</v>
      </c>
      <c r="DW72" s="644"/>
      <c r="DX72" s="13">
        <v>92</v>
      </c>
      <c r="DY72" s="644"/>
      <c r="DZ72" s="703" t="s">
        <v>465</v>
      </c>
      <c r="EA72" s="644"/>
      <c r="EB72" s="644"/>
      <c r="EC72" s="644"/>
      <c r="ED72" s="644"/>
      <c r="EE72" s="644"/>
      <c r="EF72" s="13">
        <v>0</v>
      </c>
      <c r="EG72" s="644"/>
      <c r="EH72" s="13">
        <v>1</v>
      </c>
      <c r="EI72" s="644"/>
      <c r="EJ72" s="644"/>
      <c r="EK72" s="644"/>
      <c r="EL72" s="644"/>
      <c r="EM72" s="644"/>
      <c r="EN72" s="13">
        <v>174</v>
      </c>
      <c r="EO72" s="644"/>
      <c r="EP72" s="13">
        <v>0</v>
      </c>
      <c r="EQ72" s="644"/>
      <c r="ER72" s="644"/>
      <c r="ES72" s="644"/>
      <c r="ET72" s="13"/>
      <c r="EU72" s="644"/>
      <c r="EV72" s="13">
        <v>0</v>
      </c>
      <c r="EW72" s="644"/>
      <c r="EX72" s="13" t="s">
        <v>465</v>
      </c>
      <c r="EY72" s="644"/>
      <c r="EZ72" s="13"/>
      <c r="FA72" s="644"/>
      <c r="FB72" s="13"/>
      <c r="FC72" s="644"/>
      <c r="FD72" s="13" t="s">
        <v>465</v>
      </c>
      <c r="FE72" s="644"/>
      <c r="FF72" s="13">
        <v>0</v>
      </c>
      <c r="FG72" s="644"/>
      <c r="FH72" s="13">
        <v>9</v>
      </c>
      <c r="FI72" s="644"/>
      <c r="FJ72" s="13"/>
      <c r="FK72" s="644"/>
      <c r="FL72" s="811">
        <v>0</v>
      </c>
      <c r="FM72" s="644"/>
      <c r="FN72" s="13"/>
      <c r="FO72" s="644"/>
      <c r="FP72" s="13"/>
      <c r="FQ72" s="644"/>
      <c r="FR72" s="644"/>
      <c r="FS72" s="644"/>
      <c r="FT72" s="644"/>
      <c r="FU72" s="644"/>
      <c r="FV72" s="644"/>
      <c r="FW72" s="644"/>
      <c r="FX72" s="13">
        <v>1</v>
      </c>
      <c r="FY72" s="644"/>
      <c r="FZ72" s="644"/>
      <c r="GA72" s="644"/>
      <c r="GB72" s="13"/>
      <c r="GC72" s="644"/>
      <c r="GD72" s="13">
        <v>5</v>
      </c>
      <c r="GE72" s="644"/>
      <c r="GF72" s="684" t="s">
        <v>465</v>
      </c>
      <c r="GG72" s="644"/>
      <c r="GH72" s="13">
        <v>2</v>
      </c>
      <c r="GI72" s="644"/>
      <c r="GJ72" s="811">
        <v>17</v>
      </c>
      <c r="GK72" s="644"/>
      <c r="GL72" s="13"/>
      <c r="GM72" s="644"/>
      <c r="GN72" s="13">
        <f>1+1+1</f>
        <v>3</v>
      </c>
      <c r="GO72" s="644"/>
      <c r="GP72" s="13">
        <v>0</v>
      </c>
      <c r="GQ72" s="644"/>
      <c r="GR72" s="13"/>
      <c r="GS72" s="644"/>
      <c r="GT72" s="13">
        <v>36</v>
      </c>
      <c r="GU72" s="644"/>
      <c r="GV72" s="13"/>
      <c r="GW72" s="644"/>
      <c r="GX72" s="13"/>
      <c r="GY72" s="644"/>
      <c r="GZ72" s="13"/>
      <c r="HA72" s="644"/>
      <c r="HB72" s="13">
        <v>3</v>
      </c>
      <c r="HC72" s="644"/>
      <c r="HD72" s="13"/>
      <c r="HE72" s="644"/>
      <c r="HF72" s="13"/>
      <c r="HG72" s="644"/>
      <c r="HH72" s="13" t="s">
        <v>465</v>
      </c>
      <c r="HI72" s="644"/>
      <c r="HJ72" s="644"/>
      <c r="HK72" s="644"/>
      <c r="HL72" s="13">
        <v>0</v>
      </c>
      <c r="HM72" s="644"/>
      <c r="HN72" s="13" t="s">
        <v>465</v>
      </c>
      <c r="HO72" s="644"/>
      <c r="HP72" s="13">
        <v>1</v>
      </c>
      <c r="HQ72" s="644"/>
      <c r="HR72" s="13">
        <v>116</v>
      </c>
      <c r="HS72" s="644"/>
      <c r="HT72" s="711" t="s">
        <v>702</v>
      </c>
      <c r="HU72" s="644"/>
      <c r="HV72" s="13">
        <v>1</v>
      </c>
      <c r="HW72" s="644"/>
      <c r="HX72" s="13"/>
      <c r="HY72" s="644"/>
      <c r="HZ72" s="13">
        <v>8</v>
      </c>
      <c r="IA72" s="644"/>
      <c r="IB72" s="644"/>
      <c r="IC72" s="644"/>
      <c r="ID72" s="13">
        <v>0</v>
      </c>
      <c r="IE72" s="644"/>
      <c r="IF72" s="13">
        <v>0</v>
      </c>
      <c r="IG72" s="756"/>
      <c r="IH72" s="13"/>
      <c r="II72" s="644"/>
      <c r="IJ72" s="644"/>
      <c r="IK72" s="644"/>
      <c r="IL72" s="711">
        <v>0</v>
      </c>
      <c r="IM72" s="644"/>
      <c r="IN72" s="712">
        <v>0</v>
      </c>
      <c r="IO72" s="644"/>
      <c r="IP72" s="13"/>
      <c r="IQ72" s="644"/>
      <c r="IR72" s="13">
        <v>4</v>
      </c>
      <c r="IS72" s="644"/>
      <c r="IT72" s="13">
        <v>0</v>
      </c>
      <c r="IU72" s="644"/>
      <c r="IV72" s="13">
        <v>3</v>
      </c>
      <c r="IW72" s="644"/>
      <c r="IX72" s="710"/>
      <c r="IY72" s="644"/>
      <c r="IZ72" s="13">
        <v>7</v>
      </c>
      <c r="JA72" s="644"/>
      <c r="JB72" s="13"/>
      <c r="JC72" s="644"/>
      <c r="JD72" s="13">
        <v>0</v>
      </c>
      <c r="JE72" s="644"/>
      <c r="JF72" s="644"/>
      <c r="JG72" s="644"/>
      <c r="JH72" s="13"/>
      <c r="JI72" s="644"/>
      <c r="JJ72" s="644"/>
      <c r="JK72" s="644"/>
      <c r="JL72" s="644"/>
      <c r="JM72" s="644"/>
      <c r="JN72" s="13">
        <v>14</v>
      </c>
      <c r="JO72" s="644"/>
      <c r="JP72" s="644"/>
      <c r="JQ72" s="644"/>
      <c r="JR72" s="713">
        <f>0+(31+13)</f>
        <v>44</v>
      </c>
      <c r="JS72" s="644"/>
      <c r="JT72" s="13" t="s">
        <v>465</v>
      </c>
      <c r="JU72" s="644"/>
      <c r="JV72" s="13"/>
      <c r="JW72" s="644"/>
      <c r="JX72" s="13"/>
      <c r="JY72" s="644"/>
    </row>
    <row r="73" spans="1:285" ht="29.25" customHeight="1" thickBot="1" x14ac:dyDescent="0.25">
      <c r="A73" s="1568"/>
      <c r="B73" s="1579"/>
      <c r="C73" s="89" t="s">
        <v>236</v>
      </c>
      <c r="D73" s="90" t="s">
        <v>2577</v>
      </c>
      <c r="E73" s="813" t="s">
        <v>158</v>
      </c>
      <c r="F73" s="14">
        <f>SUM(F52:F72)</f>
        <v>12</v>
      </c>
      <c r="G73" s="756"/>
      <c r="H73" s="14">
        <f>SUM(H52:H72)</f>
        <v>8</v>
      </c>
      <c r="I73" s="644"/>
      <c r="J73" s="13">
        <f>SUM(J52:J72)</f>
        <v>22</v>
      </c>
      <c r="K73" s="644"/>
      <c r="L73" s="14">
        <v>26</v>
      </c>
      <c r="M73" s="644"/>
      <c r="N73" s="814">
        <f>SUM(N52:N72)</f>
        <v>370</v>
      </c>
      <c r="O73" s="644"/>
      <c r="P73" s="716">
        <f>SUM(P54:P72)</f>
        <v>17</v>
      </c>
      <c r="Q73" s="644"/>
      <c r="R73" s="14">
        <f>SUM(R52:R72)</f>
        <v>172</v>
      </c>
      <c r="S73" s="644"/>
      <c r="T73" s="644"/>
      <c r="U73" s="644"/>
      <c r="V73" s="644"/>
      <c r="W73" s="644"/>
      <c r="X73" s="644"/>
      <c r="Y73" s="644"/>
      <c r="Z73" s="14">
        <f>SUM(Z52:Z72)</f>
        <v>563</v>
      </c>
      <c r="AA73" s="644"/>
      <c r="AB73" s="14">
        <f>SUM(AB52:AB72)</f>
        <v>1095</v>
      </c>
      <c r="AC73" s="644"/>
      <c r="AD73" s="14">
        <f>SUM(AD52:AD72)</f>
        <v>380</v>
      </c>
      <c r="AE73" s="644"/>
      <c r="AF73" s="644"/>
      <c r="AG73" s="644"/>
      <c r="AH73" s="644"/>
      <c r="AI73" s="644"/>
      <c r="AJ73" s="716">
        <f>SUM(AJ52:AJ72)</f>
        <v>119</v>
      </c>
      <c r="AK73" s="644"/>
      <c r="AL73" s="14">
        <f>SUM(AL52:AL72)</f>
        <v>1054</v>
      </c>
      <c r="AM73" s="644"/>
      <c r="AN73" s="14">
        <f>SUM(AN52:AN72)</f>
        <v>169</v>
      </c>
      <c r="AO73" s="644"/>
      <c r="AP73" s="14">
        <f>SUM(AP52:AP72)</f>
        <v>27</v>
      </c>
      <c r="AQ73" s="644"/>
      <c r="AR73" s="14">
        <f>SUM(AR52:AR72)</f>
        <v>241</v>
      </c>
      <c r="AS73" s="644"/>
      <c r="AT73" s="14">
        <f>SUM(AT52:AT72)</f>
        <v>166</v>
      </c>
      <c r="AU73" s="644"/>
      <c r="AV73" s="814">
        <v>976</v>
      </c>
      <c r="AW73" s="644"/>
      <c r="AX73" s="14">
        <f>SUM(AX52:AX72)</f>
        <v>93</v>
      </c>
      <c r="AY73" s="644"/>
      <c r="AZ73" s="14">
        <f>SUM(AZ52:AZ72)</f>
        <v>46</v>
      </c>
      <c r="BA73" s="644"/>
      <c r="BB73" s="644"/>
      <c r="BC73" s="644"/>
      <c r="BD73" s="5">
        <f>SUM(BD52:BD72)</f>
        <v>73</v>
      </c>
      <c r="BE73" s="644"/>
      <c r="BF73" s="13">
        <f>SUM(BF53:BF72)</f>
        <v>259</v>
      </c>
      <c r="BG73" s="644"/>
      <c r="BH73" s="644"/>
      <c r="BI73" s="644"/>
      <c r="BJ73" s="14">
        <f>SUM(BJ52:BJ72)</f>
        <v>10</v>
      </c>
      <c r="BK73" s="644"/>
      <c r="BL73" s="14">
        <f>SUM(BL52:BL72)</f>
        <v>100</v>
      </c>
      <c r="BM73" s="644"/>
      <c r="BN73" s="14">
        <f>SUM(BN52:BN72)</f>
        <v>4</v>
      </c>
      <c r="BO73" s="644"/>
      <c r="BP73" s="717">
        <f>SUM(BP52:BP72)</f>
        <v>1677</v>
      </c>
      <c r="BQ73" s="644"/>
      <c r="BR73" s="14">
        <f>SUM(BR52:BR72)</f>
        <v>27</v>
      </c>
      <c r="BS73" s="644"/>
      <c r="BT73" s="14">
        <f>SUM(BT52:BT72)</f>
        <v>272</v>
      </c>
      <c r="BU73" s="644"/>
      <c r="BV73" s="14">
        <f>SUM(BV52:BV72)</f>
        <v>67</v>
      </c>
      <c r="BW73" s="644"/>
      <c r="BX73" s="717">
        <f>SUM(BX52:BX72)</f>
        <v>56</v>
      </c>
      <c r="BY73" s="644"/>
      <c r="BZ73" s="717">
        <f>SUM(BZ52:BZ72)</f>
        <v>18</v>
      </c>
      <c r="CA73" s="644"/>
      <c r="CB73" s="14">
        <f>SUM(CB52:CB72)</f>
        <v>200</v>
      </c>
      <c r="CC73" s="644"/>
      <c r="CD73" s="644"/>
      <c r="CE73" s="644"/>
      <c r="CF73" s="644"/>
      <c r="CG73" s="644"/>
      <c r="CH73" s="717">
        <f>SUM(CH52:CH72)</f>
        <v>84</v>
      </c>
      <c r="CI73" s="14"/>
      <c r="CJ73" s="14">
        <f>SUM(CJ52:CJ72)</f>
        <v>92</v>
      </c>
      <c r="CK73" s="14"/>
      <c r="CL73" s="14">
        <f>SUM(CL52:CL72)</f>
        <v>142</v>
      </c>
      <c r="CM73" s="644"/>
      <c r="CN73" s="703" t="s">
        <v>2412</v>
      </c>
      <c r="CO73" s="644"/>
      <c r="CP73" s="703">
        <v>20</v>
      </c>
      <c r="CQ73" s="644"/>
      <c r="CR73" s="14">
        <v>332</v>
      </c>
      <c r="CS73" s="644"/>
      <c r="CT73" s="14">
        <f>SUM(CT52:CT72)</f>
        <v>236</v>
      </c>
      <c r="CU73" s="644"/>
      <c r="CV73" s="14">
        <f>SUM(CV52:CV72)</f>
        <v>33</v>
      </c>
      <c r="CW73" s="644"/>
      <c r="CX73" s="14">
        <f>SUM(CX52:CX72)</f>
        <v>209</v>
      </c>
      <c r="CY73" s="644"/>
      <c r="CZ73" s="14">
        <f>SUM(CZ52:CZ72)</f>
        <v>77</v>
      </c>
      <c r="DA73" s="644"/>
      <c r="DB73" s="14">
        <f>SUM(DB52:DB72)</f>
        <v>150</v>
      </c>
      <c r="DC73" s="644"/>
      <c r="DD73" s="14">
        <f>SUM(DD52:DD72)</f>
        <v>183</v>
      </c>
      <c r="DE73" s="644"/>
      <c r="DF73" s="644"/>
      <c r="DG73" s="644"/>
      <c r="DH73" s="14">
        <f>SUM(DH52:DH72)</f>
        <v>306</v>
      </c>
      <c r="DI73" s="644"/>
      <c r="DJ73" s="815">
        <f>SUM(DJ52:DJ72)</f>
        <v>11</v>
      </c>
      <c r="DK73" s="644"/>
      <c r="DL73" s="644"/>
      <c r="DM73" s="644"/>
      <c r="DN73" s="14">
        <f>SUM(DN52:DN72)</f>
        <v>191</v>
      </c>
      <c r="DO73" s="644"/>
      <c r="DP73" s="644"/>
      <c r="DQ73" s="644"/>
      <c r="DR73" s="644"/>
      <c r="DS73" s="644"/>
      <c r="DT73" s="644"/>
      <c r="DU73" s="644"/>
      <c r="DV73" s="14">
        <f>SUM(DV52:DV72)</f>
        <v>328</v>
      </c>
      <c r="DW73" s="644"/>
      <c r="DX73" s="14">
        <f>SUM(DX52:DX72)</f>
        <v>237</v>
      </c>
      <c r="DY73" s="644"/>
      <c r="DZ73" s="14">
        <f>SUM(DZ52:DZ72)</f>
        <v>67</v>
      </c>
      <c r="EA73" s="644"/>
      <c r="EB73" s="644"/>
      <c r="EC73" s="644"/>
      <c r="ED73" s="644"/>
      <c r="EE73" s="644"/>
      <c r="EF73" s="14">
        <f>SUM(EF52:EF72)</f>
        <v>25</v>
      </c>
      <c r="EG73" s="644"/>
      <c r="EH73" s="14">
        <f>SUM(EH52:EH72)</f>
        <v>42</v>
      </c>
      <c r="EI73" s="644"/>
      <c r="EJ73" s="644"/>
      <c r="EK73" s="644"/>
      <c r="EL73" s="644"/>
      <c r="EM73" s="644"/>
      <c r="EN73" s="14">
        <f>SUM(EN52:EN72)</f>
        <v>587</v>
      </c>
      <c r="EO73" s="644"/>
      <c r="EP73" s="14">
        <f>SUM(EP52:EP72)</f>
        <v>62</v>
      </c>
      <c r="EQ73" s="644"/>
      <c r="ER73" s="644"/>
      <c r="ES73" s="644"/>
      <c r="ET73" s="14">
        <f>SUM(ET52:ET72)</f>
        <v>103</v>
      </c>
      <c r="EU73" s="644"/>
      <c r="EV73" s="14">
        <f>SUM(EV52:EV72)</f>
        <v>471</v>
      </c>
      <c r="EW73" s="644"/>
      <c r="EX73" s="14">
        <f>SUM(EX52:EX72)</f>
        <v>142</v>
      </c>
      <c r="EY73" s="644"/>
      <c r="EZ73" s="14">
        <f>SUM(EZ52:EZ72)</f>
        <v>53</v>
      </c>
      <c r="FA73" s="644"/>
      <c r="FB73" s="14">
        <f>SUM(FB52:FB72)</f>
        <v>7</v>
      </c>
      <c r="FC73" s="644"/>
      <c r="FD73" s="14">
        <f>SUM(FD52:FD72)</f>
        <v>9</v>
      </c>
      <c r="FE73" s="644"/>
      <c r="FF73" s="14">
        <f>SUM(FF52:FF72)</f>
        <v>50</v>
      </c>
      <c r="FG73" s="644"/>
      <c r="FH73" s="14">
        <f>SUM(FH52:FH72)</f>
        <v>102</v>
      </c>
      <c r="FI73" s="644"/>
      <c r="FJ73" s="717">
        <f>SUM(FJ52:FJ72)</f>
        <v>127</v>
      </c>
      <c r="FK73" s="644"/>
      <c r="FL73" s="816">
        <v>214</v>
      </c>
      <c r="FM73" s="644"/>
      <c r="FN73" s="14">
        <f>SUM(FN52:FN72)</f>
        <v>14</v>
      </c>
      <c r="FO73" s="644"/>
      <c r="FP73" s="14">
        <f>SUM(FP52:FP72)</f>
        <v>135</v>
      </c>
      <c r="FQ73" s="644"/>
      <c r="FR73" s="644"/>
      <c r="FS73" s="644"/>
      <c r="FT73" s="644"/>
      <c r="FU73" s="644"/>
      <c r="FV73" s="644"/>
      <c r="FW73" s="644"/>
      <c r="FX73" s="14">
        <f>SUM(FX52:FX72)</f>
        <v>185</v>
      </c>
      <c r="FY73" s="644"/>
      <c r="FZ73" s="644"/>
      <c r="GA73" s="644"/>
      <c r="GB73" s="14">
        <f>SUM(GB52:GB72)</f>
        <v>78</v>
      </c>
      <c r="GC73" s="644"/>
      <c r="GD73" s="14">
        <f>SUM(GD52:GD72)</f>
        <v>160</v>
      </c>
      <c r="GE73" s="644"/>
      <c r="GF73" s="718">
        <f>SUM(GF52:GF72)</f>
        <v>13</v>
      </c>
      <c r="GG73" s="644"/>
      <c r="GH73" s="14">
        <f>SUM(GH52:GH72)</f>
        <v>202</v>
      </c>
      <c r="GI73" s="644"/>
      <c r="GJ73" s="816">
        <v>277</v>
      </c>
      <c r="GK73" s="644"/>
      <c r="GL73" s="14">
        <f>SUM(GL52:GL72)</f>
        <v>10</v>
      </c>
      <c r="GM73" s="644"/>
      <c r="GN73" s="14">
        <f>SUM(GN52:GN72)</f>
        <v>24</v>
      </c>
      <c r="GO73" s="644"/>
      <c r="GP73" s="14">
        <f>SUM(GP52:GP72)</f>
        <v>2</v>
      </c>
      <c r="GQ73" s="644"/>
      <c r="GR73" s="14">
        <f>SUM(GR52:GR72)</f>
        <v>152</v>
      </c>
      <c r="GS73" s="644"/>
      <c r="GT73" s="14">
        <f>SUM(GT52:GT72)</f>
        <v>332</v>
      </c>
      <c r="GU73" s="644"/>
      <c r="GV73" s="14">
        <f>SUM(GV52:GV72)</f>
        <v>66</v>
      </c>
      <c r="GW73" s="644"/>
      <c r="GX73" s="14">
        <f>SUM(GX52:GX72)</f>
        <v>9</v>
      </c>
      <c r="GY73" s="644"/>
      <c r="GZ73" s="14">
        <f>SUM(GZ52:GZ72)</f>
        <v>136</v>
      </c>
      <c r="HA73" s="644"/>
      <c r="HB73" s="14">
        <f t="shared" ref="HB73" si="0">SUM(HB52:HB72)</f>
        <v>14</v>
      </c>
      <c r="HC73" s="644"/>
      <c r="HD73" s="14">
        <f>SUM(HD52:HD72)</f>
        <v>102</v>
      </c>
      <c r="HE73" s="644"/>
      <c r="HF73" s="14">
        <f>SUM(HF52:HF72)</f>
        <v>1</v>
      </c>
      <c r="HG73" s="644"/>
      <c r="HH73" s="14">
        <f>SUM(HH52:HH72)</f>
        <v>50</v>
      </c>
      <c r="HI73" s="644"/>
      <c r="HJ73" s="644"/>
      <c r="HK73" s="644"/>
      <c r="HL73" s="14">
        <f>SUM(HL52:HL72)</f>
        <v>9</v>
      </c>
      <c r="HM73" s="644"/>
      <c r="HN73" s="14">
        <f>SUM(HN52:HN72)</f>
        <v>279</v>
      </c>
      <c r="HO73" s="644"/>
      <c r="HP73" s="14">
        <f>SUM(HP52:HP72)</f>
        <v>30</v>
      </c>
      <c r="HQ73" s="644"/>
      <c r="HR73" s="14">
        <f>SUM(HR52:HR72)</f>
        <v>301</v>
      </c>
      <c r="HS73" s="644"/>
      <c r="HT73" s="719">
        <f>SUM(HT52:HT72)</f>
        <v>641</v>
      </c>
      <c r="HU73" s="644"/>
      <c r="HV73" s="14">
        <f>SUM(HV52:HV72)</f>
        <v>1</v>
      </c>
      <c r="HW73" s="644"/>
      <c r="HX73" s="14">
        <f>SUM(HX52:HX72)</f>
        <v>4</v>
      </c>
      <c r="HY73" s="644"/>
      <c r="HZ73" s="14">
        <f>SUM(HZ52:HZ72)</f>
        <v>76</v>
      </c>
      <c r="IA73" s="644"/>
      <c r="IB73" s="644"/>
      <c r="IC73" s="644"/>
      <c r="ID73" s="14">
        <f>SUM(ID52:ID72)</f>
        <v>266</v>
      </c>
      <c r="IE73" s="644"/>
      <c r="IF73" s="14">
        <f>SUM(IF52:IF72)</f>
        <v>69</v>
      </c>
      <c r="IG73" s="756"/>
      <c r="IH73" s="14">
        <f>SUM(IH52:IH72)</f>
        <v>346</v>
      </c>
      <c r="II73" s="644"/>
      <c r="IJ73" s="644"/>
      <c r="IK73" s="644"/>
      <c r="IL73" s="719">
        <f>SUM(IL52:IL72)</f>
        <v>41</v>
      </c>
      <c r="IM73" s="644"/>
      <c r="IN73" s="720">
        <f>SUM(IN52:IN72)</f>
        <v>31</v>
      </c>
      <c r="IO73" s="644"/>
      <c r="IP73" s="14">
        <f>SUM(IP52:IP72)</f>
        <v>244</v>
      </c>
      <c r="IQ73" s="644"/>
      <c r="IR73" s="14">
        <f>SUM(IR52:IR72)</f>
        <v>143</v>
      </c>
      <c r="IS73" s="644"/>
      <c r="IT73" s="14">
        <f>SUM(IT52:IT72)</f>
        <v>34</v>
      </c>
      <c r="IU73" s="644"/>
      <c r="IV73" s="14">
        <f>SUM(IV52:IV72)</f>
        <v>146</v>
      </c>
      <c r="IW73" s="644"/>
      <c r="IX73" s="717">
        <f>SUM(IX52:IX72)</f>
        <v>16</v>
      </c>
      <c r="IY73" s="644"/>
      <c r="IZ73" s="14">
        <f>SUM(IZ52:IZ72)</f>
        <v>195</v>
      </c>
      <c r="JA73" s="644"/>
      <c r="JB73" s="14">
        <f>SUM(JB52:JB72)</f>
        <v>121</v>
      </c>
      <c r="JC73" s="644"/>
      <c r="JD73" s="14">
        <f>SUM(JD52:JD72)</f>
        <v>51</v>
      </c>
      <c r="JE73" s="644"/>
      <c r="JF73" s="644"/>
      <c r="JG73" s="644"/>
      <c r="JH73" s="14">
        <f>SUM(JH52:JH72)</f>
        <v>29</v>
      </c>
      <c r="JI73" s="644"/>
      <c r="JJ73" s="644"/>
      <c r="JK73" s="644"/>
      <c r="JL73" s="644"/>
      <c r="JM73" s="644"/>
      <c r="JN73" s="14">
        <f>SUM(JN52:JN72)</f>
        <v>1063</v>
      </c>
      <c r="JO73" s="644"/>
      <c r="JP73" s="644"/>
      <c r="JQ73" s="644"/>
      <c r="JR73" s="721">
        <f>SUM(JR52:JR72)</f>
        <v>868</v>
      </c>
      <c r="JS73" s="644"/>
      <c r="JT73" s="14">
        <f>SUM(JT52:JT72)</f>
        <v>20</v>
      </c>
      <c r="JU73" s="644"/>
      <c r="JV73" s="14">
        <f>SUM(JV52:JV72)</f>
        <v>0</v>
      </c>
      <c r="JW73" s="644"/>
      <c r="JX73" s="14">
        <f>SUM(JX52:JX72)</f>
        <v>458</v>
      </c>
      <c r="JY73" s="644"/>
    </row>
    <row r="74" spans="1:285" ht="29.25" customHeight="1" x14ac:dyDescent="0.2">
      <c r="A74" s="1564" t="s">
        <v>26</v>
      </c>
      <c r="B74" s="1566" t="s">
        <v>277</v>
      </c>
      <c r="C74" s="79" t="s">
        <v>132</v>
      </c>
      <c r="D74" s="80" t="s">
        <v>200</v>
      </c>
      <c r="E74" s="784" t="s">
        <v>54</v>
      </c>
      <c r="F74" s="10">
        <v>41.25</v>
      </c>
      <c r="G74" s="756"/>
      <c r="H74" s="10">
        <v>87</v>
      </c>
      <c r="I74" s="644"/>
      <c r="J74" s="10">
        <v>127.1</v>
      </c>
      <c r="K74" s="644"/>
      <c r="L74" s="10">
        <v>35</v>
      </c>
      <c r="M74" s="644"/>
      <c r="N74" s="785">
        <v>263.06900000000002</v>
      </c>
      <c r="O74" s="644"/>
      <c r="P74" s="666">
        <v>8.92</v>
      </c>
      <c r="Q74" s="644"/>
      <c r="R74" s="10">
        <v>161.34</v>
      </c>
      <c r="S74" s="644"/>
      <c r="T74" s="644"/>
      <c r="U74" s="644"/>
      <c r="V74" s="644"/>
      <c r="W74" s="644"/>
      <c r="X74" s="644"/>
      <c r="Y74" s="644"/>
      <c r="Z74" s="10">
        <v>786.14300000000003</v>
      </c>
      <c r="AA74" s="644"/>
      <c r="AB74" s="10" t="s">
        <v>2328</v>
      </c>
      <c r="AC74" s="644"/>
      <c r="AD74" s="10">
        <v>93.42</v>
      </c>
      <c r="AE74" s="644"/>
      <c r="AF74" s="644"/>
      <c r="AG74" s="644"/>
      <c r="AH74" s="644"/>
      <c r="AI74" s="644"/>
      <c r="AJ74" s="666">
        <v>330</v>
      </c>
      <c r="AK74" s="644"/>
      <c r="AL74" s="10">
        <v>231</v>
      </c>
      <c r="AM74" s="644"/>
      <c r="AN74" s="10">
        <v>1077.0889999999999</v>
      </c>
      <c r="AO74" s="644"/>
      <c r="AP74" s="10">
        <v>34.08</v>
      </c>
      <c r="AQ74" s="644"/>
      <c r="AR74" s="10">
        <v>215.08500000000001</v>
      </c>
      <c r="AS74" s="644"/>
      <c r="AT74" s="10">
        <v>1997.6420000000001</v>
      </c>
      <c r="AU74" s="644"/>
      <c r="AV74" s="785">
        <v>252.946</v>
      </c>
      <c r="AW74" s="644"/>
      <c r="AX74" s="10">
        <f>254.3+1058.3</f>
        <v>1312.6</v>
      </c>
      <c r="AY74" s="644"/>
      <c r="AZ74" s="10">
        <v>442.21300000000002</v>
      </c>
      <c r="BA74" s="644"/>
      <c r="BB74" s="644"/>
      <c r="BC74" s="644"/>
      <c r="BD74" s="5"/>
      <c r="BE74" s="644"/>
      <c r="BF74" s="10"/>
      <c r="BG74" s="644"/>
      <c r="BH74" s="644"/>
      <c r="BI74" s="644"/>
      <c r="BJ74" s="10">
        <v>11</v>
      </c>
      <c r="BK74" s="644"/>
      <c r="BL74" s="10">
        <v>130.69399999999999</v>
      </c>
      <c r="BM74" s="644"/>
      <c r="BN74" s="10">
        <v>0.46</v>
      </c>
      <c r="BO74" s="644"/>
      <c r="BP74" s="10"/>
      <c r="BQ74" s="644"/>
      <c r="BR74" s="10">
        <v>10.1</v>
      </c>
      <c r="BS74" s="644"/>
      <c r="BT74" s="10">
        <v>523.15300000000002</v>
      </c>
      <c r="BU74" s="644"/>
      <c r="BV74" s="10">
        <v>98.07</v>
      </c>
      <c r="BW74" s="644"/>
      <c r="BX74" s="10">
        <v>60.783999999999999</v>
      </c>
      <c r="BY74" s="644"/>
      <c r="BZ74" s="10"/>
      <c r="CA74" s="644"/>
      <c r="CB74" s="10">
        <v>367.1</v>
      </c>
      <c r="CC74" s="644"/>
      <c r="CD74" s="644"/>
      <c r="CE74" s="644"/>
      <c r="CF74" s="644"/>
      <c r="CG74" s="644"/>
      <c r="CH74" s="671">
        <v>545.6</v>
      </c>
      <c r="CI74" s="10"/>
      <c r="CJ74" s="10">
        <v>91.9</v>
      </c>
      <c r="CK74" s="10"/>
      <c r="CL74" s="10">
        <v>916.60599999999999</v>
      </c>
      <c r="CM74" s="644"/>
      <c r="CN74" s="665" t="s">
        <v>2413</v>
      </c>
      <c r="CO74" s="644"/>
      <c r="CP74" s="665" t="s">
        <v>2428</v>
      </c>
      <c r="CQ74" s="644"/>
      <c r="CR74" s="10">
        <v>594.9</v>
      </c>
      <c r="CS74" s="644"/>
      <c r="CT74" s="10">
        <v>627.66999999999996</v>
      </c>
      <c r="CU74" s="644"/>
      <c r="CV74" s="15">
        <v>16.5</v>
      </c>
      <c r="CW74" s="644"/>
      <c r="CX74" s="15">
        <v>422</v>
      </c>
      <c r="CY74" s="644"/>
      <c r="CZ74" s="15">
        <v>12.2</v>
      </c>
      <c r="DA74" s="644"/>
      <c r="DB74" s="15">
        <v>545.79999999999995</v>
      </c>
      <c r="DC74" s="644"/>
      <c r="DD74" s="665">
        <v>360.15300000000002</v>
      </c>
      <c r="DE74" s="644"/>
      <c r="DF74" s="644"/>
      <c r="DG74" s="644"/>
      <c r="DH74" s="665">
        <v>845.5</v>
      </c>
      <c r="DI74" s="644"/>
      <c r="DJ74" s="786">
        <v>16.099</v>
      </c>
      <c r="DK74" s="644"/>
      <c r="DL74" s="644"/>
      <c r="DM74" s="644"/>
      <c r="DN74" s="10">
        <v>320</v>
      </c>
      <c r="DO74" s="644"/>
      <c r="DP74" s="644"/>
      <c r="DQ74" s="644"/>
      <c r="DR74" s="644"/>
      <c r="DS74" s="644"/>
      <c r="DT74" s="644"/>
      <c r="DU74" s="644"/>
      <c r="DV74" s="10">
        <v>124.872</v>
      </c>
      <c r="DW74" s="644"/>
      <c r="DX74" s="10">
        <v>500.90199999999999</v>
      </c>
      <c r="DY74" s="644"/>
      <c r="DZ74" s="10">
        <v>630.06299999999999</v>
      </c>
      <c r="EA74" s="644"/>
      <c r="EB74" s="644"/>
      <c r="EC74" s="644"/>
      <c r="ED74" s="644"/>
      <c r="EE74" s="644"/>
      <c r="EF74" s="10">
        <v>30.600999999999999</v>
      </c>
      <c r="EG74" s="644"/>
      <c r="EH74" s="10">
        <v>100.46899999999999</v>
      </c>
      <c r="EI74" s="644"/>
      <c r="EJ74" s="644"/>
      <c r="EK74" s="644"/>
      <c r="EL74" s="644"/>
      <c r="EM74" s="644"/>
      <c r="EN74" s="10" t="s">
        <v>541</v>
      </c>
      <c r="EO74" s="644"/>
      <c r="EP74" s="10">
        <v>215.1</v>
      </c>
      <c r="EQ74" s="644"/>
      <c r="ER74" s="644"/>
      <c r="ES74" s="644"/>
      <c r="ET74" s="10">
        <v>3202.9459999999999</v>
      </c>
      <c r="EU74" s="644"/>
      <c r="EV74" s="10">
        <v>2420.3380000000002</v>
      </c>
      <c r="EW74" s="644"/>
      <c r="EX74" s="10">
        <v>163.398</v>
      </c>
      <c r="EY74" s="644"/>
      <c r="EZ74" s="10">
        <v>16.8</v>
      </c>
      <c r="FA74" s="644"/>
      <c r="FB74" s="10">
        <v>17.959</v>
      </c>
      <c r="FC74" s="644"/>
      <c r="FD74" s="10">
        <v>21.616</v>
      </c>
      <c r="FE74" s="644"/>
      <c r="FF74" s="10">
        <v>94.602000000000004</v>
      </c>
      <c r="FG74" s="644"/>
      <c r="FH74" s="10">
        <v>22.087</v>
      </c>
      <c r="FI74" s="644"/>
      <c r="FJ74" s="671">
        <v>441.7</v>
      </c>
      <c r="FK74" s="644"/>
      <c r="FL74" s="788">
        <v>371.7</v>
      </c>
      <c r="FM74" s="644"/>
      <c r="FN74" s="10" t="s">
        <v>806</v>
      </c>
      <c r="FO74" s="644"/>
      <c r="FP74" s="10">
        <v>112.224</v>
      </c>
      <c r="FQ74" s="644"/>
      <c r="FR74" s="644"/>
      <c r="FS74" s="644"/>
      <c r="FT74" s="644"/>
      <c r="FU74" s="644"/>
      <c r="FV74" s="644"/>
      <c r="FW74" s="644"/>
      <c r="FX74" s="10" t="s">
        <v>465</v>
      </c>
      <c r="FY74" s="644"/>
      <c r="FZ74" s="644"/>
      <c r="GA74" s="644"/>
      <c r="GB74" s="10">
        <v>11</v>
      </c>
      <c r="GC74" s="644"/>
      <c r="GD74" s="27">
        <v>645.346</v>
      </c>
      <c r="GE74" s="644"/>
      <c r="GF74" s="5">
        <v>9.4529999999999994</v>
      </c>
      <c r="GG74" s="644"/>
      <c r="GH74" s="10">
        <v>500</v>
      </c>
      <c r="GI74" s="644"/>
      <c r="GJ74" s="788">
        <v>4948</v>
      </c>
      <c r="GK74" s="644"/>
      <c r="GL74" s="10">
        <f>4108/1000</f>
        <v>4.1079999999999997</v>
      </c>
      <c r="GM74" s="644"/>
      <c r="GN74" s="668">
        <f>'[3]ТБ19, ТБ18'!$H$24/1000</f>
        <v>3868.3891406400003</v>
      </c>
      <c r="GO74" s="644"/>
      <c r="GP74" s="668">
        <v>12</v>
      </c>
      <c r="GQ74" s="644"/>
      <c r="GR74" s="10">
        <v>323.54000000000002</v>
      </c>
      <c r="GS74" s="644"/>
      <c r="GT74" s="10">
        <v>828.4</v>
      </c>
      <c r="GU74" s="644"/>
      <c r="GV74" s="10">
        <v>99.406000000000006</v>
      </c>
      <c r="GW74" s="644"/>
      <c r="GX74" s="10">
        <v>118</v>
      </c>
      <c r="GY74" s="644"/>
      <c r="GZ74" s="10" t="s">
        <v>465</v>
      </c>
      <c r="HA74" s="644"/>
      <c r="HB74" s="15">
        <v>116.1</v>
      </c>
      <c r="HC74" s="644"/>
      <c r="HD74" s="10">
        <v>3659.9470000000001</v>
      </c>
      <c r="HE74" s="644"/>
      <c r="HF74" s="10">
        <v>1.7410000000000001</v>
      </c>
      <c r="HG74" s="644"/>
      <c r="HH74" s="15">
        <v>11.5</v>
      </c>
      <c r="HI74" s="644"/>
      <c r="HJ74" s="644"/>
      <c r="HK74" s="644"/>
      <c r="HL74" s="10">
        <v>7.7</v>
      </c>
      <c r="HM74" s="644"/>
      <c r="HN74" s="13">
        <v>1874.2819999999999</v>
      </c>
      <c r="HO74" s="644"/>
      <c r="HP74" s="10">
        <v>65</v>
      </c>
      <c r="HQ74" s="644"/>
      <c r="HR74" s="10">
        <v>856.78399999999999</v>
      </c>
      <c r="HS74" s="644"/>
      <c r="HT74" s="674">
        <v>369.5</v>
      </c>
      <c r="HU74" s="644"/>
      <c r="HV74" s="10">
        <v>0.48299999999999998</v>
      </c>
      <c r="HW74" s="644"/>
      <c r="HX74" s="10">
        <v>0.46</v>
      </c>
      <c r="HY74" s="644"/>
      <c r="HZ74" s="10">
        <v>3000</v>
      </c>
      <c r="IA74" s="644"/>
      <c r="IB74" s="644"/>
      <c r="IC74" s="644"/>
      <c r="ID74" s="10">
        <v>398</v>
      </c>
      <c r="IE74" s="644"/>
      <c r="IF74" s="10">
        <v>69.08</v>
      </c>
      <c r="IG74" s="756"/>
      <c r="IH74" s="10">
        <v>263.012</v>
      </c>
      <c r="II74" s="644"/>
      <c r="IJ74" s="644"/>
      <c r="IK74" s="644"/>
      <c r="IL74" s="674">
        <v>78.328000000000003</v>
      </c>
      <c r="IM74" s="644"/>
      <c r="IN74" s="634">
        <v>53.752000000000002</v>
      </c>
      <c r="IO74" s="644"/>
      <c r="IP74" s="15">
        <v>394.7</v>
      </c>
      <c r="IQ74" s="644"/>
      <c r="IR74" s="15">
        <v>443.1</v>
      </c>
      <c r="IS74" s="644"/>
      <c r="IT74" s="10">
        <v>338.1</v>
      </c>
      <c r="IU74" s="644"/>
      <c r="IV74" s="10">
        <v>241.483</v>
      </c>
      <c r="IW74" s="644"/>
      <c r="IX74" s="700">
        <v>236</v>
      </c>
      <c r="IY74" s="644"/>
      <c r="IZ74" s="10">
        <v>85.662000000000006</v>
      </c>
      <c r="JA74" s="644"/>
      <c r="JB74" s="10"/>
      <c r="JC74" s="644"/>
      <c r="JD74" s="10">
        <v>151.9</v>
      </c>
      <c r="JE74" s="644"/>
      <c r="JF74" s="644"/>
      <c r="JG74" s="644"/>
      <c r="JH74" s="10">
        <v>406543</v>
      </c>
      <c r="JI74" s="644"/>
      <c r="JJ74" s="644"/>
      <c r="JK74" s="644"/>
      <c r="JL74" s="644"/>
      <c r="JM74" s="644"/>
      <c r="JN74" s="10">
        <v>3466369</v>
      </c>
      <c r="JO74" s="644"/>
      <c r="JP74" s="644"/>
      <c r="JQ74" s="644"/>
      <c r="JR74" s="677">
        <f>349.707+489.889</f>
        <v>839.596</v>
      </c>
      <c r="JS74" s="644"/>
      <c r="JT74" s="27">
        <v>21.837</v>
      </c>
      <c r="JU74" s="644"/>
      <c r="JV74" s="10"/>
      <c r="JW74" s="644"/>
      <c r="JX74" s="10">
        <v>949</v>
      </c>
      <c r="JY74" s="644"/>
    </row>
    <row r="75" spans="1:285" ht="56.1" customHeight="1" x14ac:dyDescent="0.2">
      <c r="A75" s="1565"/>
      <c r="B75" s="1567"/>
      <c r="C75" s="1555" t="s">
        <v>133</v>
      </c>
      <c r="D75" s="1557" t="s">
        <v>153</v>
      </c>
      <c r="E75" s="755" t="s">
        <v>48</v>
      </c>
      <c r="F75" s="9" t="s">
        <v>504</v>
      </c>
      <c r="G75" s="756"/>
      <c r="H75" s="9" t="s">
        <v>2251</v>
      </c>
      <c r="I75" s="644"/>
      <c r="J75" s="9" t="s">
        <v>2269</v>
      </c>
      <c r="K75" s="644"/>
      <c r="L75" s="9" t="s">
        <v>2286</v>
      </c>
      <c r="M75" s="644"/>
      <c r="N75" s="757" t="s">
        <v>473</v>
      </c>
      <c r="O75" s="644"/>
      <c r="P75" s="709" t="s">
        <v>502</v>
      </c>
      <c r="Q75" s="644"/>
      <c r="R75" s="9" t="s">
        <v>522</v>
      </c>
      <c r="S75" s="644"/>
      <c r="T75" s="644"/>
      <c r="U75" s="644"/>
      <c r="V75" s="644"/>
      <c r="W75" s="644"/>
      <c r="X75" s="644"/>
      <c r="Y75" s="644"/>
      <c r="Z75" s="9" t="s">
        <v>2301</v>
      </c>
      <c r="AA75" s="644"/>
      <c r="AB75" s="9" t="s">
        <v>465</v>
      </c>
      <c r="AC75" s="644"/>
      <c r="AD75" s="9" t="s">
        <v>2344</v>
      </c>
      <c r="AE75" s="644"/>
      <c r="AF75" s="644"/>
      <c r="AG75" s="644"/>
      <c r="AH75" s="644"/>
      <c r="AI75" s="644"/>
      <c r="AJ75" s="84" t="s">
        <v>650</v>
      </c>
      <c r="AK75" s="644"/>
      <c r="AL75" s="9" t="s">
        <v>2365</v>
      </c>
      <c r="AM75" s="644"/>
      <c r="AN75" s="9" t="s">
        <v>979</v>
      </c>
      <c r="AO75" s="644"/>
      <c r="AP75" s="5" t="s">
        <v>998</v>
      </c>
      <c r="AQ75" s="644"/>
      <c r="AR75" s="9" t="s">
        <v>1015</v>
      </c>
      <c r="AS75" s="644"/>
      <c r="AT75" s="9"/>
      <c r="AU75" s="644"/>
      <c r="AV75" s="757" t="s">
        <v>579</v>
      </c>
      <c r="AW75" s="644"/>
      <c r="AX75" s="9" t="s">
        <v>542</v>
      </c>
      <c r="AY75" s="644"/>
      <c r="AZ75" s="9" t="s">
        <v>559</v>
      </c>
      <c r="BA75" s="644"/>
      <c r="BB75" s="644"/>
      <c r="BC75" s="644"/>
      <c r="BD75" s="5"/>
      <c r="BE75" s="644"/>
      <c r="BF75" s="9"/>
      <c r="BG75" s="644"/>
      <c r="BH75" s="644"/>
      <c r="BI75" s="644"/>
      <c r="BJ75" s="9"/>
      <c r="BK75" s="644"/>
      <c r="BL75" s="9" t="s">
        <v>1027</v>
      </c>
      <c r="BM75" s="644"/>
      <c r="BN75" s="9"/>
      <c r="BO75" s="644"/>
      <c r="BP75" s="9"/>
      <c r="BQ75" s="644"/>
      <c r="BR75" s="9" t="s">
        <v>465</v>
      </c>
      <c r="BS75" s="644"/>
      <c r="BT75" s="9" t="s">
        <v>927</v>
      </c>
      <c r="BU75" s="644"/>
      <c r="BV75" s="9" t="s">
        <v>947</v>
      </c>
      <c r="BW75" s="644"/>
      <c r="BX75" s="9" t="s">
        <v>2152</v>
      </c>
      <c r="BY75" s="644"/>
      <c r="BZ75" s="9" t="s">
        <v>2169</v>
      </c>
      <c r="CA75" s="644"/>
      <c r="CB75" s="9" t="s">
        <v>904</v>
      </c>
      <c r="CC75" s="644"/>
      <c r="CD75" s="644"/>
      <c r="CE75" s="644"/>
      <c r="CF75" s="644"/>
      <c r="CG75" s="644"/>
      <c r="CH75" s="632" t="s">
        <v>2116</v>
      </c>
      <c r="CI75" s="9"/>
      <c r="CJ75" s="9" t="s">
        <v>2116</v>
      </c>
      <c r="CK75" s="9"/>
      <c r="CL75" s="5" t="s">
        <v>624</v>
      </c>
      <c r="CM75" s="644"/>
      <c r="CN75" s="9"/>
      <c r="CO75" s="644"/>
      <c r="CP75" s="9"/>
      <c r="CQ75" s="644"/>
      <c r="CR75" s="9" t="s">
        <v>2451</v>
      </c>
      <c r="CS75" s="644"/>
      <c r="CT75" s="5" t="s">
        <v>2220</v>
      </c>
      <c r="CU75" s="644"/>
      <c r="CV75" s="9" t="s">
        <v>465</v>
      </c>
      <c r="CW75" s="644"/>
      <c r="CX75" s="9" t="s">
        <v>839</v>
      </c>
      <c r="CY75" s="644"/>
      <c r="CZ75" s="9" t="s">
        <v>839</v>
      </c>
      <c r="DA75" s="644"/>
      <c r="DB75" s="9" t="s">
        <v>863</v>
      </c>
      <c r="DC75" s="644"/>
      <c r="DD75" s="659" t="s">
        <v>2471</v>
      </c>
      <c r="DE75" s="644"/>
      <c r="DF75" s="644"/>
      <c r="DG75" s="644"/>
      <c r="DH75" s="5" t="s">
        <v>875</v>
      </c>
      <c r="DI75" s="644"/>
      <c r="DJ75" s="758" t="s">
        <v>504</v>
      </c>
      <c r="DK75" s="644"/>
      <c r="DL75" s="644"/>
      <c r="DM75" s="644"/>
      <c r="DN75" s="9" t="s">
        <v>1147</v>
      </c>
      <c r="DO75" s="644"/>
      <c r="DP75" s="644"/>
      <c r="DQ75" s="644"/>
      <c r="DR75" s="644"/>
      <c r="DS75" s="644"/>
      <c r="DT75" s="644"/>
      <c r="DU75" s="644"/>
      <c r="DV75" s="9" t="s">
        <v>1167</v>
      </c>
      <c r="DW75" s="644"/>
      <c r="DX75" s="9" t="s">
        <v>1189</v>
      </c>
      <c r="DY75" s="644"/>
      <c r="DZ75" s="9" t="s">
        <v>2528</v>
      </c>
      <c r="EA75" s="644"/>
      <c r="EB75" s="644"/>
      <c r="EC75" s="644"/>
      <c r="ED75" s="644"/>
      <c r="EE75" s="644"/>
      <c r="EF75" s="9"/>
      <c r="EG75" s="644"/>
      <c r="EH75" s="10" t="s">
        <v>2059</v>
      </c>
      <c r="EI75" s="644"/>
      <c r="EJ75" s="644"/>
      <c r="EK75" s="644"/>
      <c r="EL75" s="644"/>
      <c r="EM75" s="644"/>
      <c r="EN75" s="9"/>
      <c r="EO75" s="644"/>
      <c r="EP75" s="9" t="s">
        <v>1204</v>
      </c>
      <c r="EQ75" s="644"/>
      <c r="ER75" s="644"/>
      <c r="ES75" s="644"/>
      <c r="ET75" s="9" t="s">
        <v>465</v>
      </c>
      <c r="EU75" s="644"/>
      <c r="EV75" s="9" t="s">
        <v>1469</v>
      </c>
      <c r="EW75" s="644"/>
      <c r="EX75" s="9" t="s">
        <v>1487</v>
      </c>
      <c r="EY75" s="644"/>
      <c r="EZ75" s="5" t="s">
        <v>1505</v>
      </c>
      <c r="FA75" s="644"/>
      <c r="FB75" s="5" t="s">
        <v>1505</v>
      </c>
      <c r="FC75" s="644"/>
      <c r="FD75" s="9" t="s">
        <v>1523</v>
      </c>
      <c r="FE75" s="644"/>
      <c r="FF75" s="9" t="s">
        <v>1547</v>
      </c>
      <c r="FG75" s="644"/>
      <c r="FH75" s="5" t="s">
        <v>1570</v>
      </c>
      <c r="FI75" s="644"/>
      <c r="FJ75" s="632"/>
      <c r="FK75" s="644"/>
      <c r="FL75" s="780" t="s">
        <v>1599</v>
      </c>
      <c r="FM75" s="644"/>
      <c r="FN75" s="9"/>
      <c r="FO75" s="644"/>
      <c r="FP75" s="10" t="s">
        <v>675</v>
      </c>
      <c r="FQ75" s="644"/>
      <c r="FR75" s="644"/>
      <c r="FS75" s="644"/>
      <c r="FT75" s="644"/>
      <c r="FU75" s="644"/>
      <c r="FV75" s="644"/>
      <c r="FW75" s="644"/>
      <c r="FX75" s="9" t="s">
        <v>465</v>
      </c>
      <c r="FY75" s="644"/>
      <c r="FZ75" s="644"/>
      <c r="GA75" s="644"/>
      <c r="GB75" s="9" t="s">
        <v>1636</v>
      </c>
      <c r="GC75" s="644"/>
      <c r="GD75" s="9" t="s">
        <v>2510</v>
      </c>
      <c r="GE75" s="644"/>
      <c r="GF75" s="5" t="s">
        <v>504</v>
      </c>
      <c r="GG75" s="644"/>
      <c r="GH75" s="9" t="s">
        <v>2015</v>
      </c>
      <c r="GI75" s="644"/>
      <c r="GJ75" s="780" t="s">
        <v>1679</v>
      </c>
      <c r="GK75" s="644"/>
      <c r="GL75" s="9" t="str">
        <f>'[4]практика субъекта'!$F$72</f>
        <v>"Методические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с АНО "ИНИ ЕУ в СПб".</v>
      </c>
      <c r="GM75" s="644"/>
      <c r="GN75" s="9" t="s">
        <v>1716</v>
      </c>
      <c r="GO75" s="644"/>
      <c r="GP75" s="9" t="s">
        <v>1739</v>
      </c>
      <c r="GQ75" s="644"/>
      <c r="GR75" s="9" t="s">
        <v>1953</v>
      </c>
      <c r="GS75" s="644"/>
      <c r="GT75" s="5" t="s">
        <v>2081</v>
      </c>
      <c r="GU75" s="644"/>
      <c r="GV75" s="9" t="s">
        <v>1891</v>
      </c>
      <c r="GW75" s="644"/>
      <c r="GX75" s="5" t="s">
        <v>1907</v>
      </c>
      <c r="GY75" s="644"/>
      <c r="GZ75" s="9" t="s">
        <v>504</v>
      </c>
      <c r="HA75" s="644"/>
      <c r="HB75" s="9" t="s">
        <v>1803</v>
      </c>
      <c r="HC75" s="644"/>
      <c r="HD75" s="9" t="s">
        <v>1829</v>
      </c>
      <c r="HE75" s="644"/>
      <c r="HF75" s="9" t="s">
        <v>465</v>
      </c>
      <c r="HG75" s="644"/>
      <c r="HH75" s="9" t="s">
        <v>465</v>
      </c>
      <c r="HI75" s="644"/>
      <c r="HJ75" s="644"/>
      <c r="HK75" s="644"/>
      <c r="HL75" s="665" t="s">
        <v>1756</v>
      </c>
      <c r="HM75" s="644"/>
      <c r="HN75" s="9" t="s">
        <v>1776</v>
      </c>
      <c r="HO75" s="644"/>
      <c r="HP75" s="9" t="s">
        <v>504</v>
      </c>
      <c r="HQ75" s="644"/>
      <c r="HR75" s="9"/>
      <c r="HS75" s="644"/>
      <c r="HT75" s="633" t="s">
        <v>1303</v>
      </c>
      <c r="HU75" s="644"/>
      <c r="HV75" s="9" t="s">
        <v>504</v>
      </c>
      <c r="HW75" s="644"/>
      <c r="HX75" s="9"/>
      <c r="HY75" s="644"/>
      <c r="HZ75" s="9" t="s">
        <v>2201</v>
      </c>
      <c r="IA75" s="644"/>
      <c r="IB75" s="644"/>
      <c r="IC75" s="644"/>
      <c r="ID75" s="9" t="s">
        <v>1228</v>
      </c>
      <c r="IE75" s="644"/>
      <c r="IF75" s="5" t="s">
        <v>1254</v>
      </c>
      <c r="IG75" s="756"/>
      <c r="IH75" s="9"/>
      <c r="II75" s="644"/>
      <c r="IJ75" s="644"/>
      <c r="IK75" s="644"/>
      <c r="IL75" s="674" t="s">
        <v>1345</v>
      </c>
      <c r="IM75" s="644"/>
      <c r="IN75" s="634" t="s">
        <v>1357</v>
      </c>
      <c r="IO75" s="644"/>
      <c r="IP75" s="9" t="s">
        <v>743</v>
      </c>
      <c r="IQ75" s="644"/>
      <c r="IR75" s="9"/>
      <c r="IS75" s="644"/>
      <c r="IT75" s="20" t="s">
        <v>1077</v>
      </c>
      <c r="IU75" s="644"/>
      <c r="IV75" s="9" t="s">
        <v>1096</v>
      </c>
      <c r="IW75" s="644"/>
      <c r="IX75" s="31" t="s">
        <v>1110</v>
      </c>
      <c r="IY75" s="644"/>
      <c r="IZ75" s="9" t="s">
        <v>1377</v>
      </c>
      <c r="JA75" s="644"/>
      <c r="JB75" s="9"/>
      <c r="JC75" s="644"/>
      <c r="JD75" s="9" t="s">
        <v>1414</v>
      </c>
      <c r="JE75" s="644"/>
      <c r="JF75" s="644"/>
      <c r="JG75" s="644"/>
      <c r="JH75" s="9" t="s">
        <v>807</v>
      </c>
      <c r="JI75" s="644"/>
      <c r="JJ75" s="644"/>
      <c r="JK75" s="644"/>
      <c r="JL75" s="644"/>
      <c r="JM75" s="644"/>
      <c r="JN75" s="9" t="s">
        <v>2489</v>
      </c>
      <c r="JO75" s="644"/>
      <c r="JP75" s="644"/>
      <c r="JQ75" s="644"/>
      <c r="JR75" s="722" t="s">
        <v>1048</v>
      </c>
      <c r="JS75" s="644"/>
      <c r="JT75" s="9" t="s">
        <v>1129</v>
      </c>
      <c r="JU75" s="644"/>
      <c r="JV75" s="9"/>
      <c r="JW75" s="644"/>
      <c r="JX75" s="9" t="s">
        <v>712</v>
      </c>
      <c r="JY75" s="644"/>
    </row>
    <row r="76" spans="1:285" ht="21" customHeight="1" x14ac:dyDescent="0.2">
      <c r="A76" s="1565"/>
      <c r="B76" s="1567"/>
      <c r="C76" s="1556"/>
      <c r="D76" s="1559"/>
      <c r="E76" s="755" t="s">
        <v>50</v>
      </c>
      <c r="F76" s="9"/>
      <c r="G76" s="756"/>
      <c r="H76" s="23" t="s">
        <v>2252</v>
      </c>
      <c r="I76" s="644"/>
      <c r="J76" s="23" t="s">
        <v>2252</v>
      </c>
      <c r="K76" s="644"/>
      <c r="L76" s="9" t="s">
        <v>465</v>
      </c>
      <c r="M76" s="644"/>
      <c r="N76" s="757" t="s">
        <v>465</v>
      </c>
      <c r="O76" s="644"/>
      <c r="P76" s="753" t="s">
        <v>465</v>
      </c>
      <c r="Q76" s="644"/>
      <c r="R76" s="23" t="s">
        <v>523</v>
      </c>
      <c r="S76" s="644"/>
      <c r="T76" s="644"/>
      <c r="U76" s="644"/>
      <c r="V76" s="644"/>
      <c r="W76" s="644"/>
      <c r="X76" s="644"/>
      <c r="Y76" s="644"/>
      <c r="Z76" s="9" t="s">
        <v>465</v>
      </c>
      <c r="AA76" s="644"/>
      <c r="AB76" s="9" t="s">
        <v>465</v>
      </c>
      <c r="AC76" s="644"/>
      <c r="AD76" s="9" t="s">
        <v>465</v>
      </c>
      <c r="AE76" s="644"/>
      <c r="AF76" s="644"/>
      <c r="AG76" s="644"/>
      <c r="AH76" s="644"/>
      <c r="AI76" s="644"/>
      <c r="AJ76" s="84" t="s">
        <v>651</v>
      </c>
      <c r="AK76" s="644"/>
      <c r="AL76" s="9"/>
      <c r="AM76" s="644"/>
      <c r="AN76" s="9"/>
      <c r="AO76" s="644"/>
      <c r="AP76" s="9"/>
      <c r="AQ76" s="644"/>
      <c r="AR76" s="9"/>
      <c r="AS76" s="644"/>
      <c r="AT76" s="9"/>
      <c r="AU76" s="644"/>
      <c r="AV76" s="775" t="s">
        <v>573</v>
      </c>
      <c r="AW76" s="644"/>
      <c r="AX76" s="9"/>
      <c r="AY76" s="644"/>
      <c r="AZ76" s="9"/>
      <c r="BA76" s="644"/>
      <c r="BB76" s="644"/>
      <c r="BC76" s="644"/>
      <c r="BD76" s="5"/>
      <c r="BE76" s="644"/>
      <c r="BF76" s="9"/>
      <c r="BG76" s="644"/>
      <c r="BH76" s="644"/>
      <c r="BI76" s="644"/>
      <c r="BJ76" s="9"/>
      <c r="BK76" s="644"/>
      <c r="BL76" s="9"/>
      <c r="BM76" s="644"/>
      <c r="BN76" s="9"/>
      <c r="BO76" s="644"/>
      <c r="BP76" s="9"/>
      <c r="BQ76" s="644"/>
      <c r="BR76" s="9"/>
      <c r="BS76" s="644"/>
      <c r="BT76" s="9"/>
      <c r="BU76" s="644"/>
      <c r="BV76" s="9"/>
      <c r="BW76" s="644"/>
      <c r="BX76" s="650"/>
      <c r="BY76" s="644"/>
      <c r="BZ76" s="650" t="s">
        <v>2165</v>
      </c>
      <c r="CA76" s="644"/>
      <c r="CB76" s="9" t="s">
        <v>905</v>
      </c>
      <c r="CC76" s="644"/>
      <c r="CD76" s="644"/>
      <c r="CE76" s="644"/>
      <c r="CF76" s="644"/>
      <c r="CG76" s="644"/>
      <c r="CH76" s="632" t="s">
        <v>465</v>
      </c>
      <c r="CI76" s="9"/>
      <c r="CJ76" s="9" t="s">
        <v>465</v>
      </c>
      <c r="CK76" s="9"/>
      <c r="CL76" s="5" t="s">
        <v>625</v>
      </c>
      <c r="CM76" s="644"/>
      <c r="CN76" s="9"/>
      <c r="CO76" s="644"/>
      <c r="CP76" s="9"/>
      <c r="CQ76" s="644"/>
      <c r="CR76" s="9"/>
      <c r="CS76" s="644"/>
      <c r="CT76" s="9"/>
      <c r="CU76" s="644"/>
      <c r="CV76" s="9" t="s">
        <v>465</v>
      </c>
      <c r="CW76" s="644"/>
      <c r="CX76" s="9" t="s">
        <v>465</v>
      </c>
      <c r="CY76" s="644"/>
      <c r="CZ76" s="723" t="s">
        <v>465</v>
      </c>
      <c r="DA76" s="644"/>
      <c r="DB76" s="9" t="s">
        <v>465</v>
      </c>
      <c r="DC76" s="644"/>
      <c r="DD76" s="659" t="s">
        <v>2472</v>
      </c>
      <c r="DE76" s="644"/>
      <c r="DF76" s="644"/>
      <c r="DG76" s="644"/>
      <c r="DH76" s="9"/>
      <c r="DI76" s="644"/>
      <c r="DJ76" s="758"/>
      <c r="DK76" s="644"/>
      <c r="DL76" s="644"/>
      <c r="DM76" s="644"/>
      <c r="DN76" s="9" t="s">
        <v>504</v>
      </c>
      <c r="DO76" s="644"/>
      <c r="DP76" s="644"/>
      <c r="DQ76" s="644"/>
      <c r="DR76" s="644"/>
      <c r="DS76" s="644"/>
      <c r="DT76" s="644"/>
      <c r="DU76" s="644"/>
      <c r="DV76" s="16" t="s">
        <v>465</v>
      </c>
      <c r="DW76" s="644"/>
      <c r="DX76" s="8" t="s">
        <v>1190</v>
      </c>
      <c r="DY76" s="644"/>
      <c r="DZ76" s="9" t="s">
        <v>465</v>
      </c>
      <c r="EA76" s="644"/>
      <c r="EB76" s="644"/>
      <c r="EC76" s="644"/>
      <c r="ED76" s="644"/>
      <c r="EE76" s="644"/>
      <c r="EF76" s="9"/>
      <c r="EG76" s="644"/>
      <c r="EH76" s="16" t="s">
        <v>2053</v>
      </c>
      <c r="EI76" s="644"/>
      <c r="EJ76" s="644"/>
      <c r="EK76" s="644"/>
      <c r="EL76" s="644"/>
      <c r="EM76" s="644"/>
      <c r="EN76" s="9"/>
      <c r="EO76" s="644"/>
      <c r="EP76" s="9"/>
      <c r="EQ76" s="644"/>
      <c r="ER76" s="644"/>
      <c r="ES76" s="644"/>
      <c r="ET76" s="25" t="s">
        <v>465</v>
      </c>
      <c r="EU76" s="644"/>
      <c r="EV76" s="25" t="s">
        <v>465</v>
      </c>
      <c r="EW76" s="644"/>
      <c r="EX76" s="9"/>
      <c r="EY76" s="644"/>
      <c r="EZ76" s="9"/>
      <c r="FA76" s="644"/>
      <c r="FB76" s="9"/>
      <c r="FC76" s="644"/>
      <c r="FD76" s="23" t="s">
        <v>1518</v>
      </c>
      <c r="FE76" s="644"/>
      <c r="FF76" s="23" t="s">
        <v>1548</v>
      </c>
      <c r="FG76" s="644"/>
      <c r="FH76" s="9"/>
      <c r="FI76" s="644"/>
      <c r="FJ76" s="632"/>
      <c r="FK76" s="644"/>
      <c r="FL76" s="780" t="s">
        <v>504</v>
      </c>
      <c r="FM76" s="644"/>
      <c r="FN76" s="9"/>
      <c r="FO76" s="644"/>
      <c r="FP76" s="9"/>
      <c r="FQ76" s="644"/>
      <c r="FR76" s="644"/>
      <c r="FS76" s="644"/>
      <c r="FT76" s="644"/>
      <c r="FU76" s="644"/>
      <c r="FV76" s="644"/>
      <c r="FW76" s="644"/>
      <c r="FX76" s="9" t="s">
        <v>465</v>
      </c>
      <c r="FY76" s="644"/>
      <c r="FZ76" s="644"/>
      <c r="GA76" s="644"/>
      <c r="GB76" s="9"/>
      <c r="GC76" s="644"/>
      <c r="GD76" s="9" t="s">
        <v>2499</v>
      </c>
      <c r="GE76" s="644"/>
      <c r="GF76" s="5" t="s">
        <v>504</v>
      </c>
      <c r="GG76" s="644"/>
      <c r="GH76" s="9" t="s">
        <v>2008</v>
      </c>
      <c r="GI76" s="644"/>
      <c r="GJ76" s="780" t="s">
        <v>1669</v>
      </c>
      <c r="GK76" s="644"/>
      <c r="GL76" s="9" t="str">
        <f>'[4]практика субъекта'!$F$73</f>
        <v>Материалы размещены на портале проекта: https://tvoybudget.spb.ru/materials/material/80</v>
      </c>
      <c r="GM76" s="644"/>
      <c r="GN76" s="9" t="s">
        <v>1717</v>
      </c>
      <c r="GO76" s="644"/>
      <c r="GP76" s="23" t="s">
        <v>1740</v>
      </c>
      <c r="GQ76" s="644"/>
      <c r="GR76" s="9"/>
      <c r="GS76" s="644"/>
      <c r="GT76" s="23" t="s">
        <v>2077</v>
      </c>
      <c r="GU76" s="644"/>
      <c r="GV76" s="9"/>
      <c r="GW76" s="644"/>
      <c r="GX76" s="9"/>
      <c r="GY76" s="644"/>
      <c r="GZ76" s="9"/>
      <c r="HA76" s="644"/>
      <c r="HB76" s="9"/>
      <c r="HC76" s="644"/>
      <c r="HD76" s="9"/>
      <c r="HE76" s="644"/>
      <c r="HF76" s="9"/>
      <c r="HG76" s="644"/>
      <c r="HH76" s="9" t="s">
        <v>465</v>
      </c>
      <c r="HI76" s="644"/>
      <c r="HJ76" s="644"/>
      <c r="HK76" s="644"/>
      <c r="HL76" s="9"/>
      <c r="HM76" s="644"/>
      <c r="HN76" s="9" t="s">
        <v>465</v>
      </c>
      <c r="HO76" s="644"/>
      <c r="HP76" s="9"/>
      <c r="HQ76" s="644"/>
      <c r="HR76" s="9"/>
      <c r="HS76" s="644"/>
      <c r="HT76" s="651" t="s">
        <v>1289</v>
      </c>
      <c r="HU76" s="644"/>
      <c r="HV76" s="9"/>
      <c r="HW76" s="644"/>
      <c r="HX76" s="9"/>
      <c r="HY76" s="644"/>
      <c r="HZ76" s="9"/>
      <c r="IA76" s="644"/>
      <c r="IB76" s="644"/>
      <c r="IC76" s="644"/>
      <c r="ID76" s="9"/>
      <c r="IE76" s="644"/>
      <c r="IF76" s="9" t="s">
        <v>504</v>
      </c>
      <c r="IG76" s="756"/>
      <c r="IH76" s="9"/>
      <c r="II76" s="644"/>
      <c r="IJ76" s="644"/>
      <c r="IK76" s="644"/>
      <c r="IL76" s="674"/>
      <c r="IM76" s="644"/>
      <c r="IN76" s="634" t="s">
        <v>465</v>
      </c>
      <c r="IO76" s="644"/>
      <c r="IP76" s="650" t="s">
        <v>738</v>
      </c>
      <c r="IQ76" s="644"/>
      <c r="IR76" s="650"/>
      <c r="IS76" s="644"/>
      <c r="IT76" s="650" t="s">
        <v>1078</v>
      </c>
      <c r="IU76" s="644"/>
      <c r="IV76" s="650" t="s">
        <v>1091</v>
      </c>
      <c r="IW76" s="644"/>
      <c r="IX76" s="661">
        <f>JB134</f>
        <v>0</v>
      </c>
      <c r="IY76" s="644"/>
      <c r="IZ76" s="9" t="s">
        <v>504</v>
      </c>
      <c r="JA76" s="644"/>
      <c r="JB76" s="9"/>
      <c r="JC76" s="644"/>
      <c r="JD76" s="9" t="s">
        <v>465</v>
      </c>
      <c r="JE76" s="644"/>
      <c r="JF76" s="644"/>
      <c r="JG76" s="644"/>
      <c r="JH76" s="9" t="s">
        <v>504</v>
      </c>
      <c r="JI76" s="644"/>
      <c r="JJ76" s="644"/>
      <c r="JK76" s="644"/>
      <c r="JL76" s="644"/>
      <c r="JM76" s="644"/>
      <c r="JN76" s="9" t="s">
        <v>504</v>
      </c>
      <c r="JO76" s="644"/>
      <c r="JP76" s="644"/>
      <c r="JQ76" s="644"/>
      <c r="JR76" s="659" t="s">
        <v>465</v>
      </c>
      <c r="JS76" s="644"/>
      <c r="JT76" s="9" t="s">
        <v>465</v>
      </c>
      <c r="JU76" s="644"/>
      <c r="JV76" s="9"/>
      <c r="JW76" s="644"/>
      <c r="JX76" s="9"/>
      <c r="JY76" s="644"/>
    </row>
    <row r="77" spans="1:285" ht="33.75" customHeight="1" x14ac:dyDescent="0.2">
      <c r="A77" s="1565"/>
      <c r="B77" s="1567"/>
      <c r="C77" s="82" t="s">
        <v>134</v>
      </c>
      <c r="D77" s="83" t="s">
        <v>225</v>
      </c>
      <c r="E77" s="755" t="s">
        <v>52</v>
      </c>
      <c r="F77" s="11">
        <v>8.9099999999999999E-2</v>
      </c>
      <c r="G77" s="756"/>
      <c r="H77" s="11">
        <f>+H74/H78</f>
        <v>0.39443618294584887</v>
      </c>
      <c r="I77" s="644"/>
      <c r="J77" s="11">
        <f>+J74/J78</f>
        <v>0.57623952703928039</v>
      </c>
      <c r="K77" s="644"/>
      <c r="L77" s="11">
        <f>L74*100%/221</f>
        <v>0.15837104072398189</v>
      </c>
      <c r="M77" s="644"/>
      <c r="N77" s="791">
        <v>0.1135</v>
      </c>
      <c r="O77" s="644"/>
      <c r="P77" s="681">
        <f>P74/P78</f>
        <v>3.8495515833438711E-3</v>
      </c>
      <c r="Q77" s="644"/>
      <c r="R77" s="11">
        <v>0.20419999999999999</v>
      </c>
      <c r="S77" s="644"/>
      <c r="T77" s="644"/>
      <c r="U77" s="644"/>
      <c r="V77" s="644"/>
      <c r="W77" s="644"/>
      <c r="X77" s="644"/>
      <c r="Y77" s="644"/>
      <c r="Z77" s="11">
        <v>0.19470000000000001</v>
      </c>
      <c r="AA77" s="644"/>
      <c r="AB77" s="11" t="s">
        <v>2328</v>
      </c>
      <c r="AC77" s="644"/>
      <c r="AD77" s="11">
        <v>2.3099999999999999E-2</v>
      </c>
      <c r="AE77" s="644"/>
      <c r="AF77" s="644"/>
      <c r="AG77" s="644"/>
      <c r="AH77" s="644"/>
      <c r="AI77" s="644"/>
      <c r="AJ77" s="681">
        <v>0.27600000000000002</v>
      </c>
      <c r="AK77" s="644"/>
      <c r="AL77" s="11">
        <v>0.23430000000000001</v>
      </c>
      <c r="AM77" s="644"/>
      <c r="AN77" s="11">
        <v>0.79290000000000005</v>
      </c>
      <c r="AO77" s="644"/>
      <c r="AP77" s="11">
        <f>AP74/AP78</f>
        <v>2.5088043721510935E-2</v>
      </c>
      <c r="AQ77" s="644"/>
      <c r="AR77" s="11">
        <v>0.158</v>
      </c>
      <c r="AS77" s="644"/>
      <c r="AT77" s="11">
        <f>AT74/AT78</f>
        <v>0.8019128929595648</v>
      </c>
      <c r="AU77" s="644"/>
      <c r="AV77" s="791">
        <v>0.218</v>
      </c>
      <c r="AW77" s="644"/>
      <c r="AX77" s="11">
        <f>AX74/2324.205</f>
        <v>0.56475224861834472</v>
      </c>
      <c r="AY77" s="644"/>
      <c r="AZ77" s="11">
        <v>0.19</v>
      </c>
      <c r="BA77" s="644"/>
      <c r="BB77" s="644"/>
      <c r="BC77" s="644"/>
      <c r="BD77" s="5"/>
      <c r="BE77" s="644"/>
      <c r="BF77" s="11"/>
      <c r="BG77" s="644"/>
      <c r="BH77" s="644"/>
      <c r="BI77" s="644"/>
      <c r="BJ77" s="11">
        <v>1.044E-2</v>
      </c>
      <c r="BK77" s="644"/>
      <c r="BL77" s="11"/>
      <c r="BM77" s="644"/>
      <c r="BN77" s="11">
        <v>8.9999999999999998E-4</v>
      </c>
      <c r="BO77" s="644"/>
      <c r="BP77" s="11"/>
      <c r="BQ77" s="644"/>
      <c r="BR77" s="11">
        <f>BR74/BR78</f>
        <v>1.1631254678413082E-2</v>
      </c>
      <c r="BS77" s="644"/>
      <c r="BT77" s="11">
        <f>BT74/BT78</f>
        <v>0.51668819727568671</v>
      </c>
      <c r="BU77" s="644"/>
      <c r="BV77" s="11">
        <f>BV74/BV78</f>
        <v>9.6858111311273351E-2</v>
      </c>
      <c r="BW77" s="644"/>
      <c r="BX77" s="683">
        <f>BX74/269.984</f>
        <v>0.22513926751214888</v>
      </c>
      <c r="BY77" s="644"/>
      <c r="BZ77" s="683">
        <f>15115/271135</f>
        <v>5.5747137035056335E-2</v>
      </c>
      <c r="CA77" s="644"/>
      <c r="CB77" s="11">
        <v>0.36599999999999999</v>
      </c>
      <c r="CC77" s="644"/>
      <c r="CD77" s="644"/>
      <c r="CE77" s="644"/>
      <c r="CF77" s="644"/>
      <c r="CG77" s="644"/>
      <c r="CH77" s="683">
        <f>CH74/CH78</f>
        <v>0.88845464907995442</v>
      </c>
      <c r="CI77" s="11"/>
      <c r="CJ77" s="11">
        <f>CJ74/CJ78</f>
        <v>0.14964989415404659</v>
      </c>
      <c r="CK77" s="11"/>
      <c r="CL77" s="11">
        <v>0.34489999999999998</v>
      </c>
      <c r="CM77" s="644"/>
      <c r="CN77" s="11"/>
      <c r="CO77" s="644"/>
      <c r="CP77" s="11"/>
      <c r="CQ77" s="644"/>
      <c r="CR77" s="11">
        <v>0.47599999999999998</v>
      </c>
      <c r="CS77" s="644"/>
      <c r="CT77" s="11">
        <v>0.76500000000000001</v>
      </c>
      <c r="CU77" s="644"/>
      <c r="CV77" s="11">
        <f>CV74/CV78</f>
        <v>2.6050506406056349E-2</v>
      </c>
      <c r="CW77" s="644"/>
      <c r="CX77" s="11">
        <v>0.66600000000000004</v>
      </c>
      <c r="CY77" s="644"/>
      <c r="CZ77" s="11">
        <f>CZ74/CZ78</f>
        <v>1.9261586554781055E-2</v>
      </c>
      <c r="DA77" s="644"/>
      <c r="DB77" s="11">
        <f>DB74/DB78</f>
        <v>0.86171917554094268</v>
      </c>
      <c r="DC77" s="644"/>
      <c r="DD77" s="5">
        <v>30</v>
      </c>
      <c r="DE77" s="644"/>
      <c r="DF77" s="644"/>
      <c r="DG77" s="644"/>
      <c r="DH77" s="11">
        <v>1</v>
      </c>
      <c r="DI77" s="644"/>
      <c r="DJ77" s="792">
        <v>1.9E-2</v>
      </c>
      <c r="DK77" s="644"/>
      <c r="DL77" s="644"/>
      <c r="DM77" s="644"/>
      <c r="DN77" s="11">
        <v>0.317</v>
      </c>
      <c r="DO77" s="644"/>
      <c r="DP77" s="644"/>
      <c r="DQ77" s="644"/>
      <c r="DR77" s="644"/>
      <c r="DS77" s="644"/>
      <c r="DT77" s="644"/>
      <c r="DU77" s="644"/>
      <c r="DV77" s="11">
        <v>6.7500000000000004E-2</v>
      </c>
      <c r="DW77" s="644"/>
      <c r="DX77" s="11">
        <v>0.27100000000000002</v>
      </c>
      <c r="DY77" s="644"/>
      <c r="DZ77" s="11">
        <v>0.55300000000000005</v>
      </c>
      <c r="EA77" s="644"/>
      <c r="EB77" s="644"/>
      <c r="EC77" s="644"/>
      <c r="ED77" s="644"/>
      <c r="EE77" s="644"/>
      <c r="EF77" s="11">
        <f>EF74/EF78</f>
        <v>4.517586270529618E-2</v>
      </c>
      <c r="EG77" s="644"/>
      <c r="EH77" s="11">
        <f>EH74/EH78</f>
        <v>0.14832109245248201</v>
      </c>
      <c r="EI77" s="644"/>
      <c r="EJ77" s="644"/>
      <c r="EK77" s="644"/>
      <c r="EL77" s="644"/>
      <c r="EM77" s="644"/>
      <c r="EN77" s="11"/>
      <c r="EO77" s="644"/>
      <c r="EP77" s="11">
        <v>0.29010000000000002</v>
      </c>
      <c r="EQ77" s="644"/>
      <c r="ER77" s="644"/>
      <c r="ES77" s="644"/>
      <c r="ET77" s="11">
        <v>1</v>
      </c>
      <c r="EU77" s="644"/>
      <c r="EV77" s="11">
        <v>0.75760000000000005</v>
      </c>
      <c r="EW77" s="644"/>
      <c r="EX77" s="11">
        <v>0.27389999999999998</v>
      </c>
      <c r="EY77" s="644"/>
      <c r="EZ77" s="11">
        <v>2.8199999999999999E-2</v>
      </c>
      <c r="FA77" s="644"/>
      <c r="FB77" s="11">
        <v>3.0099999999999998E-2</v>
      </c>
      <c r="FC77" s="644"/>
      <c r="FD77" s="11">
        <v>3.6200000000000003E-2</v>
      </c>
      <c r="FE77" s="644"/>
      <c r="FF77" s="11">
        <v>0.15859999999999999</v>
      </c>
      <c r="FG77" s="644"/>
      <c r="FH77" s="11">
        <v>3.6999999999999998E-2</v>
      </c>
      <c r="FI77" s="644"/>
      <c r="FJ77" s="683">
        <v>0.74050000000000005</v>
      </c>
      <c r="FK77" s="644"/>
      <c r="FL77" s="793" t="s">
        <v>1611</v>
      </c>
      <c r="FM77" s="772" t="s">
        <v>1610</v>
      </c>
      <c r="FN77" s="11"/>
      <c r="FO77" s="644"/>
      <c r="FP77" s="11">
        <f>FP74/FP78</f>
        <v>5.7350776778413742E-2</v>
      </c>
      <c r="FQ77" s="644"/>
      <c r="FR77" s="644"/>
      <c r="FS77" s="644"/>
      <c r="FT77" s="644"/>
      <c r="FU77" s="644"/>
      <c r="FV77" s="644"/>
      <c r="FW77" s="644"/>
      <c r="FX77" s="11" t="s">
        <v>465</v>
      </c>
      <c r="FY77" s="644"/>
      <c r="FZ77" s="644"/>
      <c r="GA77" s="644"/>
      <c r="GB77" s="11">
        <f>GB74/GB78</f>
        <v>1.7474019310379885E-2</v>
      </c>
      <c r="GC77" s="644"/>
      <c r="GD77" s="11">
        <v>0.15373000000000001</v>
      </c>
      <c r="GE77" s="644"/>
      <c r="GF77" s="703">
        <v>0.85</v>
      </c>
      <c r="GG77" s="644"/>
      <c r="GH77" s="11">
        <v>0.45</v>
      </c>
      <c r="GI77" s="644"/>
      <c r="GJ77" s="793">
        <v>1.5565</v>
      </c>
      <c r="GK77" s="644"/>
      <c r="GL77" s="11">
        <f>GL74/GL78</f>
        <v>7.629530219291419E-4</v>
      </c>
      <c r="GM77" s="644"/>
      <c r="GN77" s="11">
        <f>GN74/GN78</f>
        <v>0.71845160293309762</v>
      </c>
      <c r="GO77" s="644"/>
      <c r="GP77" s="11">
        <f>GP74/GP78</f>
        <v>2.2286845820714956E-6</v>
      </c>
      <c r="GQ77" s="644"/>
      <c r="GR77" s="11">
        <v>0.13428000000000001</v>
      </c>
      <c r="GS77" s="644"/>
      <c r="GT77" s="11">
        <v>0.85199999999999998</v>
      </c>
      <c r="GU77" s="644"/>
      <c r="GV77" s="11">
        <v>0.20399999999999999</v>
      </c>
      <c r="GW77" s="644"/>
      <c r="GX77" s="11">
        <v>0.24199999999999999</v>
      </c>
      <c r="GY77" s="644"/>
      <c r="GZ77" s="11" t="s">
        <v>465</v>
      </c>
      <c r="HA77" s="644"/>
      <c r="HB77" s="11">
        <f>HB74/HB78</f>
        <v>2.6933099433708967E-2</v>
      </c>
      <c r="HC77" s="644"/>
      <c r="HD77" s="11">
        <f>HD74/HD78</f>
        <v>0.84904148555645864</v>
      </c>
      <c r="HE77" s="644"/>
      <c r="HF77" s="11">
        <f>HF74/HF78</f>
        <v>4.0388050055200101E-4</v>
      </c>
      <c r="HG77" s="644"/>
      <c r="HH77" s="11">
        <v>2.5600000000000001E-2</v>
      </c>
      <c r="HI77" s="644"/>
      <c r="HJ77" s="644"/>
      <c r="HK77" s="644"/>
      <c r="HL77" s="11">
        <v>8.2000000000000007E-3</v>
      </c>
      <c r="HM77" s="644"/>
      <c r="HN77" s="11">
        <f>HN74/HN78</f>
        <v>0.66866498681244269</v>
      </c>
      <c r="HO77" s="644"/>
      <c r="HP77" s="11">
        <v>6.5000000000000002E-2</v>
      </c>
      <c r="HQ77" s="644"/>
      <c r="HR77" s="686">
        <v>0.85099999999999998</v>
      </c>
      <c r="HS77" s="644"/>
      <c r="HT77" s="686">
        <v>0.36699999999999999</v>
      </c>
      <c r="HU77" s="644"/>
      <c r="HV77" s="11">
        <v>5.0000000000000001E-4</v>
      </c>
      <c r="HW77" s="644"/>
      <c r="HX77" s="11">
        <v>8.9999999999999998E-4</v>
      </c>
      <c r="HY77" s="644"/>
      <c r="HZ77" s="11">
        <v>0.77</v>
      </c>
      <c r="IA77" s="644"/>
      <c r="IB77" s="644"/>
      <c r="IC77" s="644"/>
      <c r="ID77" s="11"/>
      <c r="IE77" s="644"/>
      <c r="IF77" s="11">
        <f>IF74/IF78</f>
        <v>6.4004447326971192E-2</v>
      </c>
      <c r="IG77" s="756"/>
      <c r="IH77" s="11">
        <v>0.17899999999999999</v>
      </c>
      <c r="II77" s="644"/>
      <c r="IJ77" s="644"/>
      <c r="IK77" s="644"/>
      <c r="IL77" s="686">
        <f>IL74/IL78</f>
        <v>5.0947824141286423E-2</v>
      </c>
      <c r="IM77" s="644"/>
      <c r="IN77" s="724">
        <f>IN74/IN78</f>
        <v>3.4962560556153967E-2</v>
      </c>
      <c r="IO77" s="644"/>
      <c r="IP77" s="15">
        <v>26.3</v>
      </c>
      <c r="IQ77" s="644"/>
      <c r="IR77" s="15">
        <v>29.5</v>
      </c>
      <c r="IS77" s="644"/>
      <c r="IT77" s="11">
        <v>0.27500000000000002</v>
      </c>
      <c r="IU77" s="644"/>
      <c r="IV77" s="11">
        <v>0.29299999999999998</v>
      </c>
      <c r="IW77" s="644"/>
      <c r="IX77" s="688">
        <v>0.2</v>
      </c>
      <c r="IY77" s="644"/>
      <c r="IZ77" s="287">
        <v>6.57</v>
      </c>
      <c r="JA77" s="644"/>
      <c r="JB77" s="11"/>
      <c r="JC77" s="644"/>
      <c r="JD77" s="11">
        <v>0.11550000000000001</v>
      </c>
      <c r="JE77" s="644"/>
      <c r="JF77" s="644"/>
      <c r="JG77" s="644"/>
      <c r="JH77" s="11">
        <f>JH74/JH78</f>
        <v>0.24275919640575253</v>
      </c>
      <c r="JI77" s="644"/>
      <c r="JJ77" s="644"/>
      <c r="JK77" s="644"/>
      <c r="JL77" s="644"/>
      <c r="JM77" s="644"/>
      <c r="JN77" s="11">
        <v>1</v>
      </c>
      <c r="JO77" s="644"/>
      <c r="JP77" s="644"/>
      <c r="JQ77" s="644"/>
      <c r="JR77" s="725">
        <f>JR74/JR78</f>
        <v>0.69198689207722341</v>
      </c>
      <c r="JS77" s="644"/>
      <c r="JT77" s="11">
        <v>0.443</v>
      </c>
      <c r="JU77" s="644"/>
      <c r="JV77" s="11"/>
      <c r="JW77" s="644"/>
      <c r="JX77" s="11">
        <v>0.75700000000000001</v>
      </c>
      <c r="JY77" s="644"/>
    </row>
    <row r="78" spans="1:285" ht="29.25" customHeight="1" x14ac:dyDescent="0.2">
      <c r="A78" s="1565"/>
      <c r="B78" s="1567"/>
      <c r="C78" s="1558" t="s">
        <v>221</v>
      </c>
      <c r="D78" s="1557" t="s">
        <v>257</v>
      </c>
      <c r="E78" s="755" t="s">
        <v>54</v>
      </c>
      <c r="F78" s="10">
        <v>463088</v>
      </c>
      <c r="G78" s="756"/>
      <c r="H78" s="13">
        <v>220.56800000000001</v>
      </c>
      <c r="I78" s="644"/>
      <c r="J78" s="13">
        <v>220.56800000000001</v>
      </c>
      <c r="K78" s="644"/>
      <c r="L78" s="13">
        <v>220.56800000000001</v>
      </c>
      <c r="M78" s="644"/>
      <c r="N78" s="785">
        <v>2317.1529999999998</v>
      </c>
      <c r="O78" s="644"/>
      <c r="P78" s="666">
        <v>2317.1529999999998</v>
      </c>
      <c r="Q78" s="644"/>
      <c r="R78" s="10">
        <v>790.04399999999998</v>
      </c>
      <c r="S78" s="644"/>
      <c r="T78" s="644"/>
      <c r="U78" s="644"/>
      <c r="V78" s="644"/>
      <c r="W78" s="644"/>
      <c r="X78" s="644"/>
      <c r="Y78" s="644"/>
      <c r="Z78" s="10">
        <v>4038.1509999999998</v>
      </c>
      <c r="AA78" s="644"/>
      <c r="AB78" s="10">
        <v>4038.1509999999998</v>
      </c>
      <c r="AC78" s="644"/>
      <c r="AD78" s="10">
        <v>4038.1509999999998</v>
      </c>
      <c r="AE78" s="644"/>
      <c r="AF78" s="644"/>
      <c r="AG78" s="644"/>
      <c r="AH78" s="644"/>
      <c r="AI78" s="644"/>
      <c r="AJ78" s="666">
        <v>119291</v>
      </c>
      <c r="AK78" s="644"/>
      <c r="AL78" s="10">
        <v>985.9</v>
      </c>
      <c r="AM78" s="644"/>
      <c r="AN78" s="10">
        <v>1358.4159999999999</v>
      </c>
      <c r="AO78" s="644"/>
      <c r="AP78" s="10">
        <v>1358.4159999999999</v>
      </c>
      <c r="AQ78" s="644"/>
      <c r="AR78" s="10">
        <v>1358.4159999999999</v>
      </c>
      <c r="AS78" s="644"/>
      <c r="AT78" s="10">
        <v>2491.096</v>
      </c>
      <c r="AU78" s="644"/>
      <c r="AV78" s="785">
        <v>1160.4449999999999</v>
      </c>
      <c r="AW78" s="644"/>
      <c r="AX78" s="10">
        <v>2324.2049999999999</v>
      </c>
      <c r="AY78" s="644"/>
      <c r="AZ78" s="10">
        <v>2324.2049999999999</v>
      </c>
      <c r="BA78" s="644"/>
      <c r="BB78" s="644"/>
      <c r="BC78" s="644"/>
      <c r="BD78" s="5"/>
      <c r="BE78" s="644"/>
      <c r="BF78" s="10">
        <v>3101.8580000000002</v>
      </c>
      <c r="BG78" s="644"/>
      <c r="BH78" s="644"/>
      <c r="BI78" s="644"/>
      <c r="BJ78" s="10">
        <v>1053</v>
      </c>
      <c r="BK78" s="644"/>
      <c r="BL78" s="10">
        <v>997.13499999999999</v>
      </c>
      <c r="BM78" s="644"/>
      <c r="BN78" s="10">
        <v>507.1</v>
      </c>
      <c r="BO78" s="644"/>
      <c r="BP78" s="671">
        <v>2391.1930000000002</v>
      </c>
      <c r="BQ78" s="644"/>
      <c r="BR78" s="10">
        <v>868.35</v>
      </c>
      <c r="BS78" s="644"/>
      <c r="BT78" s="10">
        <v>1012.5119999999999</v>
      </c>
      <c r="BU78" s="644"/>
      <c r="BV78" s="10">
        <v>1012.5119999999999</v>
      </c>
      <c r="BW78" s="644"/>
      <c r="BX78" s="671">
        <v>269.98399999999998</v>
      </c>
      <c r="BY78" s="644"/>
      <c r="BZ78" s="632">
        <v>271.13499999999999</v>
      </c>
      <c r="CA78" s="644"/>
      <c r="CB78" s="10">
        <v>1002.575</v>
      </c>
      <c r="CC78" s="644"/>
      <c r="CD78" s="644"/>
      <c r="CE78" s="644"/>
      <c r="CF78" s="644"/>
      <c r="CG78" s="644"/>
      <c r="CH78" s="671">
        <v>614.1</v>
      </c>
      <c r="CI78" s="10"/>
      <c r="CJ78" s="10">
        <v>614.1</v>
      </c>
      <c r="CK78" s="10"/>
      <c r="CL78" s="10">
        <v>2657.8539999999998</v>
      </c>
      <c r="CM78" s="644"/>
      <c r="CN78" s="10"/>
      <c r="CO78" s="644"/>
      <c r="CP78" s="10"/>
      <c r="CQ78" s="644"/>
      <c r="CR78" s="10">
        <v>1250.2</v>
      </c>
      <c r="CS78" s="644"/>
      <c r="CT78" s="10">
        <v>820.47299999999996</v>
      </c>
      <c r="CU78" s="644"/>
      <c r="CV78" s="15">
        <v>633.38499999999999</v>
      </c>
      <c r="CW78" s="644"/>
      <c r="CX78" s="15">
        <v>633.38499999999999</v>
      </c>
      <c r="CY78" s="644"/>
      <c r="CZ78" s="15">
        <v>633.38499999999999</v>
      </c>
      <c r="DA78" s="644"/>
      <c r="DB78" s="15">
        <v>633.38499999999999</v>
      </c>
      <c r="DC78" s="644"/>
      <c r="DD78" s="5">
        <v>5675.4620000000004</v>
      </c>
      <c r="DE78" s="644"/>
      <c r="DF78" s="644"/>
      <c r="DG78" s="644"/>
      <c r="DH78" s="10">
        <v>827.2</v>
      </c>
      <c r="DI78" s="644"/>
      <c r="DJ78" s="10">
        <v>827.2</v>
      </c>
      <c r="DK78" s="644"/>
      <c r="DL78" s="644"/>
      <c r="DM78" s="644"/>
      <c r="DN78" s="10">
        <v>1104.008</v>
      </c>
      <c r="DO78" s="644"/>
      <c r="DP78" s="644"/>
      <c r="DQ78" s="644"/>
      <c r="DR78" s="644"/>
      <c r="DS78" s="644"/>
      <c r="DT78" s="644"/>
      <c r="DU78" s="644"/>
      <c r="DV78" s="10">
        <v>1875.8720000000001</v>
      </c>
      <c r="DW78" s="644"/>
      <c r="DX78" s="10">
        <v>1875.8720000000001</v>
      </c>
      <c r="DY78" s="644"/>
      <c r="DZ78" s="10">
        <v>1139.3710000000001</v>
      </c>
      <c r="EA78" s="644"/>
      <c r="EB78" s="644"/>
      <c r="EC78" s="644"/>
      <c r="ED78" s="644"/>
      <c r="EE78" s="644"/>
      <c r="EF78" s="10">
        <v>677.375</v>
      </c>
      <c r="EG78" s="644"/>
      <c r="EH78" s="10">
        <v>677.375</v>
      </c>
      <c r="EI78" s="644"/>
      <c r="EJ78" s="644"/>
      <c r="EK78" s="644"/>
      <c r="EL78" s="644"/>
      <c r="EM78" s="644"/>
      <c r="EN78" s="10"/>
      <c r="EO78" s="644"/>
      <c r="EP78" s="10">
        <v>741.51099999999997</v>
      </c>
      <c r="EQ78" s="644"/>
      <c r="ER78" s="644"/>
      <c r="ES78" s="644"/>
      <c r="ET78" s="10">
        <v>3202.9459999999999</v>
      </c>
      <c r="EU78" s="644"/>
      <c r="EV78" s="10">
        <v>3202.9459999999999</v>
      </c>
      <c r="EW78" s="644"/>
      <c r="EX78" s="10">
        <v>596.50800000000004</v>
      </c>
      <c r="EY78" s="644"/>
      <c r="EZ78" s="10">
        <v>596.50800000000004</v>
      </c>
      <c r="FA78" s="644"/>
      <c r="FB78" s="10">
        <v>596.50800000000004</v>
      </c>
      <c r="FC78" s="644"/>
      <c r="FD78" s="10">
        <v>596.50800000000004</v>
      </c>
      <c r="FE78" s="644"/>
      <c r="FF78" s="10">
        <v>596.50800000000004</v>
      </c>
      <c r="FG78" s="644"/>
      <c r="FH78" s="10">
        <v>596.50800000000004</v>
      </c>
      <c r="FI78" s="644"/>
      <c r="FJ78" s="671">
        <v>596.50800000000004</v>
      </c>
      <c r="FK78" s="644"/>
      <c r="FL78" s="788">
        <v>2798.2</v>
      </c>
      <c r="FM78" s="644"/>
      <c r="FN78" s="10"/>
      <c r="FO78" s="644"/>
      <c r="FP78" s="10">
        <v>1956.8</v>
      </c>
      <c r="FQ78" s="644"/>
      <c r="FR78" s="644"/>
      <c r="FS78" s="644"/>
      <c r="FT78" s="644"/>
      <c r="FU78" s="644"/>
      <c r="FV78" s="644"/>
      <c r="FW78" s="644"/>
      <c r="FX78" s="10" t="s">
        <v>465</v>
      </c>
      <c r="FY78" s="644"/>
      <c r="FZ78" s="644"/>
      <c r="GA78" s="644"/>
      <c r="GB78" s="10">
        <v>629.50599999999997</v>
      </c>
      <c r="GC78" s="644"/>
      <c r="GD78" s="27">
        <v>4197.8</v>
      </c>
      <c r="GE78" s="644"/>
      <c r="GF78" s="673">
        <v>1108.847</v>
      </c>
      <c r="GG78" s="644"/>
      <c r="GH78" s="10">
        <v>1108.847</v>
      </c>
      <c r="GI78" s="644"/>
      <c r="GJ78" s="788">
        <v>3179</v>
      </c>
      <c r="GK78" s="644"/>
      <c r="GL78" s="10">
        <f>'[4]практика субъекта'!$F$75</f>
        <v>5384.3419999999996</v>
      </c>
      <c r="GM78" s="644"/>
      <c r="GN78" s="10">
        <f>5384342/1000</f>
        <v>5384.3419999999996</v>
      </c>
      <c r="GO78" s="644"/>
      <c r="GP78" s="13">
        <v>5384342</v>
      </c>
      <c r="GQ78" s="644"/>
      <c r="GR78" s="10">
        <v>2409.4279999999999</v>
      </c>
      <c r="GS78" s="644"/>
      <c r="GT78" s="10">
        <v>971.9</v>
      </c>
      <c r="GU78" s="644"/>
      <c r="GV78" s="10">
        <v>488.25700000000001</v>
      </c>
      <c r="GW78" s="644"/>
      <c r="GX78" s="10">
        <v>488.25700000000001</v>
      </c>
      <c r="GY78" s="644"/>
      <c r="GZ78" s="10"/>
      <c r="HA78" s="644"/>
      <c r="HB78" s="10">
        <v>4310.6809999999996</v>
      </c>
      <c r="HC78" s="644"/>
      <c r="HD78" s="10">
        <v>4310.6809999999996</v>
      </c>
      <c r="HE78" s="644"/>
      <c r="HF78" s="9">
        <v>4310.6809999999996</v>
      </c>
      <c r="HG78" s="644"/>
      <c r="HH78" s="10">
        <v>449.13799999999998</v>
      </c>
      <c r="HI78" s="644"/>
      <c r="HJ78" s="644"/>
      <c r="HK78" s="644"/>
      <c r="HL78" s="10">
        <v>934.88900000000001</v>
      </c>
      <c r="HM78" s="644"/>
      <c r="HN78" s="13">
        <v>2803.0210000000002</v>
      </c>
      <c r="HO78" s="644"/>
      <c r="HP78" s="10">
        <v>1006.748</v>
      </c>
      <c r="HQ78" s="644"/>
      <c r="HR78" s="674">
        <v>1006.748</v>
      </c>
      <c r="HS78" s="644"/>
      <c r="HT78" s="674">
        <v>1006.748</v>
      </c>
      <c r="HU78" s="644"/>
      <c r="HV78" s="10">
        <v>1006.748</v>
      </c>
      <c r="HW78" s="644"/>
      <c r="HX78" s="10">
        <v>507.1</v>
      </c>
      <c r="HY78" s="644"/>
      <c r="HZ78" s="10">
        <v>3902.8879999999999</v>
      </c>
      <c r="IA78" s="644"/>
      <c r="IB78" s="644"/>
      <c r="IC78" s="644"/>
      <c r="ID78" s="10">
        <f>398000/1245619</f>
        <v>0.31951985318143028</v>
      </c>
      <c r="IE78" s="644"/>
      <c r="IF78" s="10">
        <v>1079.3</v>
      </c>
      <c r="IG78" s="663" t="s">
        <v>1255</v>
      </c>
      <c r="IH78" s="10">
        <v>1466.127</v>
      </c>
      <c r="II78" s="644"/>
      <c r="IJ78" s="644"/>
      <c r="IK78" s="644"/>
      <c r="IL78" s="674">
        <v>1537.4159999999999</v>
      </c>
      <c r="IM78" s="644"/>
      <c r="IN78" s="675">
        <v>1537.4159999999999</v>
      </c>
      <c r="IO78" s="644"/>
      <c r="IP78" s="13">
        <v>1501</v>
      </c>
      <c r="IQ78" s="644"/>
      <c r="IR78" s="13">
        <v>1501</v>
      </c>
      <c r="IS78" s="644"/>
      <c r="IT78" s="10">
        <v>1229.8240000000001</v>
      </c>
      <c r="IU78" s="644"/>
      <c r="IV78" s="10">
        <v>1229.8240000000001</v>
      </c>
      <c r="IW78" s="644"/>
      <c r="IX78" s="671">
        <v>1229.8240000000001</v>
      </c>
      <c r="IY78" s="644"/>
      <c r="IZ78" s="10">
        <v>1315.643</v>
      </c>
      <c r="JA78" s="644"/>
      <c r="JB78" s="10">
        <v>1315.643</v>
      </c>
      <c r="JC78" s="644"/>
      <c r="JD78" s="10">
        <v>1315.643</v>
      </c>
      <c r="JE78" s="644"/>
      <c r="JF78" s="644"/>
      <c r="JG78" s="644"/>
      <c r="JH78" s="10">
        <v>1674676</v>
      </c>
      <c r="JI78" s="644"/>
      <c r="JJ78" s="644"/>
      <c r="JK78" s="644"/>
      <c r="JL78" s="644"/>
      <c r="JM78" s="644"/>
      <c r="JN78" s="10">
        <v>3466369</v>
      </c>
      <c r="JO78" s="644"/>
      <c r="JP78" s="644"/>
      <c r="JQ78" s="644"/>
      <c r="JR78" s="677">
        <v>1213.3119999999999</v>
      </c>
      <c r="JS78" s="644"/>
      <c r="JT78" s="27">
        <v>49.3</v>
      </c>
      <c r="JU78" s="644"/>
      <c r="JV78" s="10"/>
      <c r="JW78" s="644"/>
      <c r="JX78" s="10">
        <v>1253.4000000000001</v>
      </c>
      <c r="JY78" s="644"/>
    </row>
    <row r="79" spans="1:285" ht="29.25" customHeight="1" thickBot="1" x14ac:dyDescent="0.25">
      <c r="A79" s="1574"/>
      <c r="B79" s="1581"/>
      <c r="C79" s="1546"/>
      <c r="D79" s="1549"/>
      <c r="E79" s="755" t="s">
        <v>50</v>
      </c>
      <c r="F79" s="11" t="s">
        <v>1653</v>
      </c>
      <c r="G79" s="756"/>
      <c r="H79" s="32" t="s">
        <v>2253</v>
      </c>
      <c r="I79" s="644"/>
      <c r="J79" s="32" t="s">
        <v>2253</v>
      </c>
      <c r="K79" s="644"/>
      <c r="L79" s="32" t="s">
        <v>2253</v>
      </c>
      <c r="M79" s="644"/>
      <c r="N79" s="791" t="s">
        <v>474</v>
      </c>
      <c r="O79" s="644"/>
      <c r="P79" s="817" t="s">
        <v>503</v>
      </c>
      <c r="Q79" s="644"/>
      <c r="R79" s="23" t="s">
        <v>523</v>
      </c>
      <c r="S79" s="644"/>
      <c r="T79" s="644"/>
      <c r="U79" s="644"/>
      <c r="V79" s="644"/>
      <c r="W79" s="644"/>
      <c r="X79" s="644"/>
      <c r="Y79" s="644"/>
      <c r="Z79" s="32" t="s">
        <v>2302</v>
      </c>
      <c r="AA79" s="644"/>
      <c r="AB79" s="32" t="s">
        <v>2302</v>
      </c>
      <c r="AC79" s="644"/>
      <c r="AD79" s="32" t="s">
        <v>2302</v>
      </c>
      <c r="AE79" s="644"/>
      <c r="AF79" s="644"/>
      <c r="AG79" s="644"/>
      <c r="AH79" s="644"/>
      <c r="AI79" s="644"/>
      <c r="AJ79" s="681" t="s">
        <v>652</v>
      </c>
      <c r="AK79" s="644"/>
      <c r="AL79" s="11" t="s">
        <v>2366</v>
      </c>
      <c r="AM79" s="644"/>
      <c r="AN79" s="11"/>
      <c r="AO79" s="644"/>
      <c r="AP79" s="818" t="s">
        <v>999</v>
      </c>
      <c r="AQ79" s="644"/>
      <c r="AR79" s="11"/>
      <c r="AS79" s="644"/>
      <c r="AT79" s="32" t="s">
        <v>599</v>
      </c>
      <c r="AU79" s="644"/>
      <c r="AV79" s="819" t="s">
        <v>580</v>
      </c>
      <c r="AW79" s="644"/>
      <c r="AX79" s="11" t="s">
        <v>543</v>
      </c>
      <c r="AY79" s="644"/>
      <c r="AZ79" s="32" t="s">
        <v>560</v>
      </c>
      <c r="BA79" s="644"/>
      <c r="BB79" s="644"/>
      <c r="BC79" s="644"/>
      <c r="BD79" s="5"/>
      <c r="BE79" s="644"/>
      <c r="BF79" s="11"/>
      <c r="BG79" s="644"/>
      <c r="BH79" s="644"/>
      <c r="BI79" s="644"/>
      <c r="BJ79" s="11" t="s">
        <v>792</v>
      </c>
      <c r="BK79" s="644"/>
      <c r="BL79" s="11" t="s">
        <v>1028</v>
      </c>
      <c r="BM79" s="644"/>
      <c r="BN79" s="11" t="s">
        <v>2184</v>
      </c>
      <c r="BO79" s="644"/>
      <c r="BP79" s="11"/>
      <c r="BQ79" s="644"/>
      <c r="BR79" s="726" t="s">
        <v>969</v>
      </c>
      <c r="BS79" s="644"/>
      <c r="BT79" s="32" t="s">
        <v>928</v>
      </c>
      <c r="BU79" s="644"/>
      <c r="BV79" s="32" t="s">
        <v>928</v>
      </c>
      <c r="BW79" s="644"/>
      <c r="BX79" s="727" t="s">
        <v>2153</v>
      </c>
      <c r="BY79" s="644"/>
      <c r="BZ79" s="728" t="s">
        <v>2153</v>
      </c>
      <c r="CA79" s="644"/>
      <c r="CB79" s="660" t="s">
        <v>906</v>
      </c>
      <c r="CC79" s="644"/>
      <c r="CD79" s="644"/>
      <c r="CE79" s="644"/>
      <c r="CF79" s="644"/>
      <c r="CG79" s="644"/>
      <c r="CH79" s="729" t="s">
        <v>2117</v>
      </c>
      <c r="CI79" s="11"/>
      <c r="CJ79" s="730" t="s">
        <v>2117</v>
      </c>
      <c r="CK79" s="11"/>
      <c r="CL79" s="8" t="s">
        <v>626</v>
      </c>
      <c r="CM79" s="644"/>
      <c r="CN79" s="11"/>
      <c r="CO79" s="644"/>
      <c r="CP79" s="11"/>
      <c r="CQ79" s="644"/>
      <c r="CR79" s="32" t="s">
        <v>2452</v>
      </c>
      <c r="CS79" s="644"/>
      <c r="CT79" s="11" t="s">
        <v>2221</v>
      </c>
      <c r="CU79" s="644"/>
      <c r="CV79" s="32" t="s">
        <v>826</v>
      </c>
      <c r="CW79" s="644"/>
      <c r="CX79" s="32" t="s">
        <v>826</v>
      </c>
      <c r="CY79" s="644"/>
      <c r="CZ79" s="32" t="s">
        <v>826</v>
      </c>
      <c r="DA79" s="644"/>
      <c r="DB79" s="32" t="s">
        <v>826</v>
      </c>
      <c r="DC79" s="644"/>
      <c r="DD79" s="9" t="s">
        <v>2476</v>
      </c>
      <c r="DE79" s="644"/>
      <c r="DF79" s="644"/>
      <c r="DG79" s="644"/>
      <c r="DH79" s="11" t="s">
        <v>876</v>
      </c>
      <c r="DI79" s="644"/>
      <c r="DJ79" s="11" t="s">
        <v>876</v>
      </c>
      <c r="DK79" s="644"/>
      <c r="DL79" s="644"/>
      <c r="DM79" s="644"/>
      <c r="DN79" s="32" t="s">
        <v>1148</v>
      </c>
      <c r="DO79" s="644"/>
      <c r="DP79" s="644"/>
      <c r="DQ79" s="644"/>
      <c r="DR79" s="644"/>
      <c r="DS79" s="644"/>
      <c r="DT79" s="644"/>
      <c r="DU79" s="644"/>
      <c r="DV79" s="730" t="s">
        <v>1168</v>
      </c>
      <c r="DW79" s="644"/>
      <c r="DX79" s="730" t="s">
        <v>1168</v>
      </c>
      <c r="DY79" s="644"/>
      <c r="DZ79" s="731" t="s">
        <v>1757</v>
      </c>
      <c r="EA79" s="644"/>
      <c r="EB79" s="644"/>
      <c r="EC79" s="644"/>
      <c r="ED79" s="644"/>
      <c r="EE79" s="644"/>
      <c r="EF79" s="11" t="s">
        <v>2037</v>
      </c>
      <c r="EG79" s="644"/>
      <c r="EH79" s="16" t="s">
        <v>2037</v>
      </c>
      <c r="EI79" s="644"/>
      <c r="EJ79" s="644"/>
      <c r="EK79" s="644"/>
      <c r="EL79" s="644"/>
      <c r="EM79" s="644"/>
      <c r="EN79" s="11"/>
      <c r="EO79" s="644"/>
      <c r="EP79" s="11" t="s">
        <v>1205</v>
      </c>
      <c r="EQ79" s="644"/>
      <c r="ER79" s="644"/>
      <c r="ES79" s="644"/>
      <c r="ET79" s="32" t="s">
        <v>1450</v>
      </c>
      <c r="EU79" s="644"/>
      <c r="EV79" s="32" t="s">
        <v>1470</v>
      </c>
      <c r="EW79" s="644"/>
      <c r="EX79" s="32" t="s">
        <v>1488</v>
      </c>
      <c r="EY79" s="644"/>
      <c r="EZ79" s="727" t="s">
        <v>1488</v>
      </c>
      <c r="FA79" s="644"/>
      <c r="FB79" s="727" t="s">
        <v>1488</v>
      </c>
      <c r="FC79" s="644"/>
      <c r="FD79" s="32" t="s">
        <v>1488</v>
      </c>
      <c r="FE79" s="644"/>
      <c r="FF79" s="32" t="s">
        <v>1488</v>
      </c>
      <c r="FG79" s="644"/>
      <c r="FH79" s="32" t="s">
        <v>1488</v>
      </c>
      <c r="FI79" s="644"/>
      <c r="FJ79" s="727" t="s">
        <v>1488</v>
      </c>
      <c r="FK79" s="644"/>
      <c r="FL79" s="820" t="s">
        <v>1600</v>
      </c>
      <c r="FM79" s="644"/>
      <c r="FN79" s="11"/>
      <c r="FO79" s="644"/>
      <c r="FP79" s="10" t="s">
        <v>676</v>
      </c>
      <c r="FQ79" s="644"/>
      <c r="FR79" s="644"/>
      <c r="FS79" s="644"/>
      <c r="FT79" s="644"/>
      <c r="FU79" s="644"/>
      <c r="FV79" s="644"/>
      <c r="FW79" s="644"/>
      <c r="FX79" s="11" t="s">
        <v>465</v>
      </c>
      <c r="FY79" s="644"/>
      <c r="FZ79" s="644"/>
      <c r="GA79" s="644"/>
      <c r="GB79" s="727" t="s">
        <v>1637</v>
      </c>
      <c r="GC79" s="644"/>
      <c r="GD79" s="32" t="s">
        <v>2511</v>
      </c>
      <c r="GE79" s="644"/>
      <c r="GF79" s="684" t="s">
        <v>1996</v>
      </c>
      <c r="GG79" s="644"/>
      <c r="GH79" s="821" t="s">
        <v>2016</v>
      </c>
      <c r="GI79" s="644"/>
      <c r="GJ79" s="793" t="s">
        <v>1680</v>
      </c>
      <c r="GK79" s="644"/>
      <c r="GL79" s="11" t="str">
        <f>'[4]практика субъекта'!$F$76</f>
        <v>https://petrostat.gks.ru/storage/mediabank/TCgYnq5o/%D0%A7%D0%B8%D1%81%D0%BB.%D0%A1%D0%9F%D0%B1%20%D0%BD%D0%B0%2001.01.2021.pdf</v>
      </c>
      <c r="GM79" s="644"/>
      <c r="GN79" s="11" t="s">
        <v>1718</v>
      </c>
      <c r="GO79" s="644"/>
      <c r="GP79" s="11" t="s">
        <v>1718</v>
      </c>
      <c r="GQ79" s="644"/>
      <c r="GR79" s="730" t="s">
        <v>1954</v>
      </c>
      <c r="GS79" s="644"/>
      <c r="GT79" s="32" t="s">
        <v>2082</v>
      </c>
      <c r="GU79" s="644"/>
      <c r="GV79" s="660" t="s">
        <v>1757</v>
      </c>
      <c r="GW79" s="644"/>
      <c r="GX79" s="660" t="s">
        <v>1757</v>
      </c>
      <c r="GY79" s="644"/>
      <c r="GZ79" s="11"/>
      <c r="HA79" s="644"/>
      <c r="HB79" s="9" t="s">
        <v>1804</v>
      </c>
      <c r="HC79" s="644"/>
      <c r="HD79" s="727" t="s">
        <v>1804</v>
      </c>
      <c r="HE79" s="644"/>
      <c r="HF79" s="9" t="s">
        <v>1804</v>
      </c>
      <c r="HG79" s="644"/>
      <c r="HH79" s="11" t="s">
        <v>1930</v>
      </c>
      <c r="HI79" s="644"/>
      <c r="HJ79" s="644"/>
      <c r="HK79" s="644"/>
      <c r="HL79" s="11" t="s">
        <v>1757</v>
      </c>
      <c r="HM79" s="644"/>
      <c r="HN79" s="13" t="s">
        <v>1777</v>
      </c>
      <c r="HO79" s="644"/>
      <c r="HP79" s="732" t="s">
        <v>1282</v>
      </c>
      <c r="HQ79" s="644"/>
      <c r="HR79" s="732" t="s">
        <v>1282</v>
      </c>
      <c r="HS79" s="644"/>
      <c r="HT79" s="732" t="s">
        <v>1282</v>
      </c>
      <c r="HU79" s="644"/>
      <c r="HV79" s="732" t="s">
        <v>1282</v>
      </c>
      <c r="HW79" s="644"/>
      <c r="HX79" s="11" t="s">
        <v>2184</v>
      </c>
      <c r="HY79" s="644"/>
      <c r="HZ79" s="32" t="s">
        <v>2202</v>
      </c>
      <c r="IA79" s="644"/>
      <c r="IB79" s="644"/>
      <c r="IC79" s="644"/>
      <c r="ID79" s="11" t="s">
        <v>1229</v>
      </c>
      <c r="IE79" s="644"/>
      <c r="IF79" s="727" t="s">
        <v>1256</v>
      </c>
      <c r="IG79" s="756"/>
      <c r="IH79" s="11" t="s">
        <v>1327</v>
      </c>
      <c r="II79" s="644"/>
      <c r="IJ79" s="644"/>
      <c r="IK79" s="644"/>
      <c r="IL79" s="13" t="s">
        <v>1346</v>
      </c>
      <c r="IM79" s="644"/>
      <c r="IN79" s="712" t="s">
        <v>1346</v>
      </c>
      <c r="IO79" s="644"/>
      <c r="IP79" s="727" t="s">
        <v>744</v>
      </c>
      <c r="IQ79" s="644"/>
      <c r="IR79" s="727" t="s">
        <v>744</v>
      </c>
      <c r="IS79" s="644"/>
      <c r="IT79" s="10" t="s">
        <v>1089</v>
      </c>
      <c r="IU79" s="644"/>
      <c r="IV79" s="727" t="s">
        <v>1080</v>
      </c>
      <c r="IW79" s="644"/>
      <c r="IX79" s="733" t="s">
        <v>1080</v>
      </c>
      <c r="IY79" s="644"/>
      <c r="IZ79" s="32" t="s">
        <v>1378</v>
      </c>
      <c r="JA79" s="644"/>
      <c r="JB79" s="11" t="s">
        <v>1399</v>
      </c>
      <c r="JC79" s="644"/>
      <c r="JD79" s="11" t="s">
        <v>1399</v>
      </c>
      <c r="JE79" s="644"/>
      <c r="JF79" s="644"/>
      <c r="JG79" s="644"/>
      <c r="JH79" s="11" t="s">
        <v>504</v>
      </c>
      <c r="JI79" s="644"/>
      <c r="JJ79" s="644"/>
      <c r="JK79" s="644"/>
      <c r="JL79" s="644"/>
      <c r="JM79" s="644"/>
      <c r="JN79" s="727" t="s">
        <v>2490</v>
      </c>
      <c r="JO79" s="644"/>
      <c r="JP79" s="644"/>
      <c r="JQ79" s="644"/>
      <c r="JR79" s="722" t="s">
        <v>1049</v>
      </c>
      <c r="JS79" s="644"/>
      <c r="JT79" s="11" t="s">
        <v>1130</v>
      </c>
      <c r="JU79" s="644"/>
      <c r="JV79" s="11"/>
      <c r="JW79" s="644"/>
      <c r="JX79" s="32" t="s">
        <v>713</v>
      </c>
      <c r="JY79" s="644"/>
    </row>
    <row r="80" spans="1:285" ht="29.25" customHeight="1" x14ac:dyDescent="0.2">
      <c r="A80" s="1564" t="s">
        <v>28</v>
      </c>
      <c r="B80" s="1570" t="s">
        <v>201</v>
      </c>
      <c r="C80" s="91" t="s">
        <v>159</v>
      </c>
      <c r="D80" s="92" t="s">
        <v>40</v>
      </c>
      <c r="E80" s="755" t="s">
        <v>55</v>
      </c>
      <c r="F80" s="9" t="s">
        <v>504</v>
      </c>
      <c r="G80" s="756"/>
      <c r="H80" s="9" t="s">
        <v>504</v>
      </c>
      <c r="I80" s="644"/>
      <c r="J80" s="9" t="s">
        <v>504</v>
      </c>
      <c r="K80" s="644"/>
      <c r="L80" s="9" t="s">
        <v>504</v>
      </c>
      <c r="M80" s="644"/>
      <c r="N80" s="757" t="s">
        <v>471</v>
      </c>
      <c r="O80" s="644"/>
      <c r="P80" s="84" t="s">
        <v>504</v>
      </c>
      <c r="Q80" s="644"/>
      <c r="R80" s="9" t="s">
        <v>471</v>
      </c>
      <c r="S80" s="644"/>
      <c r="T80" s="644"/>
      <c r="U80" s="644"/>
      <c r="V80" s="644"/>
      <c r="W80" s="644"/>
      <c r="X80" s="644"/>
      <c r="Y80" s="644"/>
      <c r="Z80" s="5" t="s">
        <v>471</v>
      </c>
      <c r="AA80" s="644"/>
      <c r="AB80" s="5" t="s">
        <v>479</v>
      </c>
      <c r="AC80" s="644"/>
      <c r="AD80" s="9" t="s">
        <v>465</v>
      </c>
      <c r="AE80" s="644"/>
      <c r="AF80" s="644"/>
      <c r="AG80" s="644"/>
      <c r="AH80" s="644"/>
      <c r="AI80" s="644"/>
      <c r="AJ80" s="84" t="s">
        <v>653</v>
      </c>
      <c r="AK80" s="644"/>
      <c r="AL80" s="9" t="s">
        <v>500</v>
      </c>
      <c r="AM80" s="644"/>
      <c r="AN80" s="9" t="s">
        <v>479</v>
      </c>
      <c r="AO80" s="644"/>
      <c r="AP80" s="9" t="s">
        <v>479</v>
      </c>
      <c r="AQ80" s="644"/>
      <c r="AR80" s="9"/>
      <c r="AS80" s="644"/>
      <c r="AT80" s="5" t="s">
        <v>500</v>
      </c>
      <c r="AU80" s="644"/>
      <c r="AV80" s="757" t="s">
        <v>479</v>
      </c>
      <c r="AW80" s="644"/>
      <c r="AX80" s="9" t="s">
        <v>504</v>
      </c>
      <c r="AY80" s="644"/>
      <c r="AZ80" s="9" t="s">
        <v>504</v>
      </c>
      <c r="BA80" s="644"/>
      <c r="BB80" s="644"/>
      <c r="BC80" s="644"/>
      <c r="BD80" s="5" t="s">
        <v>504</v>
      </c>
      <c r="BE80" s="644"/>
      <c r="BF80" s="9" t="s">
        <v>504</v>
      </c>
      <c r="BG80" s="644"/>
      <c r="BH80" s="644"/>
      <c r="BI80" s="644"/>
      <c r="BJ80" s="9" t="s">
        <v>504</v>
      </c>
      <c r="BK80" s="644"/>
      <c r="BL80" s="9" t="s">
        <v>504</v>
      </c>
      <c r="BM80" s="644"/>
      <c r="BN80" s="9" t="s">
        <v>504</v>
      </c>
      <c r="BO80" s="644"/>
      <c r="BP80" s="632" t="s">
        <v>1976</v>
      </c>
      <c r="BQ80" s="644"/>
      <c r="BR80" s="9" t="s">
        <v>504</v>
      </c>
      <c r="BS80" s="644"/>
      <c r="BT80" s="9" t="s">
        <v>504</v>
      </c>
      <c r="BU80" s="644"/>
      <c r="BV80" s="9" t="s">
        <v>504</v>
      </c>
      <c r="BW80" s="644"/>
      <c r="BX80" s="632" t="s">
        <v>504</v>
      </c>
      <c r="BY80" s="644"/>
      <c r="BZ80" s="632" t="s">
        <v>504</v>
      </c>
      <c r="CA80" s="644"/>
      <c r="CB80" s="9" t="s">
        <v>905</v>
      </c>
      <c r="CC80" s="644"/>
      <c r="CD80" s="644"/>
      <c r="CE80" s="644"/>
      <c r="CF80" s="644"/>
      <c r="CG80" s="644"/>
      <c r="CH80" s="632" t="s">
        <v>504</v>
      </c>
      <c r="CI80" s="9"/>
      <c r="CJ80" s="9" t="s">
        <v>504</v>
      </c>
      <c r="CK80" s="9"/>
      <c r="CL80" s="9" t="s">
        <v>504</v>
      </c>
      <c r="CM80" s="644"/>
      <c r="CN80" s="9" t="s">
        <v>504</v>
      </c>
      <c r="CO80" s="644"/>
      <c r="CP80" s="9" t="s">
        <v>504</v>
      </c>
      <c r="CQ80" s="644"/>
      <c r="CR80" s="9" t="s">
        <v>504</v>
      </c>
      <c r="CS80" s="644"/>
      <c r="CT80" s="9" t="s">
        <v>471</v>
      </c>
      <c r="CU80" s="644"/>
      <c r="CV80" s="9" t="s">
        <v>504</v>
      </c>
      <c r="CW80" s="644"/>
      <c r="CX80" s="9" t="s">
        <v>504</v>
      </c>
      <c r="CY80" s="644"/>
      <c r="CZ80" s="9" t="s">
        <v>504</v>
      </c>
      <c r="DA80" s="644"/>
      <c r="DB80" s="9" t="s">
        <v>504</v>
      </c>
      <c r="DC80" s="644"/>
      <c r="DD80" s="9" t="s">
        <v>504</v>
      </c>
      <c r="DE80" s="644"/>
      <c r="DF80" s="644"/>
      <c r="DG80" s="644"/>
      <c r="DH80" s="9" t="s">
        <v>504</v>
      </c>
      <c r="DI80" s="644"/>
      <c r="DJ80" s="758" t="s">
        <v>504</v>
      </c>
      <c r="DK80" s="644"/>
      <c r="DL80" s="644"/>
      <c r="DM80" s="644"/>
      <c r="DN80" s="9" t="s">
        <v>504</v>
      </c>
      <c r="DO80" s="644"/>
      <c r="DP80" s="644"/>
      <c r="DQ80" s="644"/>
      <c r="DR80" s="644"/>
      <c r="DS80" s="644"/>
      <c r="DT80" s="644"/>
      <c r="DU80" s="644"/>
      <c r="DV80" s="9" t="s">
        <v>500</v>
      </c>
      <c r="DW80" s="644"/>
      <c r="DX80" s="9" t="s">
        <v>500</v>
      </c>
      <c r="DY80" s="644"/>
      <c r="DZ80" s="5" t="s">
        <v>504</v>
      </c>
      <c r="EA80" s="644"/>
      <c r="EB80" s="644"/>
      <c r="EC80" s="644"/>
      <c r="ED80" s="644"/>
      <c r="EE80" s="644"/>
      <c r="EF80" s="9" t="s">
        <v>504</v>
      </c>
      <c r="EG80" s="644"/>
      <c r="EH80" s="9" t="s">
        <v>504</v>
      </c>
      <c r="EI80" s="644"/>
      <c r="EJ80" s="644"/>
      <c r="EK80" s="644"/>
      <c r="EL80" s="644"/>
      <c r="EM80" s="644"/>
      <c r="EN80" s="9" t="s">
        <v>504</v>
      </c>
      <c r="EO80" s="644"/>
      <c r="EP80" s="9" t="s">
        <v>504</v>
      </c>
      <c r="EQ80" s="644"/>
      <c r="ER80" s="644"/>
      <c r="ES80" s="644"/>
      <c r="ET80" s="9" t="s">
        <v>504</v>
      </c>
      <c r="EU80" s="644"/>
      <c r="EV80" s="9" t="s">
        <v>504</v>
      </c>
      <c r="EW80" s="644"/>
      <c r="EX80" s="9" t="s">
        <v>504</v>
      </c>
      <c r="EY80" s="644"/>
      <c r="EZ80" s="9" t="s">
        <v>504</v>
      </c>
      <c r="FA80" s="644"/>
      <c r="FB80" s="9" t="s">
        <v>504</v>
      </c>
      <c r="FC80" s="644"/>
      <c r="FD80" s="9" t="s">
        <v>500</v>
      </c>
      <c r="FE80" s="644"/>
      <c r="FF80" s="9" t="s">
        <v>500</v>
      </c>
      <c r="FG80" s="644"/>
      <c r="FH80" s="5" t="s">
        <v>500</v>
      </c>
      <c r="FI80" s="644"/>
      <c r="FJ80" s="632" t="s">
        <v>504</v>
      </c>
      <c r="FK80" s="644"/>
      <c r="FL80" s="780" t="s">
        <v>500</v>
      </c>
      <c r="FM80" s="644"/>
      <c r="FN80" s="9" t="s">
        <v>905</v>
      </c>
      <c r="FO80" s="644"/>
      <c r="FP80" s="9" t="s">
        <v>500</v>
      </c>
      <c r="FQ80" s="644"/>
      <c r="FR80" s="644"/>
      <c r="FS80" s="644"/>
      <c r="FT80" s="644"/>
      <c r="FU80" s="644"/>
      <c r="FV80" s="644"/>
      <c r="FW80" s="644"/>
      <c r="FX80" s="9" t="s">
        <v>504</v>
      </c>
      <c r="FY80" s="644"/>
      <c r="FZ80" s="644"/>
      <c r="GA80" s="644"/>
      <c r="GB80" s="9" t="s">
        <v>504</v>
      </c>
      <c r="GC80" s="644"/>
      <c r="GD80" s="9" t="s">
        <v>504</v>
      </c>
      <c r="GE80" s="644"/>
      <c r="GF80" s="5" t="s">
        <v>504</v>
      </c>
      <c r="GG80" s="644"/>
      <c r="GH80" s="9" t="s">
        <v>504</v>
      </c>
      <c r="GI80" s="644"/>
      <c r="GJ80" s="780" t="s">
        <v>504</v>
      </c>
      <c r="GK80" s="644"/>
      <c r="GL80" s="9" t="s">
        <v>500</v>
      </c>
      <c r="GM80" s="644"/>
      <c r="GN80" s="9" t="s">
        <v>500</v>
      </c>
      <c r="GO80" s="644"/>
      <c r="GP80" s="9" t="s">
        <v>500</v>
      </c>
      <c r="GQ80" s="644"/>
      <c r="GR80" s="9" t="s">
        <v>504</v>
      </c>
      <c r="GS80" s="644"/>
      <c r="GT80" s="9" t="s">
        <v>2083</v>
      </c>
      <c r="GU80" s="644"/>
      <c r="GV80" s="9" t="s">
        <v>504</v>
      </c>
      <c r="GW80" s="644"/>
      <c r="GX80" s="9" t="s">
        <v>504</v>
      </c>
      <c r="GY80" s="644"/>
      <c r="GZ80" s="9" t="s">
        <v>504</v>
      </c>
      <c r="HA80" s="644"/>
      <c r="HB80" s="9" t="s">
        <v>504</v>
      </c>
      <c r="HC80" s="644"/>
      <c r="HD80" s="9" t="s">
        <v>500</v>
      </c>
      <c r="HE80" s="644"/>
      <c r="HF80" s="9" t="s">
        <v>504</v>
      </c>
      <c r="HG80" s="644"/>
      <c r="HH80" s="9" t="s">
        <v>465</v>
      </c>
      <c r="HI80" s="644"/>
      <c r="HJ80" s="644"/>
      <c r="HK80" s="644"/>
      <c r="HL80" s="9" t="s">
        <v>504</v>
      </c>
      <c r="HM80" s="644"/>
      <c r="HN80" s="9" t="s">
        <v>500</v>
      </c>
      <c r="HO80" s="644"/>
      <c r="HP80" s="9" t="s">
        <v>504</v>
      </c>
      <c r="HQ80" s="644"/>
      <c r="HR80" s="9" t="s">
        <v>504</v>
      </c>
      <c r="HS80" s="644"/>
      <c r="HT80" s="633" t="s">
        <v>504</v>
      </c>
      <c r="HU80" s="644"/>
      <c r="HV80" s="9" t="s">
        <v>504</v>
      </c>
      <c r="HW80" s="644"/>
      <c r="HX80" s="9" t="s">
        <v>504</v>
      </c>
      <c r="HY80" s="644"/>
      <c r="HZ80" s="9" t="s">
        <v>504</v>
      </c>
      <c r="IA80" s="644"/>
      <c r="IB80" s="644"/>
      <c r="IC80" s="644"/>
      <c r="ID80" s="9" t="s">
        <v>504</v>
      </c>
      <c r="IE80" s="644"/>
      <c r="IF80" s="9" t="s">
        <v>504</v>
      </c>
      <c r="IG80" s="756"/>
      <c r="IH80" s="9" t="s">
        <v>504</v>
      </c>
      <c r="II80" s="644"/>
      <c r="IJ80" s="644"/>
      <c r="IK80" s="644"/>
      <c r="IL80" s="633" t="s">
        <v>504</v>
      </c>
      <c r="IM80" s="644"/>
      <c r="IN80" s="634" t="s">
        <v>504</v>
      </c>
      <c r="IO80" s="644"/>
      <c r="IP80" s="9" t="s">
        <v>500</v>
      </c>
      <c r="IQ80" s="644"/>
      <c r="IR80" s="9" t="s">
        <v>500</v>
      </c>
      <c r="IS80" s="644"/>
      <c r="IT80" s="9" t="s">
        <v>504</v>
      </c>
      <c r="IU80" s="644"/>
      <c r="IV80" s="9" t="s">
        <v>504</v>
      </c>
      <c r="IW80" s="644"/>
      <c r="IX80" s="632" t="s">
        <v>504</v>
      </c>
      <c r="IY80" s="644"/>
      <c r="IZ80" s="9" t="s">
        <v>500</v>
      </c>
      <c r="JA80" s="644"/>
      <c r="JB80" s="9" t="s">
        <v>504</v>
      </c>
      <c r="JC80" s="644"/>
      <c r="JD80" s="9" t="s">
        <v>465</v>
      </c>
      <c r="JE80" s="644"/>
      <c r="JF80" s="644"/>
      <c r="JG80" s="644"/>
      <c r="JH80" s="9" t="s">
        <v>504</v>
      </c>
      <c r="JI80" s="644"/>
      <c r="JJ80" s="644"/>
      <c r="JK80" s="644"/>
      <c r="JL80" s="644"/>
      <c r="JM80" s="644"/>
      <c r="JN80" s="9" t="s">
        <v>504</v>
      </c>
      <c r="JO80" s="644"/>
      <c r="JP80" s="644"/>
      <c r="JQ80" s="644"/>
      <c r="JR80" s="20" t="s">
        <v>504</v>
      </c>
      <c r="JS80" s="644"/>
      <c r="JT80" s="9" t="s">
        <v>504</v>
      </c>
      <c r="JU80" s="644"/>
      <c r="JV80" s="9" t="s">
        <v>504</v>
      </c>
      <c r="JW80" s="644"/>
      <c r="JX80" s="9" t="s">
        <v>500</v>
      </c>
      <c r="JY80" s="644"/>
    </row>
    <row r="81" spans="1:285" ht="29.25" customHeight="1" x14ac:dyDescent="0.2">
      <c r="A81" s="1565"/>
      <c r="B81" s="1571"/>
      <c r="C81" s="91" t="s">
        <v>135</v>
      </c>
      <c r="D81" s="83" t="s">
        <v>202</v>
      </c>
      <c r="E81" s="755" t="s">
        <v>48</v>
      </c>
      <c r="F81" s="9"/>
      <c r="G81" s="756"/>
      <c r="H81" s="9" t="s">
        <v>465</v>
      </c>
      <c r="I81" s="644"/>
      <c r="J81" s="9" t="s">
        <v>465</v>
      </c>
      <c r="K81" s="644"/>
      <c r="L81" s="9" t="s">
        <v>465</v>
      </c>
      <c r="M81" s="644"/>
      <c r="N81" s="757" t="s">
        <v>475</v>
      </c>
      <c r="O81" s="644"/>
      <c r="P81" s="84" t="s">
        <v>465</v>
      </c>
      <c r="Q81" s="644"/>
      <c r="R81" s="9" t="s">
        <v>524</v>
      </c>
      <c r="S81" s="644"/>
      <c r="T81" s="644"/>
      <c r="U81" s="644"/>
      <c r="V81" s="644"/>
      <c r="W81" s="644"/>
      <c r="X81" s="644"/>
      <c r="Y81" s="644"/>
      <c r="Z81" s="5" t="s">
        <v>2303</v>
      </c>
      <c r="AA81" s="644"/>
      <c r="AB81" s="5" t="s">
        <v>465</v>
      </c>
      <c r="AC81" s="644"/>
      <c r="AD81" s="9" t="s">
        <v>465</v>
      </c>
      <c r="AE81" s="644"/>
      <c r="AF81" s="644"/>
      <c r="AG81" s="644"/>
      <c r="AH81" s="644"/>
      <c r="AI81" s="644"/>
      <c r="AJ81" s="84" t="s">
        <v>654</v>
      </c>
      <c r="AK81" s="644"/>
      <c r="AL81" s="9" t="s">
        <v>2367</v>
      </c>
      <c r="AM81" s="644"/>
      <c r="AN81" s="9"/>
      <c r="AO81" s="644"/>
      <c r="AP81" s="9"/>
      <c r="AQ81" s="644"/>
      <c r="AR81" s="9"/>
      <c r="AS81" s="644"/>
      <c r="AT81" s="5" t="s">
        <v>600</v>
      </c>
      <c r="AU81" s="644"/>
      <c r="AV81" s="757"/>
      <c r="AW81" s="644"/>
      <c r="AX81" s="9"/>
      <c r="AY81" s="644"/>
      <c r="AZ81" s="9"/>
      <c r="BA81" s="644"/>
      <c r="BB81" s="644"/>
      <c r="BC81" s="644"/>
      <c r="BD81" s="5"/>
      <c r="BE81" s="644"/>
      <c r="BF81" s="9"/>
      <c r="BG81" s="644"/>
      <c r="BH81" s="644"/>
      <c r="BI81" s="644"/>
      <c r="BJ81" s="9"/>
      <c r="BK81" s="644"/>
      <c r="BL81" s="9"/>
      <c r="BM81" s="644"/>
      <c r="BN81" s="9"/>
      <c r="BO81" s="644"/>
      <c r="BP81" s="9"/>
      <c r="BQ81" s="644"/>
      <c r="BR81" s="9"/>
      <c r="BS81" s="644"/>
      <c r="BT81" s="9"/>
      <c r="BU81" s="644"/>
      <c r="BV81" s="9"/>
      <c r="BW81" s="644"/>
      <c r="BX81" s="632"/>
      <c r="BY81" s="644"/>
      <c r="BZ81" s="632"/>
      <c r="CA81" s="644"/>
      <c r="CB81" s="9" t="s">
        <v>907</v>
      </c>
      <c r="CC81" s="644"/>
      <c r="CD81" s="644"/>
      <c r="CE81" s="644"/>
      <c r="CF81" s="644"/>
      <c r="CG81" s="644"/>
      <c r="CH81" s="632" t="s">
        <v>465</v>
      </c>
      <c r="CI81" s="9"/>
      <c r="CJ81" s="9" t="s">
        <v>465</v>
      </c>
      <c r="CK81" s="9"/>
      <c r="CL81" s="9" t="s">
        <v>504</v>
      </c>
      <c r="CM81" s="644"/>
      <c r="CN81" s="9"/>
      <c r="CO81" s="644"/>
      <c r="CP81" s="9"/>
      <c r="CQ81" s="644"/>
      <c r="CR81" s="9"/>
      <c r="CS81" s="644"/>
      <c r="CT81" s="5" t="s">
        <v>2222</v>
      </c>
      <c r="CU81" s="644"/>
      <c r="CV81" s="9" t="s">
        <v>465</v>
      </c>
      <c r="CW81" s="644"/>
      <c r="CX81" s="9" t="s">
        <v>465</v>
      </c>
      <c r="CY81" s="644"/>
      <c r="CZ81" s="9" t="s">
        <v>465</v>
      </c>
      <c r="DA81" s="644"/>
      <c r="DB81" s="9" t="s">
        <v>465</v>
      </c>
      <c r="DC81" s="644"/>
      <c r="DD81" s="9"/>
      <c r="DE81" s="644"/>
      <c r="DF81" s="644"/>
      <c r="DG81" s="644"/>
      <c r="DH81" s="9"/>
      <c r="DI81" s="644"/>
      <c r="DJ81" s="758" t="s">
        <v>504</v>
      </c>
      <c r="DK81" s="644"/>
      <c r="DL81" s="644"/>
      <c r="DM81" s="644"/>
      <c r="DN81" s="9"/>
      <c r="DO81" s="644"/>
      <c r="DP81" s="644"/>
      <c r="DQ81" s="644"/>
      <c r="DR81" s="644"/>
      <c r="DS81" s="644"/>
      <c r="DT81" s="644"/>
      <c r="DU81" s="644"/>
      <c r="DV81" s="9" t="s">
        <v>1169</v>
      </c>
      <c r="DW81" s="644"/>
      <c r="DX81" s="9" t="s">
        <v>1169</v>
      </c>
      <c r="DY81" s="644"/>
      <c r="DZ81" s="5" t="s">
        <v>465</v>
      </c>
      <c r="EA81" s="644"/>
      <c r="EB81" s="644"/>
      <c r="EC81" s="644"/>
      <c r="ED81" s="644"/>
      <c r="EE81" s="644"/>
      <c r="EF81" s="9" t="s">
        <v>504</v>
      </c>
      <c r="EG81" s="644"/>
      <c r="EH81" s="9" t="s">
        <v>504</v>
      </c>
      <c r="EI81" s="644"/>
      <c r="EJ81" s="644"/>
      <c r="EK81" s="644"/>
      <c r="EL81" s="644"/>
      <c r="EM81" s="644"/>
      <c r="EN81" s="9"/>
      <c r="EO81" s="644"/>
      <c r="EP81" s="9" t="s">
        <v>504</v>
      </c>
      <c r="EQ81" s="644"/>
      <c r="ER81" s="644"/>
      <c r="ES81" s="644"/>
      <c r="ET81" s="13" t="s">
        <v>465</v>
      </c>
      <c r="EU81" s="644"/>
      <c r="EV81" s="9" t="s">
        <v>504</v>
      </c>
      <c r="EW81" s="644"/>
      <c r="EX81" s="9" t="s">
        <v>465</v>
      </c>
      <c r="EY81" s="644"/>
      <c r="EZ81" s="9" t="s">
        <v>504</v>
      </c>
      <c r="FA81" s="644"/>
      <c r="FB81" s="9" t="s">
        <v>504</v>
      </c>
      <c r="FC81" s="644"/>
      <c r="FD81" s="9" t="s">
        <v>1524</v>
      </c>
      <c r="FE81" s="644"/>
      <c r="FF81" s="9" t="s">
        <v>1549</v>
      </c>
      <c r="FG81" s="644"/>
      <c r="FH81" s="5" t="s">
        <v>1571</v>
      </c>
      <c r="FI81" s="644"/>
      <c r="FJ81" s="9"/>
      <c r="FK81" s="644"/>
      <c r="FL81" s="760" t="s">
        <v>1601</v>
      </c>
      <c r="FM81" s="644"/>
      <c r="FN81" s="9"/>
      <c r="FO81" s="644"/>
      <c r="FP81" s="9" t="s">
        <v>677</v>
      </c>
      <c r="FQ81" s="644"/>
      <c r="FR81" s="644"/>
      <c r="FS81" s="644"/>
      <c r="FT81" s="644"/>
      <c r="FU81" s="644"/>
      <c r="FV81" s="644"/>
      <c r="FW81" s="644"/>
      <c r="FX81" s="9" t="s">
        <v>465</v>
      </c>
      <c r="FY81" s="644"/>
      <c r="FZ81" s="644"/>
      <c r="GA81" s="644"/>
      <c r="GB81" s="9"/>
      <c r="GC81" s="644"/>
      <c r="GD81" s="9" t="s">
        <v>2499</v>
      </c>
      <c r="GE81" s="644"/>
      <c r="GF81" s="5" t="s">
        <v>504</v>
      </c>
      <c r="GG81" s="644"/>
      <c r="GH81" s="9" t="s">
        <v>2008</v>
      </c>
      <c r="GI81" s="644"/>
      <c r="GJ81" s="780" t="s">
        <v>465</v>
      </c>
      <c r="GK81" s="644"/>
      <c r="GL81" s="9" t="s">
        <v>1704</v>
      </c>
      <c r="GM81" s="644"/>
      <c r="GN81" s="9" t="s">
        <v>1719</v>
      </c>
      <c r="GO81" s="644"/>
      <c r="GP81" s="9" t="s">
        <v>1741</v>
      </c>
      <c r="GQ81" s="644"/>
      <c r="GR81" s="9"/>
      <c r="GS81" s="644"/>
      <c r="GT81" s="5" t="s">
        <v>504</v>
      </c>
      <c r="GU81" s="644"/>
      <c r="GV81" s="9"/>
      <c r="GW81" s="644"/>
      <c r="GX81" s="9"/>
      <c r="GY81" s="644"/>
      <c r="GZ81" s="9"/>
      <c r="HA81" s="644"/>
      <c r="HB81" s="9"/>
      <c r="HC81" s="644"/>
      <c r="HD81" s="9" t="s">
        <v>1830</v>
      </c>
      <c r="HE81" s="644"/>
      <c r="HF81" s="9"/>
      <c r="HG81" s="644"/>
      <c r="HH81" s="9" t="s">
        <v>465</v>
      </c>
      <c r="HI81" s="644"/>
      <c r="HJ81" s="644"/>
      <c r="HK81" s="644"/>
      <c r="HL81" s="9" t="s">
        <v>504</v>
      </c>
      <c r="HM81" s="644"/>
      <c r="HN81" s="5" t="s">
        <v>1778</v>
      </c>
      <c r="HO81" s="644"/>
      <c r="HP81" s="9"/>
      <c r="HQ81" s="644"/>
      <c r="HR81" s="9"/>
      <c r="HS81" s="644"/>
      <c r="HT81" s="633" t="s">
        <v>702</v>
      </c>
      <c r="HU81" s="644"/>
      <c r="HV81" s="9" t="s">
        <v>504</v>
      </c>
      <c r="HW81" s="644"/>
      <c r="HX81" s="9"/>
      <c r="HY81" s="644"/>
      <c r="HZ81" s="9"/>
      <c r="IA81" s="644"/>
      <c r="IB81" s="644"/>
      <c r="IC81" s="644"/>
      <c r="ID81" s="9"/>
      <c r="IE81" s="644"/>
      <c r="IF81" s="9"/>
      <c r="IG81" s="756"/>
      <c r="IH81" s="9"/>
      <c r="II81" s="644"/>
      <c r="IJ81" s="644"/>
      <c r="IK81" s="644"/>
      <c r="IL81" s="633" t="s">
        <v>465</v>
      </c>
      <c r="IM81" s="644"/>
      <c r="IN81" s="634" t="s">
        <v>465</v>
      </c>
      <c r="IO81" s="644"/>
      <c r="IP81" s="9" t="s">
        <v>745</v>
      </c>
      <c r="IQ81" s="644"/>
      <c r="IR81" s="9" t="s">
        <v>745</v>
      </c>
      <c r="IS81" s="644"/>
      <c r="IT81" s="9" t="s">
        <v>504</v>
      </c>
      <c r="IU81" s="644"/>
      <c r="IV81" s="9" t="s">
        <v>504</v>
      </c>
      <c r="IW81" s="644"/>
      <c r="IX81" s="632" t="s">
        <v>1104</v>
      </c>
      <c r="IY81" s="644"/>
      <c r="IZ81" s="9" t="s">
        <v>1379</v>
      </c>
      <c r="JA81" s="644"/>
      <c r="JB81" s="9"/>
      <c r="JC81" s="644"/>
      <c r="JD81" s="9" t="s">
        <v>465</v>
      </c>
      <c r="JE81" s="644"/>
      <c r="JF81" s="644"/>
      <c r="JG81" s="644"/>
      <c r="JH81" s="9"/>
      <c r="JI81" s="644"/>
      <c r="JJ81" s="644"/>
      <c r="JK81" s="644"/>
      <c r="JL81" s="644"/>
      <c r="JM81" s="644"/>
      <c r="JN81" s="9" t="s">
        <v>504</v>
      </c>
      <c r="JO81" s="644"/>
      <c r="JP81" s="644"/>
      <c r="JQ81" s="644"/>
      <c r="JR81" s="20" t="s">
        <v>465</v>
      </c>
      <c r="JS81" s="644"/>
      <c r="JT81" s="9" t="s">
        <v>465</v>
      </c>
      <c r="JU81" s="644"/>
      <c r="JV81" s="9"/>
      <c r="JW81" s="644"/>
      <c r="JX81" s="9" t="s">
        <v>714</v>
      </c>
      <c r="JY81" s="644"/>
    </row>
    <row r="82" spans="1:285" ht="24.75" customHeight="1" x14ac:dyDescent="0.2">
      <c r="A82" s="1565"/>
      <c r="B82" s="1571"/>
      <c r="C82" s="82" t="s">
        <v>136</v>
      </c>
      <c r="D82" s="83" t="s">
        <v>203</v>
      </c>
      <c r="E82" s="755" t="s">
        <v>48</v>
      </c>
      <c r="F82" s="9"/>
      <c r="G82" s="756"/>
      <c r="H82" s="9" t="s">
        <v>465</v>
      </c>
      <c r="I82" s="644"/>
      <c r="J82" s="9" t="s">
        <v>465</v>
      </c>
      <c r="K82" s="644"/>
      <c r="L82" s="9" t="s">
        <v>465</v>
      </c>
      <c r="M82" s="644"/>
      <c r="N82" s="757" t="s">
        <v>476</v>
      </c>
      <c r="O82" s="644"/>
      <c r="P82" s="84" t="s">
        <v>465</v>
      </c>
      <c r="Q82" s="644"/>
      <c r="R82" s="9" t="s">
        <v>525</v>
      </c>
      <c r="S82" s="644"/>
      <c r="T82" s="644"/>
      <c r="U82" s="644"/>
      <c r="V82" s="644"/>
      <c r="W82" s="644"/>
      <c r="X82" s="644"/>
      <c r="Y82" s="644"/>
      <c r="Z82" s="5" t="s">
        <v>2304</v>
      </c>
      <c r="AA82" s="644"/>
      <c r="AB82" s="5" t="s">
        <v>465</v>
      </c>
      <c r="AC82" s="644"/>
      <c r="AD82" s="9" t="s">
        <v>465</v>
      </c>
      <c r="AE82" s="644"/>
      <c r="AF82" s="644"/>
      <c r="AG82" s="644"/>
      <c r="AH82" s="644"/>
      <c r="AI82" s="644"/>
      <c r="AJ82" s="84" t="s">
        <v>504</v>
      </c>
      <c r="AK82" s="644"/>
      <c r="AL82" s="9" t="s">
        <v>2368</v>
      </c>
      <c r="AM82" s="644"/>
      <c r="AN82" s="9"/>
      <c r="AO82" s="644"/>
      <c r="AP82" s="9"/>
      <c r="AQ82" s="644"/>
      <c r="AR82" s="9"/>
      <c r="AS82" s="644"/>
      <c r="AT82" s="5" t="s">
        <v>601</v>
      </c>
      <c r="AU82" s="644"/>
      <c r="AV82" s="757"/>
      <c r="AW82" s="644"/>
      <c r="AX82" s="9"/>
      <c r="AY82" s="644"/>
      <c r="AZ82" s="9"/>
      <c r="BA82" s="644"/>
      <c r="BB82" s="644"/>
      <c r="BC82" s="644"/>
      <c r="BD82" s="5"/>
      <c r="BE82" s="644"/>
      <c r="BF82" s="9"/>
      <c r="BG82" s="644"/>
      <c r="BH82" s="644"/>
      <c r="BI82" s="644"/>
      <c r="BJ82" s="9"/>
      <c r="BK82" s="644"/>
      <c r="BL82" s="9"/>
      <c r="BM82" s="644"/>
      <c r="BN82" s="9"/>
      <c r="BO82" s="644"/>
      <c r="BP82" s="9"/>
      <c r="BQ82" s="644"/>
      <c r="BR82" s="9"/>
      <c r="BS82" s="644"/>
      <c r="BT82" s="9"/>
      <c r="BU82" s="644"/>
      <c r="BV82" s="9"/>
      <c r="BW82" s="644"/>
      <c r="BX82" s="632"/>
      <c r="BY82" s="644"/>
      <c r="BZ82" s="632"/>
      <c r="CA82" s="644"/>
      <c r="CB82" s="9"/>
      <c r="CC82" s="644"/>
      <c r="CD82" s="644"/>
      <c r="CE82" s="644"/>
      <c r="CF82" s="644"/>
      <c r="CG82" s="644"/>
      <c r="CH82" s="632" t="s">
        <v>465</v>
      </c>
      <c r="CI82" s="9"/>
      <c r="CJ82" s="9" t="s">
        <v>465</v>
      </c>
      <c r="CK82" s="9"/>
      <c r="CL82" s="9" t="s">
        <v>504</v>
      </c>
      <c r="CM82" s="644"/>
      <c r="CN82" s="9"/>
      <c r="CO82" s="644"/>
      <c r="CP82" s="9"/>
      <c r="CQ82" s="644"/>
      <c r="CR82" s="9"/>
      <c r="CS82" s="644"/>
      <c r="CT82" s="5" t="s">
        <v>2223</v>
      </c>
      <c r="CU82" s="644"/>
      <c r="CV82" s="9" t="s">
        <v>465</v>
      </c>
      <c r="CW82" s="644"/>
      <c r="CX82" s="9" t="s">
        <v>465</v>
      </c>
      <c r="CY82" s="644"/>
      <c r="CZ82" s="9" t="s">
        <v>465</v>
      </c>
      <c r="DA82" s="644"/>
      <c r="DB82" s="9" t="s">
        <v>465</v>
      </c>
      <c r="DC82" s="644"/>
      <c r="DD82" s="9"/>
      <c r="DE82" s="644"/>
      <c r="DF82" s="644"/>
      <c r="DG82" s="644"/>
      <c r="DH82" s="9"/>
      <c r="DI82" s="644"/>
      <c r="DJ82" s="758" t="s">
        <v>504</v>
      </c>
      <c r="DK82" s="644"/>
      <c r="DL82" s="644"/>
      <c r="DM82" s="644"/>
      <c r="DN82" s="9"/>
      <c r="DO82" s="644"/>
      <c r="DP82" s="644"/>
      <c r="DQ82" s="644"/>
      <c r="DR82" s="644"/>
      <c r="DS82" s="644"/>
      <c r="DT82" s="644"/>
      <c r="DU82" s="644"/>
      <c r="DV82" s="9" t="s">
        <v>1170</v>
      </c>
      <c r="DW82" s="644"/>
      <c r="DX82" s="9" t="s">
        <v>1170</v>
      </c>
      <c r="DY82" s="644"/>
      <c r="DZ82" s="5" t="s">
        <v>465</v>
      </c>
      <c r="EA82" s="644"/>
      <c r="EB82" s="644"/>
      <c r="EC82" s="644"/>
      <c r="ED82" s="644"/>
      <c r="EE82" s="644"/>
      <c r="EF82" s="9" t="s">
        <v>504</v>
      </c>
      <c r="EG82" s="644"/>
      <c r="EH82" s="9" t="s">
        <v>504</v>
      </c>
      <c r="EI82" s="644"/>
      <c r="EJ82" s="644"/>
      <c r="EK82" s="644"/>
      <c r="EL82" s="644"/>
      <c r="EM82" s="644"/>
      <c r="EN82" s="9"/>
      <c r="EO82" s="644"/>
      <c r="EP82" s="9" t="s">
        <v>504</v>
      </c>
      <c r="EQ82" s="644"/>
      <c r="ER82" s="644"/>
      <c r="ES82" s="644"/>
      <c r="ET82" s="13" t="s">
        <v>465</v>
      </c>
      <c r="EU82" s="644"/>
      <c r="EV82" s="9" t="s">
        <v>504</v>
      </c>
      <c r="EW82" s="644"/>
      <c r="EX82" s="9" t="s">
        <v>465</v>
      </c>
      <c r="EY82" s="644"/>
      <c r="EZ82" s="9" t="s">
        <v>504</v>
      </c>
      <c r="FA82" s="644"/>
      <c r="FB82" s="9" t="s">
        <v>504</v>
      </c>
      <c r="FC82" s="644"/>
      <c r="FD82" s="5" t="s">
        <v>1525</v>
      </c>
      <c r="FE82" s="644"/>
      <c r="FF82" s="9" t="s">
        <v>1525</v>
      </c>
      <c r="FG82" s="644"/>
      <c r="FH82" s="5" t="s">
        <v>1525</v>
      </c>
      <c r="FI82" s="644"/>
      <c r="FJ82" s="9"/>
      <c r="FK82" s="644"/>
      <c r="FL82" s="760" t="s">
        <v>1602</v>
      </c>
      <c r="FM82" s="644"/>
      <c r="FN82" s="9"/>
      <c r="FO82" s="644"/>
      <c r="FP82" s="9" t="s">
        <v>678</v>
      </c>
      <c r="FQ82" s="644"/>
      <c r="FR82" s="644"/>
      <c r="FS82" s="644"/>
      <c r="FT82" s="644"/>
      <c r="FU82" s="644"/>
      <c r="FV82" s="644"/>
      <c r="FW82" s="644"/>
      <c r="FX82" s="9" t="s">
        <v>465</v>
      </c>
      <c r="FY82" s="644"/>
      <c r="FZ82" s="644"/>
      <c r="GA82" s="644"/>
      <c r="GB82" s="9"/>
      <c r="GC82" s="644"/>
      <c r="GD82" s="9" t="s">
        <v>2499</v>
      </c>
      <c r="GE82" s="644"/>
      <c r="GF82" s="703" t="s">
        <v>504</v>
      </c>
      <c r="GG82" s="644"/>
      <c r="GH82" s="9" t="s">
        <v>2008</v>
      </c>
      <c r="GI82" s="644"/>
      <c r="GJ82" s="780" t="s">
        <v>465</v>
      </c>
      <c r="GK82" s="644"/>
      <c r="GL82" s="9" t="s">
        <v>1705</v>
      </c>
      <c r="GM82" s="644"/>
      <c r="GN82" s="9" t="s">
        <v>1720</v>
      </c>
      <c r="GO82" s="644"/>
      <c r="GP82" s="9" t="s">
        <v>1742</v>
      </c>
      <c r="GQ82" s="644"/>
      <c r="GR82" s="9"/>
      <c r="GS82" s="644"/>
      <c r="GT82" s="5" t="s">
        <v>504</v>
      </c>
      <c r="GU82" s="644"/>
      <c r="GV82" s="9"/>
      <c r="GW82" s="644"/>
      <c r="GX82" s="9"/>
      <c r="GY82" s="644"/>
      <c r="GZ82" s="9"/>
      <c r="HA82" s="644"/>
      <c r="HB82" s="9"/>
      <c r="HC82" s="644"/>
      <c r="HD82" s="9"/>
      <c r="HE82" s="644"/>
      <c r="HF82" s="9"/>
      <c r="HG82" s="644"/>
      <c r="HH82" s="9" t="s">
        <v>465</v>
      </c>
      <c r="HI82" s="644"/>
      <c r="HJ82" s="644"/>
      <c r="HK82" s="644"/>
      <c r="HL82" s="9" t="s">
        <v>504</v>
      </c>
      <c r="HM82" s="644"/>
      <c r="HN82" s="5" t="s">
        <v>1779</v>
      </c>
      <c r="HO82" s="644"/>
      <c r="HP82" s="9"/>
      <c r="HQ82" s="644"/>
      <c r="HR82" s="9"/>
      <c r="HS82" s="644"/>
      <c r="HT82" s="633" t="s">
        <v>702</v>
      </c>
      <c r="HU82" s="644"/>
      <c r="HV82" s="9"/>
      <c r="HW82" s="644"/>
      <c r="HX82" s="9"/>
      <c r="HY82" s="644"/>
      <c r="HZ82" s="9"/>
      <c r="IA82" s="644"/>
      <c r="IB82" s="644"/>
      <c r="IC82" s="644"/>
      <c r="ID82" s="9"/>
      <c r="IE82" s="644"/>
      <c r="IF82" s="9"/>
      <c r="IG82" s="756"/>
      <c r="IH82" s="9"/>
      <c r="II82" s="644"/>
      <c r="IJ82" s="644"/>
      <c r="IK82" s="644"/>
      <c r="IL82" s="633" t="s">
        <v>465</v>
      </c>
      <c r="IM82" s="644"/>
      <c r="IN82" s="634" t="s">
        <v>465</v>
      </c>
      <c r="IO82" s="644"/>
      <c r="IP82" s="9" t="s">
        <v>746</v>
      </c>
      <c r="IQ82" s="644"/>
      <c r="IR82" s="9" t="s">
        <v>746</v>
      </c>
      <c r="IS82" s="644"/>
      <c r="IT82" s="9" t="s">
        <v>504</v>
      </c>
      <c r="IU82" s="644"/>
      <c r="IV82" s="9" t="s">
        <v>504</v>
      </c>
      <c r="IW82" s="644"/>
      <c r="IX82" s="632" t="s">
        <v>1104</v>
      </c>
      <c r="IY82" s="644"/>
      <c r="IZ82" s="9" t="s">
        <v>1380</v>
      </c>
      <c r="JA82" s="644"/>
      <c r="JB82" s="9"/>
      <c r="JC82" s="644"/>
      <c r="JD82" s="9" t="s">
        <v>465</v>
      </c>
      <c r="JE82" s="644"/>
      <c r="JF82" s="644"/>
      <c r="JG82" s="644"/>
      <c r="JH82" s="9"/>
      <c r="JI82" s="644"/>
      <c r="JJ82" s="644"/>
      <c r="JK82" s="644"/>
      <c r="JL82" s="644"/>
      <c r="JM82" s="644"/>
      <c r="JN82" s="9" t="s">
        <v>504</v>
      </c>
      <c r="JO82" s="644"/>
      <c r="JP82" s="644"/>
      <c r="JQ82" s="644"/>
      <c r="JR82" s="20" t="s">
        <v>465</v>
      </c>
      <c r="JS82" s="644"/>
      <c r="JT82" s="9" t="s">
        <v>465</v>
      </c>
      <c r="JU82" s="644"/>
      <c r="JV82" s="9"/>
      <c r="JW82" s="644"/>
      <c r="JX82" s="9" t="s">
        <v>715</v>
      </c>
      <c r="JY82" s="644"/>
    </row>
    <row r="83" spans="1:285" ht="30.75" customHeight="1" x14ac:dyDescent="0.2">
      <c r="A83" s="1565"/>
      <c r="B83" s="1571"/>
      <c r="C83" s="82" t="s">
        <v>137</v>
      </c>
      <c r="D83" s="83" t="s">
        <v>204</v>
      </c>
      <c r="E83" s="755" t="s">
        <v>53</v>
      </c>
      <c r="F83" s="13"/>
      <c r="G83" s="756"/>
      <c r="H83" s="13" t="s">
        <v>465</v>
      </c>
      <c r="I83" s="644"/>
      <c r="J83" s="9" t="s">
        <v>465</v>
      </c>
      <c r="K83" s="644"/>
      <c r="L83" s="9" t="s">
        <v>465</v>
      </c>
      <c r="M83" s="644"/>
      <c r="N83" s="808">
        <v>7</v>
      </c>
      <c r="O83" s="644"/>
      <c r="P83" s="709" t="s">
        <v>465</v>
      </c>
      <c r="Q83" s="644"/>
      <c r="R83" s="13">
        <v>2</v>
      </c>
      <c r="S83" s="644"/>
      <c r="T83" s="644"/>
      <c r="U83" s="644"/>
      <c r="V83" s="644"/>
      <c r="W83" s="644"/>
      <c r="X83" s="644"/>
      <c r="Y83" s="644"/>
      <c r="Z83" s="703">
        <v>6</v>
      </c>
      <c r="AA83" s="644"/>
      <c r="AB83" s="703" t="s">
        <v>465</v>
      </c>
      <c r="AC83" s="644"/>
      <c r="AD83" s="13" t="s">
        <v>465</v>
      </c>
      <c r="AE83" s="644"/>
      <c r="AF83" s="644"/>
      <c r="AG83" s="644"/>
      <c r="AH83" s="644"/>
      <c r="AI83" s="644"/>
      <c r="AJ83" s="709">
        <v>0</v>
      </c>
      <c r="AK83" s="644"/>
      <c r="AL83" s="13">
        <v>6</v>
      </c>
      <c r="AM83" s="644"/>
      <c r="AN83" s="13"/>
      <c r="AO83" s="644"/>
      <c r="AP83" s="13"/>
      <c r="AQ83" s="644"/>
      <c r="AR83" s="13"/>
      <c r="AS83" s="644"/>
      <c r="AT83" s="703">
        <v>20</v>
      </c>
      <c r="AU83" s="644"/>
      <c r="AV83" s="808"/>
      <c r="AW83" s="644"/>
      <c r="AX83" s="13"/>
      <c r="AY83" s="644"/>
      <c r="AZ83" s="13"/>
      <c r="BA83" s="644"/>
      <c r="BB83" s="644"/>
      <c r="BC83" s="644"/>
      <c r="BD83" s="5"/>
      <c r="BE83" s="644"/>
      <c r="BF83" s="13"/>
      <c r="BG83" s="644"/>
      <c r="BH83" s="644"/>
      <c r="BI83" s="644"/>
      <c r="BJ83" s="13"/>
      <c r="BK83" s="644"/>
      <c r="BL83" s="13"/>
      <c r="BM83" s="644"/>
      <c r="BN83" s="13"/>
      <c r="BO83" s="644"/>
      <c r="BP83" s="13"/>
      <c r="BQ83" s="644"/>
      <c r="BR83" s="13"/>
      <c r="BS83" s="644"/>
      <c r="BT83" s="13"/>
      <c r="BU83" s="644"/>
      <c r="BV83" s="13"/>
      <c r="BW83" s="644"/>
      <c r="BX83" s="710"/>
      <c r="BY83" s="644"/>
      <c r="BZ83" s="710"/>
      <c r="CA83" s="644"/>
      <c r="CB83" s="13"/>
      <c r="CC83" s="644"/>
      <c r="CD83" s="644"/>
      <c r="CE83" s="644"/>
      <c r="CF83" s="644"/>
      <c r="CG83" s="644"/>
      <c r="CH83" s="710" t="s">
        <v>465</v>
      </c>
      <c r="CI83" s="13"/>
      <c r="CJ83" s="13" t="s">
        <v>465</v>
      </c>
      <c r="CK83" s="13"/>
      <c r="CL83" s="13" t="s">
        <v>504</v>
      </c>
      <c r="CM83" s="644"/>
      <c r="CN83" s="13"/>
      <c r="CO83" s="644"/>
      <c r="CP83" s="13"/>
      <c r="CQ83" s="644"/>
      <c r="CR83" s="13"/>
      <c r="CS83" s="644"/>
      <c r="CT83" s="13" t="s">
        <v>2224</v>
      </c>
      <c r="CU83" s="644"/>
      <c r="CV83" s="13" t="s">
        <v>465</v>
      </c>
      <c r="CW83" s="644"/>
      <c r="CX83" s="13" t="s">
        <v>465</v>
      </c>
      <c r="CY83" s="644"/>
      <c r="CZ83" s="9" t="s">
        <v>465</v>
      </c>
      <c r="DA83" s="644"/>
      <c r="DB83" s="13" t="s">
        <v>465</v>
      </c>
      <c r="DC83" s="644"/>
      <c r="DD83" s="13"/>
      <c r="DE83" s="644"/>
      <c r="DF83" s="644"/>
      <c r="DG83" s="644"/>
      <c r="DH83" s="13"/>
      <c r="DI83" s="644"/>
      <c r="DJ83" s="809" t="s">
        <v>504</v>
      </c>
      <c r="DK83" s="644"/>
      <c r="DL83" s="644"/>
      <c r="DM83" s="644"/>
      <c r="DN83" s="13"/>
      <c r="DO83" s="644"/>
      <c r="DP83" s="644"/>
      <c r="DQ83" s="644"/>
      <c r="DR83" s="644"/>
      <c r="DS83" s="644"/>
      <c r="DT83" s="644"/>
      <c r="DU83" s="644"/>
      <c r="DV83" s="13">
        <v>3</v>
      </c>
      <c r="DW83" s="644"/>
      <c r="DX83" s="13">
        <v>3</v>
      </c>
      <c r="DY83" s="644"/>
      <c r="DZ83" s="703" t="s">
        <v>465</v>
      </c>
      <c r="EA83" s="644"/>
      <c r="EB83" s="644"/>
      <c r="EC83" s="644"/>
      <c r="ED83" s="644"/>
      <c r="EE83" s="644"/>
      <c r="EF83" s="13" t="s">
        <v>504</v>
      </c>
      <c r="EG83" s="644"/>
      <c r="EH83" s="13" t="s">
        <v>504</v>
      </c>
      <c r="EI83" s="644"/>
      <c r="EJ83" s="644"/>
      <c r="EK83" s="644"/>
      <c r="EL83" s="644"/>
      <c r="EM83" s="644"/>
      <c r="EN83" s="13"/>
      <c r="EO83" s="644"/>
      <c r="EP83" s="13" t="s">
        <v>504</v>
      </c>
      <c r="EQ83" s="644"/>
      <c r="ER83" s="644"/>
      <c r="ES83" s="644"/>
      <c r="ET83" s="13" t="s">
        <v>465</v>
      </c>
      <c r="EU83" s="644"/>
      <c r="EV83" s="13" t="s">
        <v>465</v>
      </c>
      <c r="EW83" s="644"/>
      <c r="EX83" s="13" t="s">
        <v>465</v>
      </c>
      <c r="EY83" s="644"/>
      <c r="EZ83" s="9" t="s">
        <v>504</v>
      </c>
      <c r="FA83" s="644"/>
      <c r="FB83" s="9" t="s">
        <v>504</v>
      </c>
      <c r="FC83" s="644"/>
      <c r="FD83" s="13">
        <v>5</v>
      </c>
      <c r="FE83" s="644"/>
      <c r="FF83" s="13">
        <v>5</v>
      </c>
      <c r="FG83" s="644"/>
      <c r="FH83" s="703">
        <v>5</v>
      </c>
      <c r="FI83" s="644"/>
      <c r="FJ83" s="13"/>
      <c r="FK83" s="644"/>
      <c r="FL83" s="811">
        <v>4</v>
      </c>
      <c r="FM83" s="644"/>
      <c r="FN83" s="13"/>
      <c r="FO83" s="644"/>
      <c r="FP83" s="13">
        <v>9</v>
      </c>
      <c r="FQ83" s="644"/>
      <c r="FR83" s="644"/>
      <c r="FS83" s="644"/>
      <c r="FT83" s="644"/>
      <c r="FU83" s="644"/>
      <c r="FV83" s="644"/>
      <c r="FW83" s="644"/>
      <c r="FX83" s="13" t="s">
        <v>465</v>
      </c>
      <c r="FY83" s="644"/>
      <c r="FZ83" s="644"/>
      <c r="GA83" s="644"/>
      <c r="GB83" s="13"/>
      <c r="GC83" s="644"/>
      <c r="GD83" s="13" t="s">
        <v>2499</v>
      </c>
      <c r="GE83" s="644"/>
      <c r="GF83" s="5" t="s">
        <v>504</v>
      </c>
      <c r="GG83" s="644"/>
      <c r="GH83" s="13">
        <v>0</v>
      </c>
      <c r="GI83" s="644"/>
      <c r="GJ83" s="811" t="s">
        <v>465</v>
      </c>
      <c r="GK83" s="644"/>
      <c r="GL83" s="13">
        <v>0</v>
      </c>
      <c r="GM83" s="644"/>
      <c r="GN83" s="13">
        <v>10</v>
      </c>
      <c r="GO83" s="644"/>
      <c r="GP83" s="13">
        <v>2</v>
      </c>
      <c r="GQ83" s="644"/>
      <c r="GR83" s="13"/>
      <c r="GS83" s="644"/>
      <c r="GT83" s="703" t="s">
        <v>2084</v>
      </c>
      <c r="GU83" s="644"/>
      <c r="GV83" s="13"/>
      <c r="GW83" s="644"/>
      <c r="GX83" s="13"/>
      <c r="GY83" s="644"/>
      <c r="GZ83" s="13"/>
      <c r="HA83" s="644"/>
      <c r="HB83" s="13"/>
      <c r="HC83" s="644"/>
      <c r="HD83" s="13"/>
      <c r="HE83" s="644"/>
      <c r="HF83" s="13"/>
      <c r="HG83" s="644"/>
      <c r="HH83" s="13" t="s">
        <v>465</v>
      </c>
      <c r="HI83" s="644"/>
      <c r="HJ83" s="644"/>
      <c r="HK83" s="644"/>
      <c r="HL83" s="13" t="s">
        <v>504</v>
      </c>
      <c r="HM83" s="644"/>
      <c r="HN83" s="13">
        <v>5</v>
      </c>
      <c r="HO83" s="644"/>
      <c r="HP83" s="13"/>
      <c r="HQ83" s="644"/>
      <c r="HR83" s="13"/>
      <c r="HS83" s="644"/>
      <c r="HT83" s="711" t="s">
        <v>702</v>
      </c>
      <c r="HU83" s="644"/>
      <c r="HV83" s="13"/>
      <c r="HW83" s="644"/>
      <c r="HX83" s="13"/>
      <c r="HY83" s="644"/>
      <c r="HZ83" s="13"/>
      <c r="IA83" s="644"/>
      <c r="IB83" s="644"/>
      <c r="IC83" s="644"/>
      <c r="ID83" s="13"/>
      <c r="IE83" s="644"/>
      <c r="IF83" s="13"/>
      <c r="IG83" s="756"/>
      <c r="IH83" s="13"/>
      <c r="II83" s="644"/>
      <c r="IJ83" s="644"/>
      <c r="IK83" s="644"/>
      <c r="IL83" s="711" t="s">
        <v>465</v>
      </c>
      <c r="IM83" s="644"/>
      <c r="IN83" s="712">
        <v>0</v>
      </c>
      <c r="IO83" s="644"/>
      <c r="IP83" s="13">
        <v>5</v>
      </c>
      <c r="IQ83" s="644"/>
      <c r="IR83" s="13">
        <v>5</v>
      </c>
      <c r="IS83" s="644"/>
      <c r="IT83" s="13" t="s">
        <v>504</v>
      </c>
      <c r="IU83" s="644"/>
      <c r="IV83" s="9" t="s">
        <v>504</v>
      </c>
      <c r="IW83" s="644"/>
      <c r="IX83" s="632" t="s">
        <v>1104</v>
      </c>
      <c r="IY83" s="644"/>
      <c r="IZ83" s="13">
        <v>1</v>
      </c>
      <c r="JA83" s="644"/>
      <c r="JB83" s="13"/>
      <c r="JC83" s="644"/>
      <c r="JD83" s="13" t="s">
        <v>465</v>
      </c>
      <c r="JE83" s="644"/>
      <c r="JF83" s="644"/>
      <c r="JG83" s="644"/>
      <c r="JH83" s="13"/>
      <c r="JI83" s="644"/>
      <c r="JJ83" s="644"/>
      <c r="JK83" s="644"/>
      <c r="JL83" s="644"/>
      <c r="JM83" s="644"/>
      <c r="JN83" s="13">
        <v>0</v>
      </c>
      <c r="JO83" s="644"/>
      <c r="JP83" s="644"/>
      <c r="JQ83" s="644"/>
      <c r="JR83" s="713" t="s">
        <v>465</v>
      </c>
      <c r="JS83" s="644"/>
      <c r="JT83" s="13" t="s">
        <v>465</v>
      </c>
      <c r="JU83" s="644"/>
      <c r="JV83" s="13"/>
      <c r="JW83" s="644"/>
      <c r="JX83" s="13">
        <v>5</v>
      </c>
      <c r="JY83" s="644"/>
    </row>
    <row r="84" spans="1:285" ht="22.5" customHeight="1" x14ac:dyDescent="0.2">
      <c r="A84" s="1565"/>
      <c r="B84" s="1571"/>
      <c r="C84" s="82" t="s">
        <v>138</v>
      </c>
      <c r="D84" s="73" t="s">
        <v>205</v>
      </c>
      <c r="E84" s="755" t="s">
        <v>53</v>
      </c>
      <c r="F84" s="13"/>
      <c r="G84" s="756"/>
      <c r="H84" s="13" t="s">
        <v>465</v>
      </c>
      <c r="I84" s="644"/>
      <c r="J84" s="9" t="s">
        <v>465</v>
      </c>
      <c r="K84" s="644"/>
      <c r="L84" s="9" t="s">
        <v>465</v>
      </c>
      <c r="M84" s="644"/>
      <c r="N84" s="808"/>
      <c r="O84" s="644"/>
      <c r="P84" s="709" t="s">
        <v>465</v>
      </c>
      <c r="Q84" s="644"/>
      <c r="R84" s="13">
        <v>0</v>
      </c>
      <c r="S84" s="644"/>
      <c r="T84" s="644"/>
      <c r="U84" s="644"/>
      <c r="V84" s="644"/>
      <c r="W84" s="644"/>
      <c r="X84" s="644"/>
      <c r="Y84" s="644"/>
      <c r="Z84" s="13" t="s">
        <v>465</v>
      </c>
      <c r="AA84" s="644"/>
      <c r="AB84" s="703" t="s">
        <v>465</v>
      </c>
      <c r="AC84" s="644"/>
      <c r="AD84" s="13" t="s">
        <v>465</v>
      </c>
      <c r="AE84" s="644"/>
      <c r="AF84" s="644"/>
      <c r="AG84" s="644"/>
      <c r="AH84" s="644"/>
      <c r="AI84" s="644"/>
      <c r="AJ84" s="709">
        <v>3</v>
      </c>
      <c r="AK84" s="644"/>
      <c r="AL84" s="13"/>
      <c r="AM84" s="644"/>
      <c r="AN84" s="13">
        <v>491</v>
      </c>
      <c r="AO84" s="644"/>
      <c r="AP84" s="13"/>
      <c r="AQ84" s="644"/>
      <c r="AR84" s="13"/>
      <c r="AS84" s="644"/>
      <c r="AT84" s="13"/>
      <c r="AU84" s="644"/>
      <c r="AV84" s="808"/>
      <c r="AW84" s="644"/>
      <c r="AX84" s="13"/>
      <c r="AY84" s="644"/>
      <c r="AZ84" s="13"/>
      <c r="BA84" s="644"/>
      <c r="BB84" s="644"/>
      <c r="BC84" s="644"/>
      <c r="BD84" s="5"/>
      <c r="BE84" s="644"/>
      <c r="BF84" s="13"/>
      <c r="BG84" s="644"/>
      <c r="BH84" s="644"/>
      <c r="BI84" s="644"/>
      <c r="BJ84" s="13"/>
      <c r="BK84" s="644"/>
      <c r="BL84" s="13"/>
      <c r="BM84" s="644"/>
      <c r="BN84" s="13"/>
      <c r="BO84" s="644"/>
      <c r="BP84" s="13"/>
      <c r="BQ84" s="644"/>
      <c r="BR84" s="13"/>
      <c r="BS84" s="644"/>
      <c r="BT84" s="13"/>
      <c r="BU84" s="644"/>
      <c r="BV84" s="13"/>
      <c r="BW84" s="644"/>
      <c r="BX84" s="710"/>
      <c r="BY84" s="644"/>
      <c r="BZ84" s="710"/>
      <c r="CA84" s="644"/>
      <c r="CB84" s="13"/>
      <c r="CC84" s="644"/>
      <c r="CD84" s="644"/>
      <c r="CE84" s="644"/>
      <c r="CF84" s="644"/>
      <c r="CG84" s="644"/>
      <c r="CH84" s="710" t="s">
        <v>465</v>
      </c>
      <c r="CI84" s="13"/>
      <c r="CJ84" s="13" t="s">
        <v>465</v>
      </c>
      <c r="CK84" s="13"/>
      <c r="CL84" s="13" t="s">
        <v>504</v>
      </c>
      <c r="CM84" s="644"/>
      <c r="CN84" s="13"/>
      <c r="CO84" s="644"/>
      <c r="CP84" s="13"/>
      <c r="CQ84" s="644"/>
      <c r="CR84" s="13"/>
      <c r="CS84" s="644"/>
      <c r="CT84" s="13">
        <v>2</v>
      </c>
      <c r="CU84" s="644"/>
      <c r="CV84" s="13" t="s">
        <v>465</v>
      </c>
      <c r="CW84" s="644"/>
      <c r="CX84" s="13" t="s">
        <v>465</v>
      </c>
      <c r="CY84" s="644"/>
      <c r="CZ84" s="9" t="s">
        <v>465</v>
      </c>
      <c r="DA84" s="644"/>
      <c r="DB84" s="13" t="s">
        <v>465</v>
      </c>
      <c r="DC84" s="644"/>
      <c r="DD84" s="13"/>
      <c r="DE84" s="644"/>
      <c r="DF84" s="644"/>
      <c r="DG84" s="644"/>
      <c r="DH84" s="13"/>
      <c r="DI84" s="644"/>
      <c r="DJ84" s="809" t="s">
        <v>504</v>
      </c>
      <c r="DK84" s="644"/>
      <c r="DL84" s="644"/>
      <c r="DM84" s="644"/>
      <c r="DN84" s="13"/>
      <c r="DO84" s="644"/>
      <c r="DP84" s="644"/>
      <c r="DQ84" s="644"/>
      <c r="DR84" s="644"/>
      <c r="DS84" s="644"/>
      <c r="DT84" s="644"/>
      <c r="DU84" s="644"/>
      <c r="DV84" s="13">
        <v>0</v>
      </c>
      <c r="DW84" s="644"/>
      <c r="DX84" s="13">
        <v>0</v>
      </c>
      <c r="DY84" s="644"/>
      <c r="DZ84" s="13" t="s">
        <v>465</v>
      </c>
      <c r="EA84" s="644"/>
      <c r="EB84" s="644"/>
      <c r="EC84" s="644"/>
      <c r="ED84" s="644"/>
      <c r="EE84" s="644"/>
      <c r="EF84" s="13" t="s">
        <v>504</v>
      </c>
      <c r="EG84" s="644"/>
      <c r="EH84" s="13" t="s">
        <v>504</v>
      </c>
      <c r="EI84" s="644"/>
      <c r="EJ84" s="644"/>
      <c r="EK84" s="644"/>
      <c r="EL84" s="644"/>
      <c r="EM84" s="644"/>
      <c r="EN84" s="13"/>
      <c r="EO84" s="644"/>
      <c r="EP84" s="13" t="s">
        <v>504</v>
      </c>
      <c r="EQ84" s="644"/>
      <c r="ER84" s="644"/>
      <c r="ES84" s="644"/>
      <c r="ET84" s="13" t="s">
        <v>465</v>
      </c>
      <c r="EU84" s="644"/>
      <c r="EV84" s="13" t="s">
        <v>465</v>
      </c>
      <c r="EW84" s="644"/>
      <c r="EX84" s="13" t="s">
        <v>465</v>
      </c>
      <c r="EY84" s="644"/>
      <c r="EZ84" s="9" t="s">
        <v>504</v>
      </c>
      <c r="FA84" s="644"/>
      <c r="FB84" s="9" t="s">
        <v>504</v>
      </c>
      <c r="FC84" s="644"/>
      <c r="FD84" s="13">
        <v>0</v>
      </c>
      <c r="FE84" s="644"/>
      <c r="FF84" s="13">
        <v>347</v>
      </c>
      <c r="FG84" s="644"/>
      <c r="FH84" s="13"/>
      <c r="FI84" s="644"/>
      <c r="FJ84" s="13"/>
      <c r="FK84" s="644"/>
      <c r="FL84" s="811">
        <v>0</v>
      </c>
      <c r="FM84" s="644"/>
      <c r="FN84" s="13"/>
      <c r="FO84" s="644"/>
      <c r="FP84" s="13"/>
      <c r="FQ84" s="644"/>
      <c r="FR84" s="644"/>
      <c r="FS84" s="644"/>
      <c r="FT84" s="644"/>
      <c r="FU84" s="644"/>
      <c r="FV84" s="644"/>
      <c r="FW84" s="644"/>
      <c r="FX84" s="13" t="s">
        <v>465</v>
      </c>
      <c r="FY84" s="644"/>
      <c r="FZ84" s="644"/>
      <c r="GA84" s="644"/>
      <c r="GB84" s="13"/>
      <c r="GC84" s="644"/>
      <c r="GD84" s="13" t="s">
        <v>2499</v>
      </c>
      <c r="GE84" s="644"/>
      <c r="GF84" s="5" t="s">
        <v>504</v>
      </c>
      <c r="GG84" s="644"/>
      <c r="GH84" s="13">
        <v>0</v>
      </c>
      <c r="GI84" s="644"/>
      <c r="GJ84" s="811" t="s">
        <v>465</v>
      </c>
      <c r="GK84" s="644"/>
      <c r="GL84" s="13">
        <v>0</v>
      </c>
      <c r="GM84" s="644"/>
      <c r="GN84" s="13">
        <v>0</v>
      </c>
      <c r="GO84" s="644"/>
      <c r="GP84" s="13">
        <v>5</v>
      </c>
      <c r="GQ84" s="644"/>
      <c r="GR84" s="13"/>
      <c r="GS84" s="644"/>
      <c r="GT84" s="703" t="s">
        <v>504</v>
      </c>
      <c r="GU84" s="644"/>
      <c r="GV84" s="13"/>
      <c r="GW84" s="644"/>
      <c r="GX84" s="13"/>
      <c r="GY84" s="644"/>
      <c r="GZ84" s="13"/>
      <c r="HA84" s="644"/>
      <c r="HB84" s="13"/>
      <c r="HC84" s="644"/>
      <c r="HD84" s="13"/>
      <c r="HE84" s="644"/>
      <c r="HF84" s="13"/>
      <c r="HG84" s="644"/>
      <c r="HH84" s="13" t="s">
        <v>465</v>
      </c>
      <c r="HI84" s="644"/>
      <c r="HJ84" s="644"/>
      <c r="HK84" s="644"/>
      <c r="HL84" s="13" t="s">
        <v>504</v>
      </c>
      <c r="HM84" s="644"/>
      <c r="HN84" s="13" t="s">
        <v>465</v>
      </c>
      <c r="HO84" s="644"/>
      <c r="HP84" s="13"/>
      <c r="HQ84" s="644"/>
      <c r="HR84" s="13"/>
      <c r="HS84" s="644"/>
      <c r="HT84" s="734" t="s">
        <v>702</v>
      </c>
      <c r="HU84" s="644"/>
      <c r="HV84" s="13"/>
      <c r="HW84" s="644"/>
      <c r="HX84" s="13"/>
      <c r="HY84" s="644"/>
      <c r="HZ84" s="13"/>
      <c r="IA84" s="644"/>
      <c r="IB84" s="644"/>
      <c r="IC84" s="644"/>
      <c r="ID84" s="13"/>
      <c r="IE84" s="644"/>
      <c r="IF84" s="13"/>
      <c r="IG84" s="756"/>
      <c r="IH84" s="13"/>
      <c r="II84" s="644"/>
      <c r="IJ84" s="644"/>
      <c r="IK84" s="644"/>
      <c r="IL84" s="711" t="s">
        <v>465</v>
      </c>
      <c r="IM84" s="644"/>
      <c r="IN84" s="712">
        <v>293</v>
      </c>
      <c r="IO84" s="644"/>
      <c r="IP84" s="13"/>
      <c r="IQ84" s="644"/>
      <c r="IR84" s="13"/>
      <c r="IS84" s="644"/>
      <c r="IT84" s="13" t="s">
        <v>504</v>
      </c>
      <c r="IU84" s="644"/>
      <c r="IV84" s="9" t="s">
        <v>504</v>
      </c>
      <c r="IW84" s="644"/>
      <c r="IX84" s="710" t="s">
        <v>1104</v>
      </c>
      <c r="IY84" s="644"/>
      <c r="IZ84" s="13" t="s">
        <v>504</v>
      </c>
      <c r="JA84" s="644"/>
      <c r="JB84" s="13"/>
      <c r="JC84" s="644"/>
      <c r="JD84" s="13" t="s">
        <v>465</v>
      </c>
      <c r="JE84" s="644"/>
      <c r="JF84" s="644"/>
      <c r="JG84" s="644"/>
      <c r="JH84" s="13"/>
      <c r="JI84" s="644"/>
      <c r="JJ84" s="644"/>
      <c r="JK84" s="644"/>
      <c r="JL84" s="644"/>
      <c r="JM84" s="644"/>
      <c r="JN84" s="13">
        <v>0</v>
      </c>
      <c r="JO84" s="644"/>
      <c r="JP84" s="644"/>
      <c r="JQ84" s="644"/>
      <c r="JR84" s="713" t="s">
        <v>465</v>
      </c>
      <c r="JS84" s="644"/>
      <c r="JT84" s="13" t="s">
        <v>465</v>
      </c>
      <c r="JU84" s="644"/>
      <c r="JV84" s="13"/>
      <c r="JW84" s="644"/>
      <c r="JX84" s="13">
        <v>0</v>
      </c>
      <c r="JY84" s="644"/>
    </row>
    <row r="85" spans="1:285" ht="44.25" customHeight="1" thickBot="1" x14ac:dyDescent="0.25">
      <c r="A85" s="1568"/>
      <c r="B85" s="1572"/>
      <c r="C85" s="82" t="s">
        <v>169</v>
      </c>
      <c r="D85" s="86" t="s">
        <v>41</v>
      </c>
      <c r="E85" s="755" t="s">
        <v>53</v>
      </c>
      <c r="F85" s="13">
        <v>1</v>
      </c>
      <c r="G85" s="756"/>
      <c r="H85" s="13">
        <v>4</v>
      </c>
      <c r="I85" s="644"/>
      <c r="J85" s="9">
        <v>4</v>
      </c>
      <c r="K85" s="644"/>
      <c r="L85" s="9">
        <v>2</v>
      </c>
      <c r="M85" s="644"/>
      <c r="N85" s="808"/>
      <c r="O85" s="644"/>
      <c r="P85" s="709">
        <v>6</v>
      </c>
      <c r="Q85" s="644"/>
      <c r="R85" s="13"/>
      <c r="S85" s="644"/>
      <c r="T85" s="644"/>
      <c r="U85" s="644"/>
      <c r="V85" s="644"/>
      <c r="W85" s="644"/>
      <c r="X85" s="644"/>
      <c r="Y85" s="644"/>
      <c r="Z85" s="13" t="s">
        <v>465</v>
      </c>
      <c r="AA85" s="644"/>
      <c r="AB85" s="703">
        <v>2</v>
      </c>
      <c r="AC85" s="644"/>
      <c r="AD85" s="13">
        <v>5</v>
      </c>
      <c r="AE85" s="644"/>
      <c r="AF85" s="644"/>
      <c r="AG85" s="644"/>
      <c r="AH85" s="644"/>
      <c r="AI85" s="644"/>
      <c r="AJ85" s="709">
        <v>0</v>
      </c>
      <c r="AK85" s="644"/>
      <c r="AL85" s="13"/>
      <c r="AM85" s="644"/>
      <c r="AN85" s="13">
        <v>5</v>
      </c>
      <c r="AO85" s="644"/>
      <c r="AP85" s="13">
        <v>1</v>
      </c>
      <c r="AQ85" s="644"/>
      <c r="AR85" s="13"/>
      <c r="AS85" s="644"/>
      <c r="AT85" s="13"/>
      <c r="AU85" s="644"/>
      <c r="AV85" s="808">
        <v>7</v>
      </c>
      <c r="AW85" s="644"/>
      <c r="AX85" s="13">
        <v>4</v>
      </c>
      <c r="AY85" s="644"/>
      <c r="AZ85" s="13"/>
      <c r="BA85" s="644"/>
      <c r="BB85" s="644"/>
      <c r="BC85" s="644"/>
      <c r="BD85" s="5"/>
      <c r="BE85" s="644"/>
      <c r="BF85" s="13"/>
      <c r="BG85" s="644"/>
      <c r="BH85" s="644"/>
      <c r="BI85" s="644"/>
      <c r="BJ85" s="13"/>
      <c r="BK85" s="644"/>
      <c r="BL85" s="13"/>
      <c r="BM85" s="644"/>
      <c r="BN85" s="13"/>
      <c r="BO85" s="644"/>
      <c r="BP85" s="710">
        <v>6</v>
      </c>
      <c r="BQ85" s="644"/>
      <c r="BR85" s="13">
        <v>1</v>
      </c>
      <c r="BS85" s="644"/>
      <c r="BT85" s="13" t="s">
        <v>929</v>
      </c>
      <c r="BU85" s="644"/>
      <c r="BV85" s="13"/>
      <c r="BW85" s="644"/>
      <c r="BX85" s="710"/>
      <c r="BY85" s="644"/>
      <c r="BZ85" s="710">
        <v>3</v>
      </c>
      <c r="CA85" s="644"/>
      <c r="CB85" s="13">
        <v>5</v>
      </c>
      <c r="CC85" s="644"/>
      <c r="CD85" s="644"/>
      <c r="CE85" s="644"/>
      <c r="CF85" s="644"/>
      <c r="CG85" s="644"/>
      <c r="CH85" s="710">
        <v>1</v>
      </c>
      <c r="CI85" s="13"/>
      <c r="CJ85" s="13">
        <v>1</v>
      </c>
      <c r="CK85" s="13"/>
      <c r="CL85" s="13">
        <v>7</v>
      </c>
      <c r="CM85" s="644"/>
      <c r="CN85" s="13">
        <v>1</v>
      </c>
      <c r="CO85" s="644"/>
      <c r="CP85" s="13">
        <v>1</v>
      </c>
      <c r="CQ85" s="644"/>
      <c r="CR85" s="13" t="s">
        <v>2453</v>
      </c>
      <c r="CS85" s="644"/>
      <c r="CT85" s="13"/>
      <c r="CU85" s="644"/>
      <c r="CV85" s="13">
        <v>2</v>
      </c>
      <c r="CW85" s="644"/>
      <c r="CX85" s="13">
        <v>2</v>
      </c>
      <c r="CY85" s="644"/>
      <c r="CZ85" s="13">
        <v>2</v>
      </c>
      <c r="DA85" s="644"/>
      <c r="DB85" s="13">
        <v>2</v>
      </c>
      <c r="DC85" s="644"/>
      <c r="DD85" s="13">
        <v>5</v>
      </c>
      <c r="DE85" s="644"/>
      <c r="DF85" s="644"/>
      <c r="DG85" s="644"/>
      <c r="DH85" s="13"/>
      <c r="DI85" s="644"/>
      <c r="DJ85" s="809"/>
      <c r="DK85" s="644"/>
      <c r="DL85" s="644"/>
      <c r="DM85" s="644"/>
      <c r="DN85" s="13">
        <v>8</v>
      </c>
      <c r="DO85" s="644"/>
      <c r="DP85" s="644"/>
      <c r="DQ85" s="644"/>
      <c r="DR85" s="644"/>
      <c r="DS85" s="644"/>
      <c r="DT85" s="644"/>
      <c r="DU85" s="644"/>
      <c r="DV85" s="13" t="s">
        <v>1171</v>
      </c>
      <c r="DW85" s="644"/>
      <c r="DX85" s="13" t="s">
        <v>1171</v>
      </c>
      <c r="DY85" s="644"/>
      <c r="DZ85" s="13">
        <v>5</v>
      </c>
      <c r="EA85" s="644"/>
      <c r="EB85" s="644"/>
      <c r="EC85" s="644"/>
      <c r="ED85" s="644"/>
      <c r="EE85" s="644"/>
      <c r="EF85" s="13">
        <v>4</v>
      </c>
      <c r="EG85" s="644"/>
      <c r="EH85" s="13">
        <v>8</v>
      </c>
      <c r="EI85" s="644"/>
      <c r="EJ85" s="644"/>
      <c r="EK85" s="644"/>
      <c r="EL85" s="644"/>
      <c r="EM85" s="644"/>
      <c r="EN85" s="13"/>
      <c r="EO85" s="644"/>
      <c r="EP85" s="13">
        <v>1</v>
      </c>
      <c r="EQ85" s="644"/>
      <c r="ER85" s="644"/>
      <c r="ES85" s="644"/>
      <c r="ET85" s="13">
        <v>5</v>
      </c>
      <c r="EU85" s="644"/>
      <c r="EV85" s="13">
        <v>4</v>
      </c>
      <c r="EW85" s="644"/>
      <c r="EX85" s="13">
        <v>4</v>
      </c>
      <c r="EY85" s="644"/>
      <c r="EZ85" s="9" t="s">
        <v>504</v>
      </c>
      <c r="FA85" s="644"/>
      <c r="FB85" s="9" t="s">
        <v>504</v>
      </c>
      <c r="FC85" s="644"/>
      <c r="FD85" s="13" t="s">
        <v>465</v>
      </c>
      <c r="FE85" s="644"/>
      <c r="FF85" s="13" t="s">
        <v>465</v>
      </c>
      <c r="FG85" s="644"/>
      <c r="FH85" s="13"/>
      <c r="FI85" s="644"/>
      <c r="FJ85" s="13"/>
      <c r="FK85" s="644"/>
      <c r="FL85" s="811">
        <v>0</v>
      </c>
      <c r="FM85" s="644"/>
      <c r="FN85" s="13"/>
      <c r="FO85" s="644"/>
      <c r="FP85" s="13"/>
      <c r="FQ85" s="644"/>
      <c r="FR85" s="644"/>
      <c r="FS85" s="644"/>
      <c r="FT85" s="644"/>
      <c r="FU85" s="644"/>
      <c r="FV85" s="644"/>
      <c r="FW85" s="644"/>
      <c r="FX85" s="13">
        <v>5</v>
      </c>
      <c r="FY85" s="644"/>
      <c r="FZ85" s="644"/>
      <c r="GA85" s="644"/>
      <c r="GB85" s="13">
        <v>2</v>
      </c>
      <c r="GC85" s="644"/>
      <c r="GD85" s="13">
        <v>20</v>
      </c>
      <c r="GE85" s="644"/>
      <c r="GF85" s="703">
        <v>2</v>
      </c>
      <c r="GG85" s="644"/>
      <c r="GH85" s="13">
        <v>10</v>
      </c>
      <c r="GI85" s="644"/>
      <c r="GJ85" s="811" t="s">
        <v>1681</v>
      </c>
      <c r="GK85" s="644"/>
      <c r="GL85" s="13">
        <v>0</v>
      </c>
      <c r="GM85" s="644"/>
      <c r="GN85" s="13">
        <v>6</v>
      </c>
      <c r="GO85" s="644"/>
      <c r="GP85" s="13"/>
      <c r="GQ85" s="644"/>
      <c r="GR85" s="13">
        <v>5</v>
      </c>
      <c r="GS85" s="644"/>
      <c r="GT85" s="703">
        <v>4</v>
      </c>
      <c r="GU85" s="644"/>
      <c r="GV85" s="13">
        <v>8</v>
      </c>
      <c r="GW85" s="644"/>
      <c r="GX85" s="13">
        <v>8</v>
      </c>
      <c r="GY85" s="644"/>
      <c r="GZ85" s="13">
        <v>8</v>
      </c>
      <c r="HA85" s="644"/>
      <c r="HB85" s="13">
        <v>2</v>
      </c>
      <c r="HC85" s="644"/>
      <c r="HD85" s="13"/>
      <c r="HE85" s="644"/>
      <c r="HF85" s="13"/>
      <c r="HG85" s="644"/>
      <c r="HH85" s="13" t="s">
        <v>465</v>
      </c>
      <c r="HI85" s="644"/>
      <c r="HJ85" s="644"/>
      <c r="HK85" s="644"/>
      <c r="HL85" s="13">
        <v>2</v>
      </c>
      <c r="HM85" s="644"/>
      <c r="HN85" s="13" t="s">
        <v>465</v>
      </c>
      <c r="HO85" s="644"/>
      <c r="HP85" s="13">
        <v>1</v>
      </c>
      <c r="HQ85" s="644"/>
      <c r="HR85" s="13">
        <v>2</v>
      </c>
      <c r="HS85" s="644"/>
      <c r="HT85" s="734">
        <v>7</v>
      </c>
      <c r="HU85" s="644"/>
      <c r="HV85" s="13">
        <v>1</v>
      </c>
      <c r="HW85" s="644"/>
      <c r="HX85" s="13"/>
      <c r="HY85" s="644"/>
      <c r="HZ85" s="13">
        <v>5</v>
      </c>
      <c r="IA85" s="644"/>
      <c r="IB85" s="644"/>
      <c r="IC85" s="644"/>
      <c r="ID85" s="13">
        <v>4</v>
      </c>
      <c r="IE85" s="644"/>
      <c r="IF85" s="13">
        <v>2</v>
      </c>
      <c r="IG85" s="756" t="s">
        <v>1257</v>
      </c>
      <c r="IH85" s="13"/>
      <c r="II85" s="644"/>
      <c r="IJ85" s="644"/>
      <c r="IK85" s="644"/>
      <c r="IL85" s="711">
        <v>1</v>
      </c>
      <c r="IM85" s="644"/>
      <c r="IN85" s="712">
        <v>4</v>
      </c>
      <c r="IO85" s="644"/>
      <c r="IP85" s="13"/>
      <c r="IQ85" s="644"/>
      <c r="IR85" s="13"/>
      <c r="IS85" s="644"/>
      <c r="IT85" s="13">
        <v>4</v>
      </c>
      <c r="IU85" s="644"/>
      <c r="IV85" s="9">
        <v>4</v>
      </c>
      <c r="IW85" s="644"/>
      <c r="IX85" s="710">
        <v>12</v>
      </c>
      <c r="IY85" s="644"/>
      <c r="IZ85" s="13">
        <v>3</v>
      </c>
      <c r="JA85" s="644"/>
      <c r="JB85" s="13"/>
      <c r="JC85" s="644"/>
      <c r="JD85" s="13" t="s">
        <v>465</v>
      </c>
      <c r="JE85" s="644"/>
      <c r="JF85" s="644"/>
      <c r="JG85" s="644"/>
      <c r="JH85" s="13"/>
      <c r="JI85" s="644"/>
      <c r="JJ85" s="644"/>
      <c r="JK85" s="644"/>
      <c r="JL85" s="644"/>
      <c r="JM85" s="644"/>
      <c r="JN85" s="13">
        <v>3</v>
      </c>
      <c r="JO85" s="644"/>
      <c r="JP85" s="644"/>
      <c r="JQ85" s="644"/>
      <c r="JR85" s="713">
        <v>30</v>
      </c>
      <c r="JS85" s="644"/>
      <c r="JT85" s="13" t="s">
        <v>465</v>
      </c>
      <c r="JU85" s="644"/>
      <c r="JV85" s="13">
        <v>8</v>
      </c>
      <c r="JW85" s="644"/>
      <c r="JX85" s="13" t="s">
        <v>702</v>
      </c>
      <c r="JY85" s="644"/>
    </row>
    <row r="86" spans="1:285" ht="35.25" customHeight="1" x14ac:dyDescent="0.2">
      <c r="A86" s="1564" t="s">
        <v>29</v>
      </c>
      <c r="B86" s="1566"/>
      <c r="C86" s="1544" t="s">
        <v>59</v>
      </c>
      <c r="D86" s="1547" t="s">
        <v>278</v>
      </c>
      <c r="E86" s="755" t="s">
        <v>171</v>
      </c>
      <c r="F86" s="9" t="s">
        <v>500</v>
      </c>
      <c r="G86" s="756"/>
      <c r="H86" s="9" t="s">
        <v>504</v>
      </c>
      <c r="I86" s="644"/>
      <c r="J86" s="9" t="s">
        <v>504</v>
      </c>
      <c r="K86" s="644"/>
      <c r="L86" s="5" t="s">
        <v>500</v>
      </c>
      <c r="M86" s="644"/>
      <c r="N86" s="757" t="s">
        <v>471</v>
      </c>
      <c r="O86" s="644"/>
      <c r="P86" s="84" t="s">
        <v>504</v>
      </c>
      <c r="Q86" s="644"/>
      <c r="R86" s="9" t="s">
        <v>479</v>
      </c>
      <c r="S86" s="644"/>
      <c r="T86" s="644"/>
      <c r="U86" s="644"/>
      <c r="V86" s="644"/>
      <c r="W86" s="644"/>
      <c r="X86" s="644"/>
      <c r="Y86" s="644"/>
      <c r="Z86" s="5" t="s">
        <v>471</v>
      </c>
      <c r="AA86" s="644"/>
      <c r="AB86" s="5" t="s">
        <v>2307</v>
      </c>
      <c r="AC86" s="644"/>
      <c r="AD86" s="5" t="s">
        <v>479</v>
      </c>
      <c r="AE86" s="644"/>
      <c r="AF86" s="644"/>
      <c r="AG86" s="644"/>
      <c r="AH86" s="644"/>
      <c r="AI86" s="644"/>
      <c r="AJ86" s="84" t="s">
        <v>504</v>
      </c>
      <c r="AK86" s="644"/>
      <c r="AL86" s="9"/>
      <c r="AM86" s="644"/>
      <c r="AN86" s="9" t="s">
        <v>471</v>
      </c>
      <c r="AO86" s="644"/>
      <c r="AP86" s="9" t="s">
        <v>479</v>
      </c>
      <c r="AQ86" s="644"/>
      <c r="AR86" s="9"/>
      <c r="AS86" s="644"/>
      <c r="AT86" s="9"/>
      <c r="AU86" s="644"/>
      <c r="AV86" s="757"/>
      <c r="AW86" s="644"/>
      <c r="AX86" s="9" t="s">
        <v>500</v>
      </c>
      <c r="AY86" s="644"/>
      <c r="AZ86" s="9" t="s">
        <v>504</v>
      </c>
      <c r="BA86" s="644"/>
      <c r="BB86" s="644"/>
      <c r="BC86" s="644"/>
      <c r="BD86" s="5" t="s">
        <v>504</v>
      </c>
      <c r="BE86" s="644"/>
      <c r="BF86" s="9" t="s">
        <v>500</v>
      </c>
      <c r="BG86" s="644"/>
      <c r="BH86" s="644"/>
      <c r="BI86" s="644"/>
      <c r="BJ86" s="9" t="s">
        <v>500</v>
      </c>
      <c r="BK86" s="644"/>
      <c r="BL86" s="9" t="s">
        <v>500</v>
      </c>
      <c r="BM86" s="644"/>
      <c r="BN86" s="9" t="s">
        <v>504</v>
      </c>
      <c r="BO86" s="644"/>
      <c r="BP86" s="9"/>
      <c r="BQ86" s="644"/>
      <c r="BR86" s="9" t="s">
        <v>500</v>
      </c>
      <c r="BS86" s="644"/>
      <c r="BT86" s="9" t="s">
        <v>500</v>
      </c>
      <c r="BU86" s="644"/>
      <c r="BV86" s="9" t="s">
        <v>500</v>
      </c>
      <c r="BW86" s="644"/>
      <c r="BX86" s="632" t="s">
        <v>500</v>
      </c>
      <c r="BY86" s="644"/>
      <c r="BZ86" s="632" t="s">
        <v>504</v>
      </c>
      <c r="CA86" s="644"/>
      <c r="CB86" s="9" t="s">
        <v>500</v>
      </c>
      <c r="CC86" s="644"/>
      <c r="CD86" s="644"/>
      <c r="CE86" s="644"/>
      <c r="CF86" s="644"/>
      <c r="CG86" s="644"/>
      <c r="CH86" s="632" t="s">
        <v>656</v>
      </c>
      <c r="CI86" s="9"/>
      <c r="CJ86" s="13" t="s">
        <v>504</v>
      </c>
      <c r="CK86" s="9"/>
      <c r="CL86" s="9" t="s">
        <v>500</v>
      </c>
      <c r="CM86" s="644"/>
      <c r="CN86" s="9"/>
      <c r="CO86" s="644"/>
      <c r="CP86" s="9" t="s">
        <v>504</v>
      </c>
      <c r="CQ86" s="644"/>
      <c r="CR86" s="9" t="s">
        <v>504</v>
      </c>
      <c r="CS86" s="644"/>
      <c r="CT86" s="9" t="s">
        <v>471</v>
      </c>
      <c r="CU86" s="644"/>
      <c r="CV86" s="9" t="s">
        <v>504</v>
      </c>
      <c r="CW86" s="644"/>
      <c r="CX86" s="9" t="s">
        <v>500</v>
      </c>
      <c r="CY86" s="644"/>
      <c r="CZ86" s="9" t="s">
        <v>500</v>
      </c>
      <c r="DA86" s="644"/>
      <c r="DB86" s="9" t="s">
        <v>500</v>
      </c>
      <c r="DC86" s="644"/>
      <c r="DD86" s="5" t="s">
        <v>500</v>
      </c>
      <c r="DE86" s="644"/>
      <c r="DF86" s="644"/>
      <c r="DG86" s="644"/>
      <c r="DH86" s="9" t="s">
        <v>500</v>
      </c>
      <c r="DI86" s="644"/>
      <c r="DJ86" s="758"/>
      <c r="DK86" s="644"/>
      <c r="DL86" s="644"/>
      <c r="DM86" s="644"/>
      <c r="DN86" s="9" t="s">
        <v>504</v>
      </c>
      <c r="DO86" s="644"/>
      <c r="DP86" s="644"/>
      <c r="DQ86" s="644"/>
      <c r="DR86" s="644"/>
      <c r="DS86" s="644"/>
      <c r="DT86" s="644"/>
      <c r="DU86" s="644"/>
      <c r="DV86" s="9" t="s">
        <v>500</v>
      </c>
      <c r="DW86" s="644"/>
      <c r="DX86" s="9" t="s">
        <v>500</v>
      </c>
      <c r="DY86" s="644"/>
      <c r="DZ86" s="5" t="s">
        <v>504</v>
      </c>
      <c r="EA86" s="644"/>
      <c r="EB86" s="644"/>
      <c r="EC86" s="644"/>
      <c r="ED86" s="644"/>
      <c r="EE86" s="644"/>
      <c r="EF86" s="9" t="s">
        <v>504</v>
      </c>
      <c r="EG86" s="644"/>
      <c r="EH86" s="759" t="s">
        <v>500</v>
      </c>
      <c r="EI86" s="644"/>
      <c r="EJ86" s="644"/>
      <c r="EK86" s="644"/>
      <c r="EL86" s="644"/>
      <c r="EM86" s="644"/>
      <c r="EN86" s="9" t="s">
        <v>504</v>
      </c>
      <c r="EO86" s="644"/>
      <c r="EP86" s="9" t="s">
        <v>500</v>
      </c>
      <c r="EQ86" s="644"/>
      <c r="ER86" s="644"/>
      <c r="ES86" s="644"/>
      <c r="ET86" s="9" t="s">
        <v>504</v>
      </c>
      <c r="EU86" s="644"/>
      <c r="EV86" s="9" t="s">
        <v>504</v>
      </c>
      <c r="EW86" s="644"/>
      <c r="EX86" s="9" t="s">
        <v>500</v>
      </c>
      <c r="EY86" s="644"/>
      <c r="EZ86" s="9" t="s">
        <v>504</v>
      </c>
      <c r="FA86" s="644"/>
      <c r="FB86" s="9" t="s">
        <v>504</v>
      </c>
      <c r="FC86" s="644"/>
      <c r="FD86" s="9" t="s">
        <v>500</v>
      </c>
      <c r="FE86" s="644"/>
      <c r="FF86" s="9" t="s">
        <v>500</v>
      </c>
      <c r="FG86" s="644"/>
      <c r="FH86" s="9" t="s">
        <v>504</v>
      </c>
      <c r="FI86" s="644"/>
      <c r="FJ86" s="632" t="s">
        <v>500</v>
      </c>
      <c r="FK86" s="644"/>
      <c r="FL86" s="780" t="s">
        <v>500</v>
      </c>
      <c r="FM86" s="644"/>
      <c r="FN86" s="9" t="s">
        <v>504</v>
      </c>
      <c r="FO86" s="644"/>
      <c r="FP86" s="9" t="s">
        <v>500</v>
      </c>
      <c r="FQ86" s="644"/>
      <c r="FR86" s="644"/>
      <c r="FS86" s="644"/>
      <c r="FT86" s="644"/>
      <c r="FU86" s="644"/>
      <c r="FV86" s="644"/>
      <c r="FW86" s="644"/>
      <c r="FX86" s="5" t="s">
        <v>500</v>
      </c>
      <c r="FY86" s="644"/>
      <c r="FZ86" s="644"/>
      <c r="GA86" s="644"/>
      <c r="GB86" s="9" t="s">
        <v>504</v>
      </c>
      <c r="GC86" s="644"/>
      <c r="GD86" s="13" t="s">
        <v>2499</v>
      </c>
      <c r="GE86" s="644"/>
      <c r="GF86" s="5" t="s">
        <v>504</v>
      </c>
      <c r="GG86" s="644"/>
      <c r="GH86" s="9" t="s">
        <v>504</v>
      </c>
      <c r="GI86" s="644"/>
      <c r="GJ86" s="780" t="s">
        <v>500</v>
      </c>
      <c r="GK86" s="644"/>
      <c r="GL86" s="9" t="s">
        <v>504</v>
      </c>
      <c r="GM86" s="644"/>
      <c r="GN86" s="9" t="s">
        <v>504</v>
      </c>
      <c r="GO86" s="644"/>
      <c r="GP86" s="9" t="s">
        <v>504</v>
      </c>
      <c r="GQ86" s="644"/>
      <c r="GR86" s="9" t="s">
        <v>500</v>
      </c>
      <c r="GS86" s="644"/>
      <c r="GT86" s="5" t="s">
        <v>471</v>
      </c>
      <c r="GU86" s="644"/>
      <c r="GV86" s="9" t="s">
        <v>500</v>
      </c>
      <c r="GW86" s="644"/>
      <c r="GX86" s="9" t="s">
        <v>500</v>
      </c>
      <c r="GY86" s="644"/>
      <c r="GZ86" s="9" t="s">
        <v>500</v>
      </c>
      <c r="HA86" s="644"/>
      <c r="HB86" s="9" t="s">
        <v>500</v>
      </c>
      <c r="HC86" s="644"/>
      <c r="HD86" s="9" t="s">
        <v>656</v>
      </c>
      <c r="HE86" s="644"/>
      <c r="HF86" s="9"/>
      <c r="HG86" s="644"/>
      <c r="HH86" s="9" t="s">
        <v>504</v>
      </c>
      <c r="HI86" s="644"/>
      <c r="HJ86" s="644"/>
      <c r="HK86" s="644"/>
      <c r="HL86" s="9" t="s">
        <v>504</v>
      </c>
      <c r="HM86" s="644"/>
      <c r="HN86" s="5" t="s">
        <v>500</v>
      </c>
      <c r="HO86" s="644"/>
      <c r="HP86" s="9" t="s">
        <v>504</v>
      </c>
      <c r="HQ86" s="644"/>
      <c r="HR86" s="9" t="s">
        <v>500</v>
      </c>
      <c r="HS86" s="644"/>
      <c r="HT86" s="633" t="s">
        <v>504</v>
      </c>
      <c r="HU86" s="644"/>
      <c r="HV86" s="9" t="s">
        <v>504</v>
      </c>
      <c r="HW86" s="644"/>
      <c r="HX86" s="9" t="s">
        <v>504</v>
      </c>
      <c r="HY86" s="644"/>
      <c r="HZ86" s="9" t="s">
        <v>504</v>
      </c>
      <c r="IA86" s="644"/>
      <c r="IB86" s="644"/>
      <c r="IC86" s="644"/>
      <c r="ID86" s="9" t="s">
        <v>500</v>
      </c>
      <c r="IE86" s="644"/>
      <c r="IF86" s="5" t="s">
        <v>500</v>
      </c>
      <c r="IG86" s="756"/>
      <c r="IH86" s="9" t="s">
        <v>504</v>
      </c>
      <c r="II86" s="644"/>
      <c r="IJ86" s="644"/>
      <c r="IK86" s="644"/>
      <c r="IL86" s="633" t="s">
        <v>504</v>
      </c>
      <c r="IM86" s="644"/>
      <c r="IN86" s="634" t="s">
        <v>504</v>
      </c>
      <c r="IO86" s="644"/>
      <c r="IP86" s="5" t="s">
        <v>500</v>
      </c>
      <c r="IQ86" s="644"/>
      <c r="IR86" s="5" t="s">
        <v>504</v>
      </c>
      <c r="IS86" s="644"/>
      <c r="IT86" s="9" t="s">
        <v>504</v>
      </c>
      <c r="IU86" s="644"/>
      <c r="IV86" s="9" t="s">
        <v>465</v>
      </c>
      <c r="IW86" s="644"/>
      <c r="IX86" s="632" t="s">
        <v>471</v>
      </c>
      <c r="IY86" s="644"/>
      <c r="IZ86" s="9" t="s">
        <v>504</v>
      </c>
      <c r="JA86" s="644"/>
      <c r="JB86" s="9" t="s">
        <v>500</v>
      </c>
      <c r="JC86" s="644"/>
      <c r="JD86" s="9" t="s">
        <v>471</v>
      </c>
      <c r="JE86" s="644"/>
      <c r="JF86" s="644"/>
      <c r="JG86" s="644"/>
      <c r="JH86" s="9"/>
      <c r="JI86" s="644"/>
      <c r="JJ86" s="644"/>
      <c r="JK86" s="644"/>
      <c r="JL86" s="644"/>
      <c r="JM86" s="644"/>
      <c r="JN86" s="9" t="s">
        <v>504</v>
      </c>
      <c r="JO86" s="644"/>
      <c r="JP86" s="644"/>
      <c r="JQ86" s="644"/>
      <c r="JR86" s="20" t="s">
        <v>500</v>
      </c>
      <c r="JS86" s="644"/>
      <c r="JT86" s="9" t="s">
        <v>500</v>
      </c>
      <c r="JU86" s="644"/>
      <c r="JV86" s="9"/>
      <c r="JW86" s="644"/>
      <c r="JX86" s="9" t="s">
        <v>504</v>
      </c>
      <c r="JY86" s="644"/>
    </row>
    <row r="87" spans="1:285" ht="29.25" customHeight="1" x14ac:dyDescent="0.2">
      <c r="A87" s="1565"/>
      <c r="B87" s="1567"/>
      <c r="C87" s="1550"/>
      <c r="D87" s="1552"/>
      <c r="E87" s="755" t="s">
        <v>172</v>
      </c>
      <c r="F87" s="9" t="s">
        <v>1654</v>
      </c>
      <c r="G87" s="756"/>
      <c r="H87" s="9" t="s">
        <v>465</v>
      </c>
      <c r="I87" s="644"/>
      <c r="J87" s="9" t="s">
        <v>465</v>
      </c>
      <c r="K87" s="644"/>
      <c r="L87" s="5" t="s">
        <v>935</v>
      </c>
      <c r="M87" s="644"/>
      <c r="N87" s="757" t="s">
        <v>477</v>
      </c>
      <c r="O87" s="644"/>
      <c r="P87" s="84" t="s">
        <v>465</v>
      </c>
      <c r="Q87" s="644"/>
      <c r="R87" s="9"/>
      <c r="S87" s="644"/>
      <c r="T87" s="644"/>
      <c r="U87" s="644"/>
      <c r="V87" s="644"/>
      <c r="W87" s="644"/>
      <c r="X87" s="644"/>
      <c r="Y87" s="644"/>
      <c r="Z87" s="5" t="s">
        <v>2305</v>
      </c>
      <c r="AA87" s="644"/>
      <c r="AB87" s="5" t="s">
        <v>465</v>
      </c>
      <c r="AC87" s="644"/>
      <c r="AD87" s="5" t="s">
        <v>465</v>
      </c>
      <c r="AE87" s="644"/>
      <c r="AF87" s="644"/>
      <c r="AG87" s="644"/>
      <c r="AH87" s="644"/>
      <c r="AI87" s="644"/>
      <c r="AJ87" s="84"/>
      <c r="AK87" s="644"/>
      <c r="AL87" s="9"/>
      <c r="AM87" s="644"/>
      <c r="AN87" s="9" t="s">
        <v>980</v>
      </c>
      <c r="AO87" s="644"/>
      <c r="AP87" s="9"/>
      <c r="AQ87" s="644"/>
      <c r="AR87" s="9"/>
      <c r="AS87" s="644"/>
      <c r="AT87" s="9"/>
      <c r="AU87" s="644"/>
      <c r="AV87" s="757"/>
      <c r="AW87" s="644"/>
      <c r="AX87" s="9" t="s">
        <v>544</v>
      </c>
      <c r="AY87" s="644"/>
      <c r="AZ87" s="9"/>
      <c r="BA87" s="644"/>
      <c r="BB87" s="644"/>
      <c r="BC87" s="644"/>
      <c r="BD87" s="5"/>
      <c r="BE87" s="644"/>
      <c r="BF87" s="9" t="s">
        <v>2393</v>
      </c>
      <c r="BG87" s="644"/>
      <c r="BH87" s="644"/>
      <c r="BI87" s="644"/>
      <c r="BJ87" s="9" t="s">
        <v>793</v>
      </c>
      <c r="BK87" s="644"/>
      <c r="BL87" s="9" t="s">
        <v>655</v>
      </c>
      <c r="BM87" s="644"/>
      <c r="BN87" s="9"/>
      <c r="BO87" s="644"/>
      <c r="BP87" s="9"/>
      <c r="BQ87" s="644"/>
      <c r="BR87" s="9" t="s">
        <v>970</v>
      </c>
      <c r="BS87" s="644"/>
      <c r="BT87" s="9" t="s">
        <v>930</v>
      </c>
      <c r="BU87" s="644"/>
      <c r="BV87" s="9" t="s">
        <v>948</v>
      </c>
      <c r="BW87" s="644"/>
      <c r="BX87" s="632" t="s">
        <v>2154</v>
      </c>
      <c r="BY87" s="644"/>
      <c r="BZ87" s="632"/>
      <c r="CA87" s="644"/>
      <c r="CB87" s="9" t="s">
        <v>908</v>
      </c>
      <c r="CC87" s="644"/>
      <c r="CD87" s="644"/>
      <c r="CE87" s="644"/>
      <c r="CF87" s="644"/>
      <c r="CG87" s="644"/>
      <c r="CH87" s="632" t="s">
        <v>2118</v>
      </c>
      <c r="CI87" s="9"/>
      <c r="CJ87" s="13" t="s">
        <v>465</v>
      </c>
      <c r="CK87" s="9"/>
      <c r="CL87" s="9" t="s">
        <v>627</v>
      </c>
      <c r="CM87" s="644"/>
      <c r="CN87" s="9"/>
      <c r="CO87" s="644"/>
      <c r="CP87" s="9"/>
      <c r="CQ87" s="644"/>
      <c r="CR87" s="9"/>
      <c r="CS87" s="644"/>
      <c r="CT87" s="9" t="s">
        <v>2225</v>
      </c>
      <c r="CU87" s="644"/>
      <c r="CV87" s="9" t="s">
        <v>465</v>
      </c>
      <c r="CW87" s="644"/>
      <c r="CX87" s="9" t="s">
        <v>840</v>
      </c>
      <c r="CY87" s="644"/>
      <c r="CZ87" s="9" t="s">
        <v>853</v>
      </c>
      <c r="DA87" s="644"/>
      <c r="DB87" s="9" t="s">
        <v>863</v>
      </c>
      <c r="DC87" s="644"/>
      <c r="DD87" s="5" t="s">
        <v>1348</v>
      </c>
      <c r="DE87" s="644"/>
      <c r="DF87" s="644"/>
      <c r="DG87" s="644"/>
      <c r="DH87" s="9"/>
      <c r="DI87" s="644"/>
      <c r="DJ87" s="758"/>
      <c r="DK87" s="644"/>
      <c r="DL87" s="644"/>
      <c r="DM87" s="644"/>
      <c r="DN87" s="9"/>
      <c r="DO87" s="644"/>
      <c r="DP87" s="644"/>
      <c r="DQ87" s="644"/>
      <c r="DR87" s="644"/>
      <c r="DS87" s="644"/>
      <c r="DT87" s="644"/>
      <c r="DU87" s="644"/>
      <c r="DV87" s="9" t="s">
        <v>1172</v>
      </c>
      <c r="DW87" s="644"/>
      <c r="DX87" s="9" t="s">
        <v>1172</v>
      </c>
      <c r="DY87" s="644"/>
      <c r="DZ87" s="5" t="s">
        <v>465</v>
      </c>
      <c r="EA87" s="644"/>
      <c r="EB87" s="644"/>
      <c r="EC87" s="644"/>
      <c r="ED87" s="644"/>
      <c r="EE87" s="644"/>
      <c r="EF87" s="9" t="s">
        <v>504</v>
      </c>
      <c r="EG87" s="644"/>
      <c r="EH87" s="759" t="s">
        <v>806</v>
      </c>
      <c r="EI87" s="644"/>
      <c r="EJ87" s="644"/>
      <c r="EK87" s="644"/>
      <c r="EL87" s="644"/>
      <c r="EM87" s="644"/>
      <c r="EN87" s="9"/>
      <c r="EO87" s="644"/>
      <c r="EP87" s="9" t="s">
        <v>1206</v>
      </c>
      <c r="EQ87" s="644"/>
      <c r="ER87" s="644"/>
      <c r="ES87" s="644"/>
      <c r="ET87" s="9" t="s">
        <v>465</v>
      </c>
      <c r="EU87" s="644"/>
      <c r="EV87" s="9" t="s">
        <v>465</v>
      </c>
      <c r="EW87" s="644"/>
      <c r="EX87" s="9" t="s">
        <v>1489</v>
      </c>
      <c r="EY87" s="644"/>
      <c r="EZ87" s="9"/>
      <c r="FA87" s="644"/>
      <c r="FB87" s="9"/>
      <c r="FC87" s="644"/>
      <c r="FD87" s="9" t="s">
        <v>1526</v>
      </c>
      <c r="FE87" s="644"/>
      <c r="FF87" s="9" t="s">
        <v>1550</v>
      </c>
      <c r="FG87" s="644"/>
      <c r="FH87" s="9"/>
      <c r="FI87" s="644"/>
      <c r="FJ87" s="632" t="s">
        <v>1586</v>
      </c>
      <c r="FK87" s="644"/>
      <c r="FL87" s="760" t="s">
        <v>1603</v>
      </c>
      <c r="FM87" s="644"/>
      <c r="FN87" s="9"/>
      <c r="FO87" s="644"/>
      <c r="FP87" s="9" t="s">
        <v>679</v>
      </c>
      <c r="FQ87" s="644"/>
      <c r="FR87" s="644"/>
      <c r="FS87" s="644"/>
      <c r="FT87" s="644"/>
      <c r="FU87" s="644"/>
      <c r="FV87" s="644"/>
      <c r="FW87" s="644"/>
      <c r="FX87" s="5" t="s">
        <v>1867</v>
      </c>
      <c r="FY87" s="644"/>
      <c r="FZ87" s="644"/>
      <c r="GA87" s="644"/>
      <c r="GB87" s="9"/>
      <c r="GC87" s="644"/>
      <c r="GD87" s="13" t="s">
        <v>2499</v>
      </c>
      <c r="GE87" s="644"/>
      <c r="GF87" s="5" t="s">
        <v>504</v>
      </c>
      <c r="GG87" s="644"/>
      <c r="GH87" s="9" t="s">
        <v>2008</v>
      </c>
      <c r="GI87" s="644"/>
      <c r="GJ87" s="780" t="s">
        <v>1682</v>
      </c>
      <c r="GK87" s="644"/>
      <c r="GL87" s="9"/>
      <c r="GM87" s="644"/>
      <c r="GN87" s="9"/>
      <c r="GO87" s="644"/>
      <c r="GP87" s="9"/>
      <c r="GQ87" s="644"/>
      <c r="GR87" s="9" t="s">
        <v>1955</v>
      </c>
      <c r="GS87" s="644"/>
      <c r="GT87" s="5" t="s">
        <v>2085</v>
      </c>
      <c r="GU87" s="644"/>
      <c r="GV87" s="5" t="s">
        <v>1892</v>
      </c>
      <c r="GW87" s="644"/>
      <c r="GX87" s="9"/>
      <c r="GY87" s="644"/>
      <c r="GZ87" s="9"/>
      <c r="HA87" s="644"/>
      <c r="HB87" s="9" t="s">
        <v>1805</v>
      </c>
      <c r="HC87" s="644"/>
      <c r="HD87" s="9" t="s">
        <v>1831</v>
      </c>
      <c r="HE87" s="644"/>
      <c r="HF87" s="9"/>
      <c r="HG87" s="644"/>
      <c r="HH87" s="9" t="s">
        <v>465</v>
      </c>
      <c r="HI87" s="644"/>
      <c r="HJ87" s="644"/>
      <c r="HK87" s="644"/>
      <c r="HL87" s="9"/>
      <c r="HM87" s="644"/>
      <c r="HN87" s="5" t="s">
        <v>1780</v>
      </c>
      <c r="HO87" s="644"/>
      <c r="HP87" s="9"/>
      <c r="HQ87" s="644"/>
      <c r="HR87" s="9" t="s">
        <v>1293</v>
      </c>
      <c r="HS87" s="644"/>
      <c r="HT87" s="656" t="s">
        <v>702</v>
      </c>
      <c r="HU87" s="644"/>
      <c r="HV87" s="9"/>
      <c r="HW87" s="644"/>
      <c r="HX87" s="9"/>
      <c r="HY87" s="644"/>
      <c r="HZ87" s="9"/>
      <c r="IA87" s="644"/>
      <c r="IB87" s="644"/>
      <c r="IC87" s="644"/>
      <c r="ID87" s="9" t="s">
        <v>1230</v>
      </c>
      <c r="IE87" s="644"/>
      <c r="IF87" s="5" t="s">
        <v>1258</v>
      </c>
      <c r="IG87" s="756"/>
      <c r="IH87" s="9"/>
      <c r="II87" s="644"/>
      <c r="IJ87" s="644"/>
      <c r="IK87" s="644"/>
      <c r="IL87" s="633" t="s">
        <v>465</v>
      </c>
      <c r="IM87" s="644"/>
      <c r="IN87" s="634" t="s">
        <v>465</v>
      </c>
      <c r="IO87" s="644"/>
      <c r="IP87" s="5" t="s">
        <v>747</v>
      </c>
      <c r="IQ87" s="644"/>
      <c r="IR87" s="5"/>
      <c r="IS87" s="644"/>
      <c r="IT87" s="13" t="s">
        <v>701</v>
      </c>
      <c r="IU87" s="644"/>
      <c r="IV87" s="9" t="s">
        <v>465</v>
      </c>
      <c r="IW87" s="644"/>
      <c r="IX87" s="661" t="s">
        <v>1111</v>
      </c>
      <c r="IY87" s="644"/>
      <c r="IZ87" s="9" t="s">
        <v>504</v>
      </c>
      <c r="JA87" s="644"/>
      <c r="JB87" s="9" t="s">
        <v>1400</v>
      </c>
      <c r="JC87" s="644"/>
      <c r="JD87" s="9" t="s">
        <v>1415</v>
      </c>
      <c r="JE87" s="644"/>
      <c r="JF87" s="644"/>
      <c r="JG87" s="644"/>
      <c r="JH87" s="9"/>
      <c r="JI87" s="644"/>
      <c r="JJ87" s="644"/>
      <c r="JK87" s="644"/>
      <c r="JL87" s="644"/>
      <c r="JM87" s="644"/>
      <c r="JN87" s="9" t="s">
        <v>504</v>
      </c>
      <c r="JO87" s="644"/>
      <c r="JP87" s="644"/>
      <c r="JQ87" s="644"/>
      <c r="JR87" s="20" t="s">
        <v>1050</v>
      </c>
      <c r="JS87" s="644"/>
      <c r="JT87" s="9" t="s">
        <v>1131</v>
      </c>
      <c r="JU87" s="644"/>
      <c r="JV87" s="9"/>
      <c r="JW87" s="644"/>
      <c r="JX87" s="9" t="s">
        <v>702</v>
      </c>
      <c r="JY87" s="644"/>
    </row>
    <row r="88" spans="1:285" ht="35.25" customHeight="1" thickBot="1" x14ac:dyDescent="0.25">
      <c r="A88" s="1565"/>
      <c r="B88" s="1567"/>
      <c r="C88" s="1551"/>
      <c r="D88" s="1560"/>
      <c r="E88" s="755" t="s">
        <v>173</v>
      </c>
      <c r="F88" s="13">
        <v>1500</v>
      </c>
      <c r="G88" s="756"/>
      <c r="H88" s="13" t="s">
        <v>465</v>
      </c>
      <c r="I88" s="644"/>
      <c r="J88" s="13" t="s">
        <v>465</v>
      </c>
      <c r="K88" s="644"/>
      <c r="L88" s="9" t="s">
        <v>465</v>
      </c>
      <c r="M88" s="644"/>
      <c r="N88" s="808">
        <v>61221</v>
      </c>
      <c r="O88" s="644"/>
      <c r="P88" s="709" t="s">
        <v>465</v>
      </c>
      <c r="Q88" s="644"/>
      <c r="R88" s="13"/>
      <c r="S88" s="644"/>
      <c r="T88" s="644"/>
      <c r="U88" s="644"/>
      <c r="V88" s="644"/>
      <c r="W88" s="644"/>
      <c r="X88" s="644"/>
      <c r="Y88" s="644"/>
      <c r="Z88" s="13">
        <v>65730</v>
      </c>
      <c r="AA88" s="644"/>
      <c r="AB88" s="703" t="s">
        <v>465</v>
      </c>
      <c r="AC88" s="644"/>
      <c r="AD88" s="5" t="s">
        <v>465</v>
      </c>
      <c r="AE88" s="644"/>
      <c r="AF88" s="644"/>
      <c r="AG88" s="644"/>
      <c r="AH88" s="644"/>
      <c r="AI88" s="644"/>
      <c r="AJ88" s="709"/>
      <c r="AK88" s="644"/>
      <c r="AL88" s="13"/>
      <c r="AM88" s="644"/>
      <c r="AN88" s="13">
        <v>32464</v>
      </c>
      <c r="AO88" s="644"/>
      <c r="AP88" s="13"/>
      <c r="AQ88" s="644"/>
      <c r="AR88" s="13"/>
      <c r="AS88" s="644"/>
      <c r="AT88" s="13"/>
      <c r="AU88" s="644"/>
      <c r="AV88" s="808"/>
      <c r="AW88" s="644"/>
      <c r="AX88" s="13">
        <v>267700</v>
      </c>
      <c r="AY88" s="644"/>
      <c r="AZ88" s="13"/>
      <c r="BA88" s="644"/>
      <c r="BB88" s="644"/>
      <c r="BC88" s="644"/>
      <c r="BD88" s="5"/>
      <c r="BE88" s="644"/>
      <c r="BF88" s="13">
        <v>61782</v>
      </c>
      <c r="BG88" s="644"/>
      <c r="BH88" s="644"/>
      <c r="BI88" s="644"/>
      <c r="BJ88" s="13">
        <f>345+335+43+1000+1352</f>
        <v>3075</v>
      </c>
      <c r="BK88" s="644"/>
      <c r="BL88" s="13"/>
      <c r="BM88" s="644"/>
      <c r="BN88" s="13"/>
      <c r="BO88" s="644"/>
      <c r="BP88" s="13"/>
      <c r="BQ88" s="644"/>
      <c r="BR88" s="13">
        <v>100</v>
      </c>
      <c r="BS88" s="644"/>
      <c r="BT88" s="13">
        <v>3787</v>
      </c>
      <c r="BU88" s="644"/>
      <c r="BV88" s="13">
        <v>1779</v>
      </c>
      <c r="BW88" s="644"/>
      <c r="BX88" s="710">
        <v>5842</v>
      </c>
      <c r="BY88" s="644"/>
      <c r="BZ88" s="710"/>
      <c r="CA88" s="644"/>
      <c r="CB88" s="13">
        <v>20657</v>
      </c>
      <c r="CC88" s="644"/>
      <c r="CD88" s="644"/>
      <c r="CE88" s="644"/>
      <c r="CF88" s="644"/>
      <c r="CG88" s="644"/>
      <c r="CH88" s="710">
        <v>11467</v>
      </c>
      <c r="CI88" s="13"/>
      <c r="CJ88" s="13" t="s">
        <v>465</v>
      </c>
      <c r="CK88" s="13"/>
      <c r="CL88" s="13">
        <v>254619</v>
      </c>
      <c r="CM88" s="644"/>
      <c r="CN88" s="13"/>
      <c r="CO88" s="644"/>
      <c r="CP88" s="13"/>
      <c r="CQ88" s="644"/>
      <c r="CR88" s="13"/>
      <c r="CS88" s="644"/>
      <c r="CT88" s="13">
        <v>24237</v>
      </c>
      <c r="CU88" s="644"/>
      <c r="CV88" s="13" t="s">
        <v>465</v>
      </c>
      <c r="CW88" s="644"/>
      <c r="CX88" s="13">
        <v>3207</v>
      </c>
      <c r="CY88" s="644"/>
      <c r="CZ88" s="13">
        <v>11513</v>
      </c>
      <c r="DA88" s="644"/>
      <c r="DB88" s="13">
        <v>13699</v>
      </c>
      <c r="DC88" s="644"/>
      <c r="DD88" s="703">
        <v>36015</v>
      </c>
      <c r="DE88" s="644"/>
      <c r="DF88" s="644"/>
      <c r="DG88" s="644"/>
      <c r="DH88" s="13"/>
      <c r="DI88" s="644"/>
      <c r="DJ88" s="809"/>
      <c r="DK88" s="644"/>
      <c r="DL88" s="644"/>
      <c r="DM88" s="644"/>
      <c r="DN88" s="13"/>
      <c r="DO88" s="644"/>
      <c r="DP88" s="644"/>
      <c r="DQ88" s="644"/>
      <c r="DR88" s="644"/>
      <c r="DS88" s="644"/>
      <c r="DT88" s="644"/>
      <c r="DU88" s="644"/>
      <c r="DV88" s="13">
        <v>8185</v>
      </c>
      <c r="DW88" s="644"/>
      <c r="DX88" s="13">
        <v>5491</v>
      </c>
      <c r="DY88" s="644"/>
      <c r="DZ88" s="703" t="s">
        <v>465</v>
      </c>
      <c r="EA88" s="644"/>
      <c r="EB88" s="644"/>
      <c r="EC88" s="644"/>
      <c r="ED88" s="644"/>
      <c r="EE88" s="644"/>
      <c r="EF88" s="13" t="s">
        <v>504</v>
      </c>
      <c r="EG88" s="644"/>
      <c r="EH88" s="810" t="s">
        <v>806</v>
      </c>
      <c r="EI88" s="644"/>
      <c r="EJ88" s="644"/>
      <c r="EK88" s="644"/>
      <c r="EL88" s="644"/>
      <c r="EM88" s="644"/>
      <c r="EN88" s="13"/>
      <c r="EO88" s="644"/>
      <c r="EP88" s="13" t="s">
        <v>1207</v>
      </c>
      <c r="EQ88" s="644"/>
      <c r="ER88" s="644"/>
      <c r="ES88" s="644"/>
      <c r="ET88" s="13" t="s">
        <v>465</v>
      </c>
      <c r="EU88" s="644"/>
      <c r="EV88" s="13" t="s">
        <v>465</v>
      </c>
      <c r="EW88" s="644"/>
      <c r="EX88" s="13">
        <v>13079</v>
      </c>
      <c r="EY88" s="644"/>
      <c r="EZ88" s="13"/>
      <c r="FA88" s="644"/>
      <c r="FB88" s="13"/>
      <c r="FC88" s="644"/>
      <c r="FD88" s="13">
        <v>150</v>
      </c>
      <c r="FE88" s="644"/>
      <c r="FF88" s="13">
        <v>21126</v>
      </c>
      <c r="FG88" s="644"/>
      <c r="FH88" s="13"/>
      <c r="FI88" s="644"/>
      <c r="FJ88" s="710">
        <v>36228</v>
      </c>
      <c r="FK88" s="644"/>
      <c r="FL88" s="811">
        <v>29600</v>
      </c>
      <c r="FM88" s="644"/>
      <c r="FN88" s="13"/>
      <c r="FO88" s="644"/>
      <c r="FP88" s="13">
        <v>36615</v>
      </c>
      <c r="FQ88" s="644"/>
      <c r="FR88" s="644"/>
      <c r="FS88" s="644"/>
      <c r="FT88" s="644"/>
      <c r="FU88" s="644"/>
      <c r="FV88" s="644"/>
      <c r="FW88" s="644"/>
      <c r="FX88" s="703" t="s">
        <v>1868</v>
      </c>
      <c r="FY88" s="644"/>
      <c r="FZ88" s="644"/>
      <c r="GA88" s="644"/>
      <c r="GB88" s="13"/>
      <c r="GC88" s="644"/>
      <c r="GD88" s="13" t="s">
        <v>2499</v>
      </c>
      <c r="GE88" s="644"/>
      <c r="GF88" s="703" t="s">
        <v>504</v>
      </c>
      <c r="GG88" s="644"/>
      <c r="GH88" s="13">
        <v>0</v>
      </c>
      <c r="GI88" s="644"/>
      <c r="GJ88" s="811">
        <v>2717</v>
      </c>
      <c r="GK88" s="644"/>
      <c r="GL88" s="13"/>
      <c r="GM88" s="644"/>
      <c r="GN88" s="13"/>
      <c r="GO88" s="644"/>
      <c r="GP88" s="13"/>
      <c r="GQ88" s="644"/>
      <c r="GR88" s="13">
        <v>14544</v>
      </c>
      <c r="GS88" s="644"/>
      <c r="GT88" s="703" t="s">
        <v>2086</v>
      </c>
      <c r="GU88" s="644"/>
      <c r="GV88" s="13">
        <v>5307</v>
      </c>
      <c r="GW88" s="644"/>
      <c r="GX88" s="13"/>
      <c r="GY88" s="644"/>
      <c r="GZ88" s="13"/>
      <c r="HA88" s="644"/>
      <c r="HB88" s="13">
        <v>18936</v>
      </c>
      <c r="HC88" s="644"/>
      <c r="HD88" s="13">
        <f>120226+260892</f>
        <v>381118</v>
      </c>
      <c r="HE88" s="644"/>
      <c r="HF88" s="13"/>
      <c r="HG88" s="644"/>
      <c r="HH88" s="13" t="s">
        <v>465</v>
      </c>
      <c r="HI88" s="644"/>
      <c r="HJ88" s="644"/>
      <c r="HK88" s="644"/>
      <c r="HL88" s="13"/>
      <c r="HM88" s="644"/>
      <c r="HN88" s="13" t="s">
        <v>465</v>
      </c>
      <c r="HO88" s="644"/>
      <c r="HP88" s="13"/>
      <c r="HQ88" s="644"/>
      <c r="HR88" s="13">
        <v>92</v>
      </c>
      <c r="HS88" s="644"/>
      <c r="HT88" s="734" t="s">
        <v>702</v>
      </c>
      <c r="HU88" s="644"/>
      <c r="HV88" s="13"/>
      <c r="HW88" s="644"/>
      <c r="HX88" s="13"/>
      <c r="HY88" s="644"/>
      <c r="HZ88" s="13"/>
      <c r="IA88" s="644"/>
      <c r="IB88" s="644"/>
      <c r="IC88" s="644"/>
      <c r="ID88" s="13"/>
      <c r="IE88" s="644"/>
      <c r="IF88" s="13">
        <v>9499</v>
      </c>
      <c r="IG88" s="756"/>
      <c r="IH88" s="13"/>
      <c r="II88" s="644"/>
      <c r="IJ88" s="644"/>
      <c r="IK88" s="644"/>
      <c r="IL88" s="711" t="s">
        <v>465</v>
      </c>
      <c r="IM88" s="644"/>
      <c r="IN88" s="712" t="s">
        <v>465</v>
      </c>
      <c r="IO88" s="644"/>
      <c r="IP88" s="13" t="s">
        <v>748</v>
      </c>
      <c r="IQ88" s="644"/>
      <c r="IR88" s="13"/>
      <c r="IS88" s="644"/>
      <c r="IT88" s="13" t="s">
        <v>701</v>
      </c>
      <c r="IU88" s="644"/>
      <c r="IV88" s="13" t="s">
        <v>465</v>
      </c>
      <c r="IW88" s="644"/>
      <c r="IX88" s="735">
        <v>85584</v>
      </c>
      <c r="IY88" s="644"/>
      <c r="IZ88" s="13" t="s">
        <v>504</v>
      </c>
      <c r="JA88" s="644"/>
      <c r="JB88" s="13">
        <v>56083</v>
      </c>
      <c r="JC88" s="644"/>
      <c r="JD88" s="13">
        <v>75442</v>
      </c>
      <c r="JE88" s="644"/>
      <c r="JF88" s="644"/>
      <c r="JG88" s="644"/>
      <c r="JH88" s="13"/>
      <c r="JI88" s="644"/>
      <c r="JJ88" s="644"/>
      <c r="JK88" s="644"/>
      <c r="JL88" s="644"/>
      <c r="JM88" s="644"/>
      <c r="JN88" s="9">
        <v>0</v>
      </c>
      <c r="JO88" s="644"/>
      <c r="JP88" s="644"/>
      <c r="JQ88" s="644"/>
      <c r="JR88" s="713">
        <v>12875</v>
      </c>
      <c r="JS88" s="644"/>
      <c r="JT88" s="13">
        <v>155</v>
      </c>
      <c r="JU88" s="644"/>
      <c r="JV88" s="13"/>
      <c r="JW88" s="644"/>
      <c r="JX88" s="13" t="s">
        <v>702</v>
      </c>
      <c r="JY88" s="644"/>
    </row>
    <row r="89" spans="1:285" ht="25.5" customHeight="1" x14ac:dyDescent="0.2">
      <c r="A89" s="1565"/>
      <c r="B89" s="1567"/>
      <c r="C89" s="1544" t="s">
        <v>60</v>
      </c>
      <c r="D89" s="1547" t="s">
        <v>279</v>
      </c>
      <c r="E89" s="755" t="s">
        <v>171</v>
      </c>
      <c r="F89" s="9" t="s">
        <v>500</v>
      </c>
      <c r="G89" s="756"/>
      <c r="H89" s="9" t="s">
        <v>500</v>
      </c>
      <c r="I89" s="644"/>
      <c r="J89" s="5" t="s">
        <v>500</v>
      </c>
      <c r="K89" s="644"/>
      <c r="L89" s="5" t="s">
        <v>500</v>
      </c>
      <c r="M89" s="644"/>
      <c r="N89" s="757" t="s">
        <v>471</v>
      </c>
      <c r="O89" s="644"/>
      <c r="P89" s="84" t="s">
        <v>504</v>
      </c>
      <c r="Q89" s="644"/>
      <c r="R89" s="9" t="s">
        <v>471</v>
      </c>
      <c r="S89" s="644"/>
      <c r="T89" s="644"/>
      <c r="U89" s="644"/>
      <c r="V89" s="644"/>
      <c r="W89" s="644"/>
      <c r="X89" s="644"/>
      <c r="Y89" s="644"/>
      <c r="Z89" s="9" t="s">
        <v>471</v>
      </c>
      <c r="AA89" s="644"/>
      <c r="AB89" s="9" t="s">
        <v>471</v>
      </c>
      <c r="AC89" s="644"/>
      <c r="AD89" s="9" t="s">
        <v>471</v>
      </c>
      <c r="AE89" s="644"/>
      <c r="AF89" s="644"/>
      <c r="AG89" s="644"/>
      <c r="AH89" s="644"/>
      <c r="AI89" s="644"/>
      <c r="AJ89" s="84" t="s">
        <v>500</v>
      </c>
      <c r="AK89" s="644"/>
      <c r="AL89" s="9"/>
      <c r="AM89" s="644"/>
      <c r="AN89" s="9" t="s">
        <v>471</v>
      </c>
      <c r="AO89" s="644"/>
      <c r="AP89" s="9" t="s">
        <v>479</v>
      </c>
      <c r="AQ89" s="644"/>
      <c r="AR89" s="9" t="s">
        <v>500</v>
      </c>
      <c r="AS89" s="644"/>
      <c r="AT89" s="5" t="s">
        <v>500</v>
      </c>
      <c r="AU89" s="644"/>
      <c r="AV89" s="757" t="s">
        <v>471</v>
      </c>
      <c r="AW89" s="644"/>
      <c r="AX89" s="9" t="s">
        <v>500</v>
      </c>
      <c r="AY89" s="644"/>
      <c r="AZ89" s="5" t="s">
        <v>500</v>
      </c>
      <c r="BA89" s="644"/>
      <c r="BB89" s="644"/>
      <c r="BC89" s="644"/>
      <c r="BD89" s="5"/>
      <c r="BE89" s="644"/>
      <c r="BF89" s="9" t="s">
        <v>504</v>
      </c>
      <c r="BG89" s="644"/>
      <c r="BH89" s="644"/>
      <c r="BI89" s="644"/>
      <c r="BJ89" s="9" t="s">
        <v>500</v>
      </c>
      <c r="BK89" s="644"/>
      <c r="BL89" s="9" t="s">
        <v>500</v>
      </c>
      <c r="BM89" s="644"/>
      <c r="BN89" s="9" t="s">
        <v>500</v>
      </c>
      <c r="BO89" s="644"/>
      <c r="BP89" s="632" t="s">
        <v>500</v>
      </c>
      <c r="BQ89" s="644"/>
      <c r="BR89" s="9" t="s">
        <v>500</v>
      </c>
      <c r="BS89" s="644"/>
      <c r="BT89" s="9" t="s">
        <v>500</v>
      </c>
      <c r="BU89" s="644"/>
      <c r="BV89" s="9" t="s">
        <v>500</v>
      </c>
      <c r="BW89" s="644"/>
      <c r="BX89" s="632" t="s">
        <v>500</v>
      </c>
      <c r="BY89" s="644"/>
      <c r="BZ89" s="632" t="s">
        <v>500</v>
      </c>
      <c r="CA89" s="644"/>
      <c r="CB89" s="9" t="s">
        <v>500</v>
      </c>
      <c r="CC89" s="644"/>
      <c r="CD89" s="644"/>
      <c r="CE89" s="644"/>
      <c r="CF89" s="644"/>
      <c r="CG89" s="644"/>
      <c r="CH89" s="632" t="s">
        <v>500</v>
      </c>
      <c r="CI89" s="9"/>
      <c r="CJ89" s="9" t="s">
        <v>500</v>
      </c>
      <c r="CK89" s="9"/>
      <c r="CL89" s="9" t="s">
        <v>500</v>
      </c>
      <c r="CM89" s="644"/>
      <c r="CN89" s="9"/>
      <c r="CO89" s="644"/>
      <c r="CP89" s="5" t="s">
        <v>500</v>
      </c>
      <c r="CQ89" s="644"/>
      <c r="CR89" s="9" t="s">
        <v>500</v>
      </c>
      <c r="CS89" s="644"/>
      <c r="CT89" s="9" t="s">
        <v>471</v>
      </c>
      <c r="CU89" s="644"/>
      <c r="CV89" s="9" t="s">
        <v>500</v>
      </c>
      <c r="CW89" s="644"/>
      <c r="CX89" s="9" t="s">
        <v>500</v>
      </c>
      <c r="CY89" s="644"/>
      <c r="CZ89" s="9" t="s">
        <v>504</v>
      </c>
      <c r="DA89" s="644"/>
      <c r="DB89" s="9" t="s">
        <v>500</v>
      </c>
      <c r="DC89" s="644"/>
      <c r="DD89" s="5" t="s">
        <v>500</v>
      </c>
      <c r="DE89" s="644"/>
      <c r="DF89" s="644"/>
      <c r="DG89" s="644"/>
      <c r="DH89" s="9"/>
      <c r="DI89" s="644"/>
      <c r="DJ89" s="758" t="s">
        <v>500</v>
      </c>
      <c r="DK89" s="644"/>
      <c r="DL89" s="644"/>
      <c r="DM89" s="644"/>
      <c r="DN89" s="9" t="s">
        <v>500</v>
      </c>
      <c r="DO89" s="644"/>
      <c r="DP89" s="644"/>
      <c r="DQ89" s="644"/>
      <c r="DR89" s="644"/>
      <c r="DS89" s="644"/>
      <c r="DT89" s="644"/>
      <c r="DU89" s="644"/>
      <c r="DV89" s="9" t="s">
        <v>500</v>
      </c>
      <c r="DW89" s="644"/>
      <c r="DX89" s="9" t="s">
        <v>500</v>
      </c>
      <c r="DY89" s="644"/>
      <c r="DZ89" s="5" t="s">
        <v>465</v>
      </c>
      <c r="EA89" s="644"/>
      <c r="EB89" s="644"/>
      <c r="EC89" s="644"/>
      <c r="ED89" s="644"/>
      <c r="EE89" s="644"/>
      <c r="EF89" s="9" t="s">
        <v>500</v>
      </c>
      <c r="EG89" s="644"/>
      <c r="EH89" s="759" t="s">
        <v>500</v>
      </c>
      <c r="EI89" s="644"/>
      <c r="EJ89" s="644"/>
      <c r="EK89" s="644"/>
      <c r="EL89" s="644"/>
      <c r="EM89" s="644"/>
      <c r="EN89" s="9" t="s">
        <v>504</v>
      </c>
      <c r="EO89" s="644"/>
      <c r="EP89" s="9" t="s">
        <v>500</v>
      </c>
      <c r="EQ89" s="644"/>
      <c r="ER89" s="644"/>
      <c r="ES89" s="644"/>
      <c r="ET89" s="9" t="s">
        <v>504</v>
      </c>
      <c r="EU89" s="644"/>
      <c r="EV89" s="9" t="s">
        <v>500</v>
      </c>
      <c r="EW89" s="644"/>
      <c r="EX89" s="9" t="s">
        <v>500</v>
      </c>
      <c r="EY89" s="644"/>
      <c r="EZ89" s="9" t="s">
        <v>504</v>
      </c>
      <c r="FA89" s="644"/>
      <c r="FB89" s="9" t="s">
        <v>504</v>
      </c>
      <c r="FC89" s="644"/>
      <c r="FD89" s="9" t="s">
        <v>500</v>
      </c>
      <c r="FE89" s="644"/>
      <c r="FF89" s="9" t="s">
        <v>500</v>
      </c>
      <c r="FG89" s="644"/>
      <c r="FH89" s="9" t="s">
        <v>500</v>
      </c>
      <c r="FI89" s="644"/>
      <c r="FJ89" s="632" t="s">
        <v>1587</v>
      </c>
      <c r="FK89" s="644"/>
      <c r="FL89" s="780" t="s">
        <v>504</v>
      </c>
      <c r="FM89" s="644"/>
      <c r="FN89" s="9" t="s">
        <v>504</v>
      </c>
      <c r="FO89" s="644"/>
      <c r="FP89" s="9" t="s">
        <v>500</v>
      </c>
      <c r="FQ89" s="644"/>
      <c r="FR89" s="644"/>
      <c r="FS89" s="644"/>
      <c r="FT89" s="644"/>
      <c r="FU89" s="644"/>
      <c r="FV89" s="644"/>
      <c r="FW89" s="644"/>
      <c r="FX89" s="5" t="s">
        <v>500</v>
      </c>
      <c r="FY89" s="644"/>
      <c r="FZ89" s="644"/>
      <c r="GA89" s="644"/>
      <c r="GB89" s="9" t="s">
        <v>504</v>
      </c>
      <c r="GC89" s="644"/>
      <c r="GD89" s="13" t="s">
        <v>2499</v>
      </c>
      <c r="GE89" s="644"/>
      <c r="GF89" s="5" t="s">
        <v>500</v>
      </c>
      <c r="GG89" s="644"/>
      <c r="GH89" s="9" t="s">
        <v>504</v>
      </c>
      <c r="GI89" s="644"/>
      <c r="GJ89" s="780" t="s">
        <v>500</v>
      </c>
      <c r="GK89" s="644"/>
      <c r="GL89" s="9" t="s">
        <v>1706</v>
      </c>
      <c r="GM89" s="644"/>
      <c r="GN89" s="9" t="s">
        <v>504</v>
      </c>
      <c r="GO89" s="644"/>
      <c r="GP89" s="9" t="s">
        <v>500</v>
      </c>
      <c r="GQ89" s="644"/>
      <c r="GR89" s="9" t="s">
        <v>500</v>
      </c>
      <c r="GS89" s="644"/>
      <c r="GT89" s="5" t="s">
        <v>471</v>
      </c>
      <c r="GU89" s="644"/>
      <c r="GV89" s="9" t="s">
        <v>500</v>
      </c>
      <c r="GW89" s="644"/>
      <c r="GX89" s="9" t="s">
        <v>500</v>
      </c>
      <c r="GY89" s="644"/>
      <c r="GZ89" s="9" t="s">
        <v>500</v>
      </c>
      <c r="HA89" s="644"/>
      <c r="HB89" s="9" t="s">
        <v>500</v>
      </c>
      <c r="HC89" s="644"/>
      <c r="HD89" s="9" t="s">
        <v>1832</v>
      </c>
      <c r="HE89" s="644"/>
      <c r="HF89" s="9" t="s">
        <v>500</v>
      </c>
      <c r="HG89" s="644"/>
      <c r="HH89" s="9" t="s">
        <v>500</v>
      </c>
      <c r="HI89" s="644"/>
      <c r="HJ89" s="644"/>
      <c r="HK89" s="644"/>
      <c r="HL89" s="9" t="s">
        <v>504</v>
      </c>
      <c r="HM89" s="644"/>
      <c r="HN89" s="9" t="s">
        <v>500</v>
      </c>
      <c r="HO89" s="644"/>
      <c r="HP89" s="9" t="s">
        <v>500</v>
      </c>
      <c r="HQ89" s="644"/>
      <c r="HR89" s="9" t="s">
        <v>504</v>
      </c>
      <c r="HS89" s="644"/>
      <c r="HT89" s="633" t="s">
        <v>500</v>
      </c>
      <c r="HU89" s="644"/>
      <c r="HV89" s="9" t="s">
        <v>500</v>
      </c>
      <c r="HW89" s="644"/>
      <c r="HX89" s="9" t="s">
        <v>500</v>
      </c>
      <c r="HY89" s="644"/>
      <c r="HZ89" s="9" t="s">
        <v>504</v>
      </c>
      <c r="IA89" s="644"/>
      <c r="IB89" s="644"/>
      <c r="IC89" s="644"/>
      <c r="ID89" s="5" t="s">
        <v>500</v>
      </c>
      <c r="IE89" s="644"/>
      <c r="IF89" s="5" t="s">
        <v>500</v>
      </c>
      <c r="IG89" s="756"/>
      <c r="IH89" s="9" t="s">
        <v>500</v>
      </c>
      <c r="II89" s="644"/>
      <c r="IJ89" s="644"/>
      <c r="IK89" s="644"/>
      <c r="IL89" s="711" t="s">
        <v>500</v>
      </c>
      <c r="IM89" s="644"/>
      <c r="IN89" s="634" t="s">
        <v>504</v>
      </c>
      <c r="IO89" s="644"/>
      <c r="IP89" s="5" t="s">
        <v>500</v>
      </c>
      <c r="IQ89" s="644"/>
      <c r="IR89" s="5" t="s">
        <v>504</v>
      </c>
      <c r="IS89" s="644"/>
      <c r="IT89" s="9" t="s">
        <v>500</v>
      </c>
      <c r="IU89" s="644"/>
      <c r="IV89" s="9" t="s">
        <v>500</v>
      </c>
      <c r="IW89" s="644"/>
      <c r="IX89" s="632" t="s">
        <v>504</v>
      </c>
      <c r="IY89" s="644"/>
      <c r="IZ89" s="9" t="s">
        <v>500</v>
      </c>
      <c r="JA89" s="644"/>
      <c r="JB89" s="9"/>
      <c r="JC89" s="644"/>
      <c r="JD89" s="9" t="s">
        <v>471</v>
      </c>
      <c r="JE89" s="644"/>
      <c r="JF89" s="644"/>
      <c r="JG89" s="644"/>
      <c r="JH89" s="9" t="s">
        <v>500</v>
      </c>
      <c r="JI89" s="644"/>
      <c r="JJ89" s="644"/>
      <c r="JK89" s="644"/>
      <c r="JL89" s="644"/>
      <c r="JM89" s="644"/>
      <c r="JN89" s="9" t="s">
        <v>504</v>
      </c>
      <c r="JO89" s="644"/>
      <c r="JP89" s="644"/>
      <c r="JQ89" s="644"/>
      <c r="JR89" s="20" t="s">
        <v>500</v>
      </c>
      <c r="JS89" s="644"/>
      <c r="JT89" s="9" t="s">
        <v>500</v>
      </c>
      <c r="JU89" s="644"/>
      <c r="JV89" s="9"/>
      <c r="JW89" s="644"/>
      <c r="JX89" s="9" t="s">
        <v>500</v>
      </c>
      <c r="JY89" s="644"/>
    </row>
    <row r="90" spans="1:285" ht="32.25" customHeight="1" x14ac:dyDescent="0.2">
      <c r="A90" s="1565"/>
      <c r="B90" s="1567"/>
      <c r="C90" s="1550"/>
      <c r="D90" s="1552"/>
      <c r="E90" s="755" t="s">
        <v>172</v>
      </c>
      <c r="F90" s="9" t="s">
        <v>655</v>
      </c>
      <c r="G90" s="756"/>
      <c r="H90" s="9" t="s">
        <v>2254</v>
      </c>
      <c r="I90" s="644"/>
      <c r="J90" s="5" t="s">
        <v>2270</v>
      </c>
      <c r="K90" s="644"/>
      <c r="L90" s="5" t="s">
        <v>935</v>
      </c>
      <c r="M90" s="644"/>
      <c r="N90" s="757" t="s">
        <v>478</v>
      </c>
      <c r="O90" s="644"/>
      <c r="P90" s="84" t="s">
        <v>465</v>
      </c>
      <c r="Q90" s="644"/>
      <c r="R90" s="9" t="s">
        <v>526</v>
      </c>
      <c r="S90" s="644"/>
      <c r="T90" s="644"/>
      <c r="U90" s="644"/>
      <c r="V90" s="644"/>
      <c r="W90" s="644"/>
      <c r="X90" s="644"/>
      <c r="Y90" s="644"/>
      <c r="Z90" s="9" t="s">
        <v>2306</v>
      </c>
      <c r="AA90" s="644"/>
      <c r="AB90" s="9" t="s">
        <v>2329</v>
      </c>
      <c r="AC90" s="644"/>
      <c r="AD90" s="9" t="s">
        <v>2345</v>
      </c>
      <c r="AE90" s="644"/>
      <c r="AF90" s="644"/>
      <c r="AG90" s="644"/>
      <c r="AH90" s="644"/>
      <c r="AI90" s="644"/>
      <c r="AJ90" s="84" t="s">
        <v>655</v>
      </c>
      <c r="AK90" s="644"/>
      <c r="AL90" s="9"/>
      <c r="AM90" s="644"/>
      <c r="AN90" s="9" t="s">
        <v>981</v>
      </c>
      <c r="AO90" s="644"/>
      <c r="AP90" s="9"/>
      <c r="AQ90" s="644"/>
      <c r="AR90" s="9" t="s">
        <v>1016</v>
      </c>
      <c r="AS90" s="644"/>
      <c r="AT90" s="5" t="s">
        <v>602</v>
      </c>
      <c r="AU90" s="644"/>
      <c r="AV90" s="757" t="s">
        <v>581</v>
      </c>
      <c r="AW90" s="644"/>
      <c r="AX90" s="9" t="s">
        <v>544</v>
      </c>
      <c r="AY90" s="644"/>
      <c r="AZ90" s="5" t="s">
        <v>561</v>
      </c>
      <c r="BA90" s="644"/>
      <c r="BB90" s="644"/>
      <c r="BC90" s="644"/>
      <c r="BD90" s="5"/>
      <c r="BE90" s="644"/>
      <c r="BF90" s="9"/>
      <c r="BG90" s="644"/>
      <c r="BH90" s="644"/>
      <c r="BI90" s="644"/>
      <c r="BJ90" s="9" t="s">
        <v>794</v>
      </c>
      <c r="BK90" s="644"/>
      <c r="BL90" s="9" t="s">
        <v>655</v>
      </c>
      <c r="BM90" s="644"/>
      <c r="BN90" s="9" t="s">
        <v>2185</v>
      </c>
      <c r="BO90" s="644"/>
      <c r="BP90" s="9"/>
      <c r="BQ90" s="644"/>
      <c r="BR90" s="9" t="s">
        <v>970</v>
      </c>
      <c r="BS90" s="644"/>
      <c r="BT90" s="9" t="s">
        <v>931</v>
      </c>
      <c r="BU90" s="644"/>
      <c r="BV90" s="9" t="s">
        <v>949</v>
      </c>
      <c r="BW90" s="644"/>
      <c r="BX90" s="632" t="s">
        <v>2155</v>
      </c>
      <c r="BY90" s="644"/>
      <c r="BZ90" s="9" t="s">
        <v>2170</v>
      </c>
      <c r="CA90" s="644"/>
      <c r="CB90" s="738" t="s">
        <v>909</v>
      </c>
      <c r="CC90" s="644"/>
      <c r="CD90" s="644"/>
      <c r="CE90" s="644"/>
      <c r="CF90" s="644"/>
      <c r="CG90" s="644"/>
      <c r="CH90" s="632" t="s">
        <v>2119</v>
      </c>
      <c r="CI90" s="9"/>
      <c r="CJ90" s="9" t="s">
        <v>2119</v>
      </c>
      <c r="CK90" s="9"/>
      <c r="CL90" s="9" t="s">
        <v>628</v>
      </c>
      <c r="CM90" s="644"/>
      <c r="CN90" s="9"/>
      <c r="CO90" s="644"/>
      <c r="CP90" s="5" t="s">
        <v>2440</v>
      </c>
      <c r="CQ90" s="644"/>
      <c r="CR90" s="9" t="s">
        <v>2454</v>
      </c>
      <c r="CS90" s="644"/>
      <c r="CT90" s="5" t="s">
        <v>2226</v>
      </c>
      <c r="CU90" s="644"/>
      <c r="CV90" s="9" t="s">
        <v>827</v>
      </c>
      <c r="CW90" s="644"/>
      <c r="CX90" s="9" t="s">
        <v>841</v>
      </c>
      <c r="CY90" s="644"/>
      <c r="CZ90" s="9" t="s">
        <v>465</v>
      </c>
      <c r="DA90" s="644"/>
      <c r="DB90" s="9" t="s">
        <v>864</v>
      </c>
      <c r="DC90" s="644"/>
      <c r="DD90" s="5" t="s">
        <v>1348</v>
      </c>
      <c r="DE90" s="644"/>
      <c r="DF90" s="644"/>
      <c r="DG90" s="644"/>
      <c r="DH90" s="9"/>
      <c r="DI90" s="644"/>
      <c r="DJ90" s="758" t="s">
        <v>889</v>
      </c>
      <c r="DK90" s="644"/>
      <c r="DL90" s="644"/>
      <c r="DM90" s="644"/>
      <c r="DN90" s="9" t="s">
        <v>1149</v>
      </c>
      <c r="DO90" s="644"/>
      <c r="DP90" s="644"/>
      <c r="DQ90" s="644"/>
      <c r="DR90" s="644"/>
      <c r="DS90" s="644"/>
      <c r="DT90" s="644"/>
      <c r="DU90" s="644"/>
      <c r="DV90" s="9" t="s">
        <v>1173</v>
      </c>
      <c r="DW90" s="644"/>
      <c r="DX90" s="9" t="s">
        <v>1191</v>
      </c>
      <c r="DY90" s="644"/>
      <c r="DZ90" s="84" t="s">
        <v>465</v>
      </c>
      <c r="EA90" s="644"/>
      <c r="EB90" s="644"/>
      <c r="EC90" s="644"/>
      <c r="ED90" s="644"/>
      <c r="EE90" s="644"/>
      <c r="EF90" s="9" t="s">
        <v>2038</v>
      </c>
      <c r="EG90" s="644"/>
      <c r="EH90" s="759" t="s">
        <v>806</v>
      </c>
      <c r="EI90" s="644"/>
      <c r="EJ90" s="644"/>
      <c r="EK90" s="644"/>
      <c r="EL90" s="644"/>
      <c r="EM90" s="644"/>
      <c r="EN90" s="9"/>
      <c r="EO90" s="644"/>
      <c r="EP90" s="9" t="s">
        <v>1208</v>
      </c>
      <c r="EQ90" s="644"/>
      <c r="ER90" s="644"/>
      <c r="ES90" s="644"/>
      <c r="ET90" s="9" t="s">
        <v>465</v>
      </c>
      <c r="EU90" s="644"/>
      <c r="EV90" s="9" t="s">
        <v>1471</v>
      </c>
      <c r="EW90" s="644"/>
      <c r="EX90" s="9" t="s">
        <v>1490</v>
      </c>
      <c r="EY90" s="644"/>
      <c r="EZ90" s="9"/>
      <c r="FA90" s="644"/>
      <c r="FB90" s="9"/>
      <c r="FC90" s="644"/>
      <c r="FD90" s="23" t="s">
        <v>1527</v>
      </c>
      <c r="FE90" s="644"/>
      <c r="FF90" s="9" t="s">
        <v>1551</v>
      </c>
      <c r="FG90" s="644"/>
      <c r="FH90" s="9" t="s">
        <v>1572</v>
      </c>
      <c r="FI90" s="644"/>
      <c r="FJ90" s="9"/>
      <c r="FK90" s="644"/>
      <c r="FL90" s="780" t="s">
        <v>504</v>
      </c>
      <c r="FM90" s="644"/>
      <c r="FN90" s="9"/>
      <c r="FO90" s="644"/>
      <c r="FP90" s="9" t="s">
        <v>680</v>
      </c>
      <c r="FQ90" s="644"/>
      <c r="FR90" s="644"/>
      <c r="FS90" s="644"/>
      <c r="FT90" s="644"/>
      <c r="FU90" s="644"/>
      <c r="FV90" s="644"/>
      <c r="FW90" s="644"/>
      <c r="FX90" s="5" t="s">
        <v>1869</v>
      </c>
      <c r="FY90" s="644"/>
      <c r="FZ90" s="644"/>
      <c r="GA90" s="644"/>
      <c r="GB90" s="9"/>
      <c r="GC90" s="644"/>
      <c r="GD90" s="13" t="s">
        <v>2499</v>
      </c>
      <c r="GE90" s="644"/>
      <c r="GF90" s="5" t="s">
        <v>1997</v>
      </c>
      <c r="GG90" s="644"/>
      <c r="GH90" s="9" t="s">
        <v>2008</v>
      </c>
      <c r="GI90" s="644"/>
      <c r="GJ90" s="780" t="s">
        <v>1683</v>
      </c>
      <c r="GK90" s="644"/>
      <c r="GL90" s="9"/>
      <c r="GM90" s="644"/>
      <c r="GN90" s="9"/>
      <c r="GO90" s="644"/>
      <c r="GP90" s="9" t="s">
        <v>1743</v>
      </c>
      <c r="GQ90" s="644"/>
      <c r="GR90" s="9" t="s">
        <v>1956</v>
      </c>
      <c r="GS90" s="644"/>
      <c r="GT90" s="5" t="s">
        <v>2087</v>
      </c>
      <c r="GU90" s="644"/>
      <c r="GV90" s="9" t="s">
        <v>1893</v>
      </c>
      <c r="GW90" s="644"/>
      <c r="GX90" s="5" t="s">
        <v>1908</v>
      </c>
      <c r="GY90" s="644"/>
      <c r="GZ90" s="5" t="s">
        <v>1921</v>
      </c>
      <c r="HA90" s="644"/>
      <c r="HB90" s="9" t="s">
        <v>1806</v>
      </c>
      <c r="HC90" s="644"/>
      <c r="HD90" s="9" t="s">
        <v>1833</v>
      </c>
      <c r="HE90" s="644"/>
      <c r="HF90" s="9" t="s">
        <v>827</v>
      </c>
      <c r="HG90" s="644"/>
      <c r="HH90" s="9" t="s">
        <v>1931</v>
      </c>
      <c r="HI90" s="644"/>
      <c r="HJ90" s="644"/>
      <c r="HK90" s="644"/>
      <c r="HL90" s="9"/>
      <c r="HM90" s="644"/>
      <c r="HN90" s="9" t="s">
        <v>1781</v>
      </c>
      <c r="HO90" s="644"/>
      <c r="HP90" s="9" t="s">
        <v>581</v>
      </c>
      <c r="HQ90" s="644"/>
      <c r="HR90" s="9"/>
      <c r="HS90" s="644"/>
      <c r="HT90" s="651" t="s">
        <v>1304</v>
      </c>
      <c r="HU90" s="644"/>
      <c r="HV90" s="9" t="s">
        <v>1314</v>
      </c>
      <c r="HW90" s="644"/>
      <c r="HX90" s="9" t="s">
        <v>2185</v>
      </c>
      <c r="HY90" s="644"/>
      <c r="HZ90" s="9"/>
      <c r="IA90" s="644"/>
      <c r="IB90" s="644"/>
      <c r="IC90" s="644"/>
      <c r="ID90" s="5" t="s">
        <v>1230</v>
      </c>
      <c r="IE90" s="644"/>
      <c r="IF90" s="5" t="s">
        <v>1259</v>
      </c>
      <c r="IG90" s="756"/>
      <c r="IH90" s="9" t="s">
        <v>1328</v>
      </c>
      <c r="II90" s="644"/>
      <c r="IJ90" s="644"/>
      <c r="IK90" s="644"/>
      <c r="IL90" s="711" t="s">
        <v>1347</v>
      </c>
      <c r="IM90" s="644"/>
      <c r="IN90" s="634" t="s">
        <v>465</v>
      </c>
      <c r="IO90" s="644"/>
      <c r="IP90" s="5" t="s">
        <v>749</v>
      </c>
      <c r="IQ90" s="644"/>
      <c r="IR90" s="5"/>
      <c r="IS90" s="644"/>
      <c r="IT90" s="20" t="s">
        <v>1081</v>
      </c>
      <c r="IU90" s="644"/>
      <c r="IV90" s="9" t="s">
        <v>794</v>
      </c>
      <c r="IW90" s="644"/>
      <c r="IX90" s="736"/>
      <c r="IY90" s="644"/>
      <c r="IZ90" s="9" t="s">
        <v>1381</v>
      </c>
      <c r="JA90" s="644"/>
      <c r="JB90" s="9"/>
      <c r="JC90" s="644"/>
      <c r="JD90" s="9" t="s">
        <v>1415</v>
      </c>
      <c r="JE90" s="644"/>
      <c r="JF90" s="644"/>
      <c r="JG90" s="644"/>
      <c r="JH90" s="9" t="s">
        <v>808</v>
      </c>
      <c r="JI90" s="644"/>
      <c r="JJ90" s="644"/>
      <c r="JK90" s="644"/>
      <c r="JL90" s="644"/>
      <c r="JM90" s="644"/>
      <c r="JN90" s="9" t="s">
        <v>504</v>
      </c>
      <c r="JO90" s="644"/>
      <c r="JP90" s="644"/>
      <c r="JQ90" s="644"/>
      <c r="JR90" s="20" t="s">
        <v>1051</v>
      </c>
      <c r="JS90" s="644"/>
      <c r="JT90" s="9" t="s">
        <v>581</v>
      </c>
      <c r="JU90" s="644"/>
      <c r="JV90" s="9"/>
      <c r="JW90" s="644"/>
      <c r="JX90" s="9" t="s">
        <v>716</v>
      </c>
      <c r="JY90" s="644"/>
    </row>
    <row r="91" spans="1:285" ht="37.5" customHeight="1" thickBot="1" x14ac:dyDescent="0.25">
      <c r="A91" s="1565"/>
      <c r="B91" s="1567"/>
      <c r="C91" s="1550"/>
      <c r="D91" s="1552"/>
      <c r="E91" s="755" t="s">
        <v>174</v>
      </c>
      <c r="F91" s="13">
        <v>12899</v>
      </c>
      <c r="G91" s="756"/>
      <c r="H91" s="13">
        <v>468</v>
      </c>
      <c r="I91" s="644"/>
      <c r="J91" s="13">
        <v>4880</v>
      </c>
      <c r="K91" s="644"/>
      <c r="L91" s="9" t="s">
        <v>465</v>
      </c>
      <c r="M91" s="644"/>
      <c r="N91" s="808">
        <v>24150</v>
      </c>
      <c r="O91" s="644"/>
      <c r="P91" s="84" t="s">
        <v>465</v>
      </c>
      <c r="Q91" s="644"/>
      <c r="R91" s="13">
        <v>15722</v>
      </c>
      <c r="S91" s="644"/>
      <c r="T91" s="644"/>
      <c r="U91" s="644"/>
      <c r="V91" s="644"/>
      <c r="W91" s="644"/>
      <c r="X91" s="644"/>
      <c r="Y91" s="644"/>
      <c r="Z91" s="13">
        <v>169709</v>
      </c>
      <c r="AA91" s="644"/>
      <c r="AB91" s="13" t="s">
        <v>2328</v>
      </c>
      <c r="AC91" s="644"/>
      <c r="AD91" s="13" t="s">
        <v>2346</v>
      </c>
      <c r="AE91" s="644"/>
      <c r="AF91" s="644"/>
      <c r="AG91" s="644"/>
      <c r="AH91" s="644"/>
      <c r="AI91" s="644"/>
      <c r="AJ91" s="709">
        <v>25000</v>
      </c>
      <c r="AK91" s="644"/>
      <c r="AL91" s="13"/>
      <c r="AM91" s="644"/>
      <c r="AN91" s="13">
        <v>66023</v>
      </c>
      <c r="AO91" s="644"/>
      <c r="AP91" s="13"/>
      <c r="AQ91" s="644"/>
      <c r="AR91" s="13">
        <v>10489</v>
      </c>
      <c r="AS91" s="644"/>
      <c r="AT91" s="13">
        <v>5540</v>
      </c>
      <c r="AU91" s="644"/>
      <c r="AV91" s="808">
        <v>99329</v>
      </c>
      <c r="AW91" s="644"/>
      <c r="AX91" s="13">
        <v>25</v>
      </c>
      <c r="AY91" s="644"/>
      <c r="AZ91" s="13">
        <v>37687</v>
      </c>
      <c r="BA91" s="644"/>
      <c r="BB91" s="644"/>
      <c r="BC91" s="644"/>
      <c r="BD91" s="5"/>
      <c r="BE91" s="644"/>
      <c r="BF91" s="13"/>
      <c r="BG91" s="644"/>
      <c r="BH91" s="644"/>
      <c r="BI91" s="644"/>
      <c r="BJ91" s="13">
        <f>0.345+335+358+500</f>
        <v>1193.345</v>
      </c>
      <c r="BK91" s="644"/>
      <c r="BL91" s="13"/>
      <c r="BM91" s="644"/>
      <c r="BN91" s="13">
        <v>151</v>
      </c>
      <c r="BO91" s="644"/>
      <c r="BP91" s="13"/>
      <c r="BQ91" s="644"/>
      <c r="BR91" s="13">
        <v>100</v>
      </c>
      <c r="BS91" s="644"/>
      <c r="BT91" s="13">
        <v>1054</v>
      </c>
      <c r="BU91" s="644"/>
      <c r="BV91" s="13">
        <v>3302</v>
      </c>
      <c r="BW91" s="644"/>
      <c r="BX91" s="710">
        <v>5842</v>
      </c>
      <c r="BY91" s="644"/>
      <c r="BZ91" s="710">
        <v>15115</v>
      </c>
      <c r="CA91" s="644"/>
      <c r="CB91" s="822" t="s">
        <v>910</v>
      </c>
      <c r="CC91" s="644"/>
      <c r="CD91" s="644"/>
      <c r="CE91" s="644"/>
      <c r="CF91" s="644"/>
      <c r="CG91" s="644"/>
      <c r="CH91" s="710">
        <v>386</v>
      </c>
      <c r="CI91" s="13"/>
      <c r="CJ91" s="13">
        <v>216</v>
      </c>
      <c r="CK91" s="13"/>
      <c r="CL91" s="13">
        <v>254619</v>
      </c>
      <c r="CM91" s="644"/>
      <c r="CN91" s="13"/>
      <c r="CO91" s="644"/>
      <c r="CP91" s="703" t="s">
        <v>2429</v>
      </c>
      <c r="CQ91" s="644"/>
      <c r="CR91" s="13">
        <v>162000</v>
      </c>
      <c r="CS91" s="644"/>
      <c r="CT91" s="13">
        <v>19297</v>
      </c>
      <c r="CU91" s="644"/>
      <c r="CV91" s="13">
        <v>2200</v>
      </c>
      <c r="CW91" s="644"/>
      <c r="CX91" s="13">
        <v>14500</v>
      </c>
      <c r="CY91" s="644"/>
      <c r="CZ91" s="13" t="s">
        <v>465</v>
      </c>
      <c r="DA91" s="644"/>
      <c r="DB91" s="13">
        <v>43218</v>
      </c>
      <c r="DC91" s="644"/>
      <c r="DD91" s="703">
        <v>324138</v>
      </c>
      <c r="DE91" s="644"/>
      <c r="DF91" s="644"/>
      <c r="DG91" s="644"/>
      <c r="DH91" s="13"/>
      <c r="DI91" s="644"/>
      <c r="DJ91" s="809">
        <v>2150</v>
      </c>
      <c r="DK91" s="644"/>
      <c r="DL91" s="644"/>
      <c r="DM91" s="644"/>
      <c r="DN91" s="13">
        <v>11200</v>
      </c>
      <c r="DO91" s="644"/>
      <c r="DP91" s="644"/>
      <c r="DQ91" s="644"/>
      <c r="DR91" s="644"/>
      <c r="DS91" s="644"/>
      <c r="DT91" s="644"/>
      <c r="DU91" s="644"/>
      <c r="DV91" s="13">
        <v>8185</v>
      </c>
      <c r="DW91" s="644"/>
      <c r="DX91" s="13">
        <v>5491</v>
      </c>
      <c r="DY91" s="644"/>
      <c r="DZ91" s="703" t="s">
        <v>465</v>
      </c>
      <c r="EA91" s="644"/>
      <c r="EB91" s="644"/>
      <c r="EC91" s="644"/>
      <c r="ED91" s="644"/>
      <c r="EE91" s="644"/>
      <c r="EF91" s="13">
        <v>17723</v>
      </c>
      <c r="EG91" s="644"/>
      <c r="EH91" s="810" t="s">
        <v>806</v>
      </c>
      <c r="EI91" s="644"/>
      <c r="EJ91" s="644"/>
      <c r="EK91" s="644"/>
      <c r="EL91" s="644"/>
      <c r="EM91" s="644"/>
      <c r="EN91" s="13"/>
      <c r="EO91" s="644"/>
      <c r="EP91" s="13" t="s">
        <v>1209</v>
      </c>
      <c r="EQ91" s="644"/>
      <c r="ER91" s="644"/>
      <c r="ES91" s="644"/>
      <c r="ET91" s="13" t="s">
        <v>465</v>
      </c>
      <c r="EU91" s="644"/>
      <c r="EV91" s="13">
        <v>139942</v>
      </c>
      <c r="EW91" s="644"/>
      <c r="EX91" s="13">
        <v>34081</v>
      </c>
      <c r="EY91" s="644"/>
      <c r="EZ91" s="13"/>
      <c r="FA91" s="644"/>
      <c r="FB91" s="13"/>
      <c r="FC91" s="644"/>
      <c r="FD91" s="13">
        <v>560</v>
      </c>
      <c r="FE91" s="644"/>
      <c r="FF91" s="13">
        <v>18959</v>
      </c>
      <c r="FG91" s="644"/>
      <c r="FH91" s="13">
        <v>4976</v>
      </c>
      <c r="FI91" s="644"/>
      <c r="FJ91" s="13"/>
      <c r="FK91" s="644"/>
      <c r="FL91" s="811">
        <v>0</v>
      </c>
      <c r="FM91" s="644"/>
      <c r="FN91" s="13"/>
      <c r="FO91" s="644"/>
      <c r="FP91" s="13">
        <v>14537</v>
      </c>
      <c r="FQ91" s="644"/>
      <c r="FR91" s="644"/>
      <c r="FS91" s="644"/>
      <c r="FT91" s="644"/>
      <c r="FU91" s="644"/>
      <c r="FV91" s="644"/>
      <c r="FW91" s="644"/>
      <c r="FX91" s="703" t="s">
        <v>1868</v>
      </c>
      <c r="FY91" s="644"/>
      <c r="FZ91" s="644"/>
      <c r="GA91" s="644"/>
      <c r="GB91" s="13"/>
      <c r="GC91" s="644"/>
      <c r="GD91" s="13" t="s">
        <v>2499</v>
      </c>
      <c r="GE91" s="644"/>
      <c r="GF91" s="703">
        <v>1419</v>
      </c>
      <c r="GG91" s="644"/>
      <c r="GH91" s="13">
        <v>0</v>
      </c>
      <c r="GI91" s="644"/>
      <c r="GJ91" s="811">
        <v>21580</v>
      </c>
      <c r="GK91" s="644"/>
      <c r="GL91" s="13"/>
      <c r="GM91" s="644"/>
      <c r="GN91" s="13"/>
      <c r="GO91" s="644"/>
      <c r="GP91" s="14">
        <v>220</v>
      </c>
      <c r="GQ91" s="644"/>
      <c r="GR91" s="13">
        <v>19752</v>
      </c>
      <c r="GS91" s="644"/>
      <c r="GT91" s="703">
        <v>85700</v>
      </c>
      <c r="GU91" s="644"/>
      <c r="GV91" s="13">
        <v>3232</v>
      </c>
      <c r="GW91" s="644"/>
      <c r="GX91" s="13">
        <v>3095</v>
      </c>
      <c r="GY91" s="644"/>
      <c r="GZ91" s="13">
        <v>8607</v>
      </c>
      <c r="HA91" s="644"/>
      <c r="HB91" s="13">
        <v>1991</v>
      </c>
      <c r="HC91" s="644"/>
      <c r="HD91" s="13">
        <f>3721+193393</f>
        <v>197114</v>
      </c>
      <c r="HE91" s="644"/>
      <c r="HF91" s="13">
        <v>30</v>
      </c>
      <c r="HG91" s="644"/>
      <c r="HH91" s="13">
        <v>100</v>
      </c>
      <c r="HI91" s="644"/>
      <c r="HJ91" s="644"/>
      <c r="HK91" s="644"/>
      <c r="HL91" s="13"/>
      <c r="HM91" s="644"/>
      <c r="HN91" s="13" t="s">
        <v>465</v>
      </c>
      <c r="HO91" s="644"/>
      <c r="HP91" s="13">
        <v>3769</v>
      </c>
      <c r="HQ91" s="644"/>
      <c r="HR91" s="13"/>
      <c r="HS91" s="644"/>
      <c r="HT91" s="711">
        <v>182580</v>
      </c>
      <c r="HU91" s="644"/>
      <c r="HV91" s="13">
        <v>247</v>
      </c>
      <c r="HW91" s="644"/>
      <c r="HX91" s="13">
        <v>151</v>
      </c>
      <c r="HY91" s="644"/>
      <c r="HZ91" s="13"/>
      <c r="IA91" s="644"/>
      <c r="IB91" s="644"/>
      <c r="IC91" s="644"/>
      <c r="ID91" s="13">
        <v>17055</v>
      </c>
      <c r="IE91" s="644"/>
      <c r="IF91" s="13">
        <v>5501</v>
      </c>
      <c r="IG91" s="756"/>
      <c r="IH91" s="13">
        <v>197000</v>
      </c>
      <c r="II91" s="644"/>
      <c r="IJ91" s="644"/>
      <c r="IK91" s="644"/>
      <c r="IL91" s="711">
        <v>555</v>
      </c>
      <c r="IM91" s="644"/>
      <c r="IN91" s="712" t="s">
        <v>465</v>
      </c>
      <c r="IO91" s="644"/>
      <c r="IP91" s="703">
        <v>44761</v>
      </c>
      <c r="IQ91" s="644"/>
      <c r="IR91" s="703"/>
      <c r="IS91" s="644"/>
      <c r="IT91" s="13">
        <v>59688</v>
      </c>
      <c r="IU91" s="644"/>
      <c r="IV91" s="13">
        <v>241483</v>
      </c>
      <c r="IW91" s="644"/>
      <c r="IX91" s="737"/>
      <c r="IY91" s="644"/>
      <c r="IZ91" s="13">
        <v>500</v>
      </c>
      <c r="JA91" s="644"/>
      <c r="JB91" s="13"/>
      <c r="JC91" s="644"/>
      <c r="JD91" s="13">
        <v>73207</v>
      </c>
      <c r="JE91" s="644"/>
      <c r="JF91" s="644"/>
      <c r="JG91" s="644"/>
      <c r="JH91" s="13">
        <v>346</v>
      </c>
      <c r="JI91" s="644"/>
      <c r="JJ91" s="644"/>
      <c r="JK91" s="644"/>
      <c r="JL91" s="644"/>
      <c r="JM91" s="644"/>
      <c r="JN91" s="13">
        <v>0</v>
      </c>
      <c r="JO91" s="644"/>
      <c r="JP91" s="644"/>
      <c r="JQ91" s="644"/>
      <c r="JR91" s="713">
        <f>168636+33190+13142</f>
        <v>214968</v>
      </c>
      <c r="JS91" s="644"/>
      <c r="JT91" s="13">
        <v>270</v>
      </c>
      <c r="JU91" s="644"/>
      <c r="JV91" s="13"/>
      <c r="JW91" s="644"/>
      <c r="JX91" s="13" t="s">
        <v>717</v>
      </c>
      <c r="JY91" s="644"/>
    </row>
    <row r="92" spans="1:285" ht="39.75" customHeight="1" x14ac:dyDescent="0.2">
      <c r="A92" s="1565"/>
      <c r="B92" s="1567"/>
      <c r="C92" s="1544" t="s">
        <v>61</v>
      </c>
      <c r="D92" s="1547" t="s">
        <v>250</v>
      </c>
      <c r="E92" s="755" t="s">
        <v>171</v>
      </c>
      <c r="F92" s="13" t="s">
        <v>504</v>
      </c>
      <c r="G92" s="756"/>
      <c r="H92" s="13" t="s">
        <v>504</v>
      </c>
      <c r="I92" s="644"/>
      <c r="J92" s="13" t="s">
        <v>504</v>
      </c>
      <c r="K92" s="644"/>
      <c r="L92" s="9" t="s">
        <v>465</v>
      </c>
      <c r="M92" s="644"/>
      <c r="N92" s="808" t="s">
        <v>479</v>
      </c>
      <c r="O92" s="644"/>
      <c r="P92" s="709" t="s">
        <v>504</v>
      </c>
      <c r="Q92" s="644"/>
      <c r="R92" s="13"/>
      <c r="S92" s="644"/>
      <c r="T92" s="644"/>
      <c r="U92" s="644"/>
      <c r="V92" s="644"/>
      <c r="W92" s="644"/>
      <c r="X92" s="644"/>
      <c r="Y92" s="644"/>
      <c r="Z92" s="13" t="s">
        <v>479</v>
      </c>
      <c r="AA92" s="644"/>
      <c r="AB92" s="5" t="s">
        <v>2307</v>
      </c>
      <c r="AC92" s="644"/>
      <c r="AD92" s="5" t="s">
        <v>479</v>
      </c>
      <c r="AE92" s="644"/>
      <c r="AF92" s="644"/>
      <c r="AG92" s="644"/>
      <c r="AH92" s="644"/>
      <c r="AI92" s="644"/>
      <c r="AJ92" s="709" t="s">
        <v>656</v>
      </c>
      <c r="AK92" s="644"/>
      <c r="AL92" s="13" t="s">
        <v>500</v>
      </c>
      <c r="AM92" s="644"/>
      <c r="AN92" s="13"/>
      <c r="AO92" s="644"/>
      <c r="AP92" s="13" t="s">
        <v>479</v>
      </c>
      <c r="AQ92" s="644"/>
      <c r="AR92" s="13"/>
      <c r="AS92" s="644"/>
      <c r="AT92" s="13"/>
      <c r="AU92" s="644"/>
      <c r="AV92" s="808"/>
      <c r="AW92" s="644"/>
      <c r="AX92" s="13" t="s">
        <v>504</v>
      </c>
      <c r="AY92" s="644"/>
      <c r="AZ92" s="13" t="s">
        <v>504</v>
      </c>
      <c r="BA92" s="644"/>
      <c r="BB92" s="644"/>
      <c r="BC92" s="644"/>
      <c r="BD92" s="5"/>
      <c r="BE92" s="644"/>
      <c r="BF92" s="13" t="s">
        <v>504</v>
      </c>
      <c r="BG92" s="644"/>
      <c r="BH92" s="644"/>
      <c r="BI92" s="644"/>
      <c r="BJ92" s="13" t="s">
        <v>504</v>
      </c>
      <c r="BK92" s="644"/>
      <c r="BL92" s="13" t="s">
        <v>500</v>
      </c>
      <c r="BM92" s="644"/>
      <c r="BN92" s="13" t="s">
        <v>504</v>
      </c>
      <c r="BO92" s="644"/>
      <c r="BP92" s="13"/>
      <c r="BQ92" s="644"/>
      <c r="BR92" s="13" t="s">
        <v>504</v>
      </c>
      <c r="BS92" s="644"/>
      <c r="BT92" s="13"/>
      <c r="BU92" s="644"/>
      <c r="BV92" s="13" t="s">
        <v>504</v>
      </c>
      <c r="BW92" s="644"/>
      <c r="BX92" s="710" t="s">
        <v>504</v>
      </c>
      <c r="BY92" s="644"/>
      <c r="BZ92" s="632" t="s">
        <v>504</v>
      </c>
      <c r="CA92" s="644"/>
      <c r="CB92" s="5" t="s">
        <v>504</v>
      </c>
      <c r="CC92" s="644"/>
      <c r="CD92" s="644"/>
      <c r="CE92" s="644"/>
      <c r="CF92" s="644"/>
      <c r="CG92" s="644"/>
      <c r="CH92" s="710" t="s">
        <v>504</v>
      </c>
      <c r="CI92" s="13"/>
      <c r="CJ92" s="13" t="s">
        <v>504</v>
      </c>
      <c r="CK92" s="13"/>
      <c r="CL92" s="13" t="s">
        <v>504</v>
      </c>
      <c r="CM92" s="644"/>
      <c r="CN92" s="13"/>
      <c r="CO92" s="644"/>
      <c r="CP92" s="13" t="s">
        <v>504</v>
      </c>
      <c r="CQ92" s="644"/>
      <c r="CR92" s="13" t="s">
        <v>500</v>
      </c>
      <c r="CS92" s="644"/>
      <c r="CT92" s="13" t="s">
        <v>504</v>
      </c>
      <c r="CU92" s="644"/>
      <c r="CV92" s="9" t="s">
        <v>504</v>
      </c>
      <c r="CW92" s="644"/>
      <c r="CX92" s="13" t="s">
        <v>504</v>
      </c>
      <c r="CY92" s="644"/>
      <c r="CZ92" s="13" t="s">
        <v>504</v>
      </c>
      <c r="DA92" s="644"/>
      <c r="DB92" s="13" t="s">
        <v>504</v>
      </c>
      <c r="DC92" s="644"/>
      <c r="DD92" s="5" t="s">
        <v>504</v>
      </c>
      <c r="DE92" s="644"/>
      <c r="DF92" s="644"/>
      <c r="DG92" s="644"/>
      <c r="DH92" s="13"/>
      <c r="DI92" s="644"/>
      <c r="DJ92" s="809" t="s">
        <v>504</v>
      </c>
      <c r="DK92" s="644"/>
      <c r="DL92" s="644"/>
      <c r="DM92" s="644"/>
      <c r="DN92" s="13" t="s">
        <v>504</v>
      </c>
      <c r="DO92" s="644"/>
      <c r="DP92" s="644"/>
      <c r="DQ92" s="644"/>
      <c r="DR92" s="644"/>
      <c r="DS92" s="644"/>
      <c r="DT92" s="644"/>
      <c r="DU92" s="644"/>
      <c r="DV92" s="13" t="s">
        <v>504</v>
      </c>
      <c r="DW92" s="644"/>
      <c r="DX92" s="13" t="s">
        <v>504</v>
      </c>
      <c r="DY92" s="644"/>
      <c r="DZ92" s="13" t="s">
        <v>500</v>
      </c>
      <c r="EA92" s="644"/>
      <c r="EB92" s="644"/>
      <c r="EC92" s="644"/>
      <c r="ED92" s="644"/>
      <c r="EE92" s="644"/>
      <c r="EF92" s="13" t="s">
        <v>504</v>
      </c>
      <c r="EG92" s="644"/>
      <c r="EH92" s="759" t="s">
        <v>500</v>
      </c>
      <c r="EI92" s="644"/>
      <c r="EJ92" s="644"/>
      <c r="EK92" s="644"/>
      <c r="EL92" s="644"/>
      <c r="EM92" s="644"/>
      <c r="EN92" s="13" t="s">
        <v>504</v>
      </c>
      <c r="EO92" s="644"/>
      <c r="EP92" s="13" t="s">
        <v>504</v>
      </c>
      <c r="EQ92" s="644"/>
      <c r="ER92" s="644"/>
      <c r="ES92" s="644"/>
      <c r="ET92" s="13" t="s">
        <v>504</v>
      </c>
      <c r="EU92" s="644"/>
      <c r="EV92" s="13" t="s">
        <v>504</v>
      </c>
      <c r="EW92" s="644"/>
      <c r="EX92" s="13" t="s">
        <v>504</v>
      </c>
      <c r="EY92" s="644"/>
      <c r="EZ92" s="13" t="s">
        <v>504</v>
      </c>
      <c r="FA92" s="644"/>
      <c r="FB92" s="13" t="s">
        <v>504</v>
      </c>
      <c r="FC92" s="644"/>
      <c r="FD92" s="13" t="s">
        <v>504</v>
      </c>
      <c r="FE92" s="644"/>
      <c r="FF92" s="13" t="s">
        <v>504</v>
      </c>
      <c r="FG92" s="644"/>
      <c r="FH92" s="13" t="s">
        <v>504</v>
      </c>
      <c r="FI92" s="644"/>
      <c r="FJ92" s="13"/>
      <c r="FK92" s="644"/>
      <c r="FL92" s="811" t="s">
        <v>504</v>
      </c>
      <c r="FM92" s="644"/>
      <c r="FN92" s="13" t="s">
        <v>504</v>
      </c>
      <c r="FO92" s="644"/>
      <c r="FP92" s="13" t="s">
        <v>504</v>
      </c>
      <c r="FQ92" s="644"/>
      <c r="FR92" s="644"/>
      <c r="FS92" s="644"/>
      <c r="FT92" s="644"/>
      <c r="FU92" s="644"/>
      <c r="FV92" s="644"/>
      <c r="FW92" s="644"/>
      <c r="FX92" s="13" t="s">
        <v>500</v>
      </c>
      <c r="FY92" s="644"/>
      <c r="FZ92" s="644"/>
      <c r="GA92" s="644"/>
      <c r="GB92" s="13" t="s">
        <v>500</v>
      </c>
      <c r="GC92" s="644"/>
      <c r="GD92" s="13" t="s">
        <v>2499</v>
      </c>
      <c r="GE92" s="644"/>
      <c r="GF92" s="5" t="s">
        <v>504</v>
      </c>
      <c r="GG92" s="644"/>
      <c r="GH92" s="13" t="s">
        <v>500</v>
      </c>
      <c r="GI92" s="644"/>
      <c r="GJ92" s="811" t="s">
        <v>500</v>
      </c>
      <c r="GK92" s="644"/>
      <c r="GL92" s="13" t="s">
        <v>504</v>
      </c>
      <c r="GM92" s="644"/>
      <c r="GN92" s="13" t="s">
        <v>504</v>
      </c>
      <c r="GO92" s="644"/>
      <c r="GP92" s="13" t="s">
        <v>504</v>
      </c>
      <c r="GQ92" s="644"/>
      <c r="GR92" s="13"/>
      <c r="GS92" s="644"/>
      <c r="GT92" s="5" t="s">
        <v>504</v>
      </c>
      <c r="GU92" s="644"/>
      <c r="GV92" s="13" t="s">
        <v>504</v>
      </c>
      <c r="GW92" s="644"/>
      <c r="GX92" s="13" t="s">
        <v>504</v>
      </c>
      <c r="GY92" s="644"/>
      <c r="GZ92" s="13" t="s">
        <v>504</v>
      </c>
      <c r="HA92" s="644"/>
      <c r="HB92" s="13" t="s">
        <v>504</v>
      </c>
      <c r="HC92" s="644"/>
      <c r="HD92" s="13"/>
      <c r="HE92" s="644"/>
      <c r="HF92" s="13"/>
      <c r="HG92" s="644"/>
      <c r="HH92" s="13" t="s">
        <v>500</v>
      </c>
      <c r="HI92" s="644"/>
      <c r="HJ92" s="644"/>
      <c r="HK92" s="644"/>
      <c r="HL92" s="13" t="s">
        <v>500</v>
      </c>
      <c r="HM92" s="644"/>
      <c r="HN92" s="13" t="s">
        <v>465</v>
      </c>
      <c r="HO92" s="644"/>
      <c r="HP92" s="13" t="s">
        <v>504</v>
      </c>
      <c r="HQ92" s="644"/>
      <c r="HR92" s="9" t="s">
        <v>504</v>
      </c>
      <c r="HS92" s="644"/>
      <c r="HT92" s="711" t="s">
        <v>504</v>
      </c>
      <c r="HU92" s="644"/>
      <c r="HV92" s="13" t="s">
        <v>504</v>
      </c>
      <c r="HW92" s="644"/>
      <c r="HX92" s="13" t="s">
        <v>504</v>
      </c>
      <c r="HY92" s="644"/>
      <c r="HZ92" s="13" t="s">
        <v>504</v>
      </c>
      <c r="IA92" s="644"/>
      <c r="IB92" s="644"/>
      <c r="IC92" s="644"/>
      <c r="ID92" s="13" t="s">
        <v>500</v>
      </c>
      <c r="IE92" s="644"/>
      <c r="IF92" s="13" t="s">
        <v>504</v>
      </c>
      <c r="IG92" s="756"/>
      <c r="IH92" s="13" t="s">
        <v>500</v>
      </c>
      <c r="II92" s="644"/>
      <c r="IJ92" s="644"/>
      <c r="IK92" s="644"/>
      <c r="IL92" s="711" t="s">
        <v>504</v>
      </c>
      <c r="IM92" s="644"/>
      <c r="IN92" s="712" t="s">
        <v>504</v>
      </c>
      <c r="IO92" s="644"/>
      <c r="IP92" s="13" t="s">
        <v>504</v>
      </c>
      <c r="IQ92" s="644"/>
      <c r="IR92" s="13" t="s">
        <v>504</v>
      </c>
      <c r="IS92" s="644"/>
      <c r="IT92" s="13" t="s">
        <v>504</v>
      </c>
      <c r="IU92" s="644"/>
      <c r="IV92" s="13" t="s">
        <v>504</v>
      </c>
      <c r="IW92" s="644"/>
      <c r="IX92" s="710" t="s">
        <v>504</v>
      </c>
      <c r="IY92" s="644"/>
      <c r="IZ92" s="13" t="s">
        <v>500</v>
      </c>
      <c r="JA92" s="644"/>
      <c r="JB92" s="13"/>
      <c r="JC92" s="644"/>
      <c r="JD92" s="13" t="s">
        <v>479</v>
      </c>
      <c r="JE92" s="644"/>
      <c r="JF92" s="644"/>
      <c r="JG92" s="644"/>
      <c r="JH92" s="13"/>
      <c r="JI92" s="644"/>
      <c r="JJ92" s="644"/>
      <c r="JK92" s="644"/>
      <c r="JL92" s="644"/>
      <c r="JM92" s="644"/>
      <c r="JN92" s="13" t="s">
        <v>504</v>
      </c>
      <c r="JO92" s="644"/>
      <c r="JP92" s="644"/>
      <c r="JQ92" s="644"/>
      <c r="JR92" s="713" t="s">
        <v>504</v>
      </c>
      <c r="JS92" s="644"/>
      <c r="JT92" s="13" t="s">
        <v>504</v>
      </c>
      <c r="JU92" s="644"/>
      <c r="JV92" s="13"/>
      <c r="JW92" s="644"/>
      <c r="JX92" s="13" t="s">
        <v>500</v>
      </c>
      <c r="JY92" s="644"/>
    </row>
    <row r="93" spans="1:285" ht="36.75" customHeight="1" x14ac:dyDescent="0.2">
      <c r="A93" s="1565"/>
      <c r="B93" s="1567"/>
      <c r="C93" s="1545"/>
      <c r="D93" s="1548"/>
      <c r="E93" s="755" t="s">
        <v>172</v>
      </c>
      <c r="F93" s="13"/>
      <c r="G93" s="756"/>
      <c r="H93" s="13" t="s">
        <v>465</v>
      </c>
      <c r="I93" s="644"/>
      <c r="J93" s="13" t="s">
        <v>465</v>
      </c>
      <c r="K93" s="644"/>
      <c r="L93" s="9" t="s">
        <v>465</v>
      </c>
      <c r="M93" s="644"/>
      <c r="N93" s="808"/>
      <c r="O93" s="644"/>
      <c r="P93" s="709" t="s">
        <v>465</v>
      </c>
      <c r="Q93" s="644"/>
      <c r="R93" s="13"/>
      <c r="S93" s="644"/>
      <c r="T93" s="644"/>
      <c r="U93" s="644"/>
      <c r="V93" s="644"/>
      <c r="W93" s="644"/>
      <c r="X93" s="644"/>
      <c r="Y93" s="644"/>
      <c r="Z93" s="13" t="s">
        <v>465</v>
      </c>
      <c r="AA93" s="644"/>
      <c r="AB93" s="5" t="s">
        <v>465</v>
      </c>
      <c r="AC93" s="644"/>
      <c r="AD93" s="5" t="s">
        <v>465</v>
      </c>
      <c r="AE93" s="644"/>
      <c r="AF93" s="644"/>
      <c r="AG93" s="644"/>
      <c r="AH93" s="644"/>
      <c r="AI93" s="644"/>
      <c r="AJ93" s="709" t="s">
        <v>657</v>
      </c>
      <c r="AK93" s="644"/>
      <c r="AL93" s="13" t="s">
        <v>2369</v>
      </c>
      <c r="AM93" s="644"/>
      <c r="AN93" s="13"/>
      <c r="AO93" s="644"/>
      <c r="AP93" s="13"/>
      <c r="AQ93" s="644"/>
      <c r="AR93" s="13"/>
      <c r="AS93" s="644"/>
      <c r="AT93" s="13"/>
      <c r="AU93" s="644"/>
      <c r="AV93" s="808"/>
      <c r="AW93" s="644"/>
      <c r="AX93" s="13"/>
      <c r="AY93" s="644"/>
      <c r="AZ93" s="13"/>
      <c r="BA93" s="644"/>
      <c r="BB93" s="644"/>
      <c r="BC93" s="644"/>
      <c r="BD93" s="5"/>
      <c r="BE93" s="644"/>
      <c r="BF93" s="13"/>
      <c r="BG93" s="644"/>
      <c r="BH93" s="644"/>
      <c r="BI93" s="644"/>
      <c r="BJ93" s="13"/>
      <c r="BK93" s="644"/>
      <c r="BL93" s="13" t="s">
        <v>1029</v>
      </c>
      <c r="BM93" s="644"/>
      <c r="BN93" s="13"/>
      <c r="BO93" s="644"/>
      <c r="BP93" s="13"/>
      <c r="BQ93" s="644"/>
      <c r="BR93" s="13"/>
      <c r="BS93" s="644"/>
      <c r="BT93" s="13"/>
      <c r="BU93" s="644"/>
      <c r="BV93" s="13"/>
      <c r="BW93" s="644"/>
      <c r="BX93" s="710"/>
      <c r="BY93" s="644"/>
      <c r="BZ93" s="710"/>
      <c r="CA93" s="644"/>
      <c r="CB93" s="13"/>
      <c r="CC93" s="644"/>
      <c r="CD93" s="644"/>
      <c r="CE93" s="644"/>
      <c r="CF93" s="644"/>
      <c r="CG93" s="644"/>
      <c r="CH93" s="710" t="s">
        <v>465</v>
      </c>
      <c r="CI93" s="13"/>
      <c r="CJ93" s="13" t="s">
        <v>465</v>
      </c>
      <c r="CK93" s="13"/>
      <c r="CL93" s="13" t="s">
        <v>504</v>
      </c>
      <c r="CM93" s="644"/>
      <c r="CN93" s="13"/>
      <c r="CO93" s="644"/>
      <c r="CP93" s="13"/>
      <c r="CQ93" s="644"/>
      <c r="CR93" s="13"/>
      <c r="CS93" s="644"/>
      <c r="CT93" s="13"/>
      <c r="CU93" s="644"/>
      <c r="CV93" s="13" t="s">
        <v>465</v>
      </c>
      <c r="CW93" s="644"/>
      <c r="CX93" s="13" t="s">
        <v>465</v>
      </c>
      <c r="CY93" s="644"/>
      <c r="CZ93" s="13" t="s">
        <v>465</v>
      </c>
      <c r="DA93" s="644"/>
      <c r="DB93" s="13" t="s">
        <v>465</v>
      </c>
      <c r="DC93" s="644"/>
      <c r="DD93" s="5" t="s">
        <v>465</v>
      </c>
      <c r="DE93" s="644"/>
      <c r="DF93" s="644"/>
      <c r="DG93" s="644"/>
      <c r="DH93" s="13"/>
      <c r="DI93" s="644"/>
      <c r="DJ93" s="809"/>
      <c r="DK93" s="644"/>
      <c r="DL93" s="644"/>
      <c r="DM93" s="644"/>
      <c r="DN93" s="13"/>
      <c r="DO93" s="644"/>
      <c r="DP93" s="644"/>
      <c r="DQ93" s="644"/>
      <c r="DR93" s="644"/>
      <c r="DS93" s="644"/>
      <c r="DT93" s="644"/>
      <c r="DU93" s="644"/>
      <c r="DV93" s="13" t="s">
        <v>465</v>
      </c>
      <c r="DW93" s="644"/>
      <c r="DX93" s="13" t="s">
        <v>465</v>
      </c>
      <c r="DY93" s="644"/>
      <c r="DZ93" s="13" t="s">
        <v>2529</v>
      </c>
      <c r="EA93" s="644"/>
      <c r="EB93" s="644"/>
      <c r="EC93" s="644"/>
      <c r="ED93" s="644"/>
      <c r="EE93" s="644"/>
      <c r="EF93" s="13" t="s">
        <v>504</v>
      </c>
      <c r="EG93" s="644"/>
      <c r="EH93" s="759" t="s">
        <v>806</v>
      </c>
      <c r="EI93" s="644"/>
      <c r="EJ93" s="644"/>
      <c r="EK93" s="644"/>
      <c r="EL93" s="644"/>
      <c r="EM93" s="644"/>
      <c r="EN93" s="13"/>
      <c r="EO93" s="644"/>
      <c r="EP93" s="13" t="s">
        <v>504</v>
      </c>
      <c r="EQ93" s="644"/>
      <c r="ER93" s="644"/>
      <c r="ES93" s="644"/>
      <c r="ET93" s="13" t="s">
        <v>465</v>
      </c>
      <c r="EU93" s="644"/>
      <c r="EV93" s="13" t="s">
        <v>465</v>
      </c>
      <c r="EW93" s="644"/>
      <c r="EX93" s="13"/>
      <c r="EY93" s="644"/>
      <c r="EZ93" s="13"/>
      <c r="FA93" s="644"/>
      <c r="FB93" s="13"/>
      <c r="FC93" s="644"/>
      <c r="FD93" s="5" t="s">
        <v>465</v>
      </c>
      <c r="FE93" s="644"/>
      <c r="FF93" s="13" t="s">
        <v>465</v>
      </c>
      <c r="FG93" s="644"/>
      <c r="FH93" s="13"/>
      <c r="FI93" s="644"/>
      <c r="FJ93" s="13"/>
      <c r="FK93" s="644"/>
      <c r="FL93" s="811" t="s">
        <v>504</v>
      </c>
      <c r="FM93" s="644"/>
      <c r="FN93" s="13"/>
      <c r="FO93" s="644"/>
      <c r="FP93" s="13"/>
      <c r="FQ93" s="644"/>
      <c r="FR93" s="644"/>
      <c r="FS93" s="644"/>
      <c r="FT93" s="644"/>
      <c r="FU93" s="644"/>
      <c r="FV93" s="644"/>
      <c r="FW93" s="644"/>
      <c r="FX93" s="13" t="s">
        <v>1870</v>
      </c>
      <c r="FY93" s="644"/>
      <c r="FZ93" s="644"/>
      <c r="GA93" s="644"/>
      <c r="GB93" s="13"/>
      <c r="GC93" s="644"/>
      <c r="GD93" s="13" t="s">
        <v>2499</v>
      </c>
      <c r="GE93" s="644"/>
      <c r="GF93" s="5" t="s">
        <v>504</v>
      </c>
      <c r="GG93" s="644"/>
      <c r="GH93" s="13" t="s">
        <v>2017</v>
      </c>
      <c r="GI93" s="644"/>
      <c r="GJ93" s="811" t="s">
        <v>1684</v>
      </c>
      <c r="GK93" s="644"/>
      <c r="GL93" s="13"/>
      <c r="GM93" s="644"/>
      <c r="GN93" s="13"/>
      <c r="GO93" s="644"/>
      <c r="GP93" s="13"/>
      <c r="GQ93" s="644"/>
      <c r="GR93" s="13"/>
      <c r="GS93" s="644"/>
      <c r="GT93" s="5"/>
      <c r="GU93" s="644"/>
      <c r="GV93" s="13"/>
      <c r="GW93" s="644"/>
      <c r="GX93" s="13"/>
      <c r="GY93" s="644"/>
      <c r="GZ93" s="13"/>
      <c r="HA93" s="644"/>
      <c r="HB93" s="13"/>
      <c r="HC93" s="644"/>
      <c r="HD93" s="13"/>
      <c r="HE93" s="644"/>
      <c r="HF93" s="13"/>
      <c r="HG93" s="644"/>
      <c r="HH93" s="13" t="s">
        <v>1933</v>
      </c>
      <c r="HI93" s="644"/>
      <c r="HJ93" s="644"/>
      <c r="HK93" s="644"/>
      <c r="HL93" s="13" t="s">
        <v>1758</v>
      </c>
      <c r="HM93" s="644"/>
      <c r="HN93" s="13" t="s">
        <v>465</v>
      </c>
      <c r="HO93" s="644"/>
      <c r="HP93" s="13"/>
      <c r="HQ93" s="644"/>
      <c r="HR93" s="13"/>
      <c r="HS93" s="644"/>
      <c r="HT93" s="734" t="s">
        <v>702</v>
      </c>
      <c r="HU93" s="644"/>
      <c r="HV93" s="13"/>
      <c r="HW93" s="644"/>
      <c r="HX93" s="13"/>
      <c r="HY93" s="644"/>
      <c r="HZ93" s="13"/>
      <c r="IA93" s="644"/>
      <c r="IB93" s="644"/>
      <c r="IC93" s="644"/>
      <c r="ID93" s="13" t="s">
        <v>1231</v>
      </c>
      <c r="IE93" s="644"/>
      <c r="IF93" s="13"/>
      <c r="IG93" s="756"/>
      <c r="IH93" s="13" t="s">
        <v>1329</v>
      </c>
      <c r="II93" s="644"/>
      <c r="IJ93" s="644"/>
      <c r="IK93" s="644"/>
      <c r="IL93" s="711" t="s">
        <v>465</v>
      </c>
      <c r="IM93" s="644"/>
      <c r="IN93" s="712" t="s">
        <v>465</v>
      </c>
      <c r="IO93" s="644"/>
      <c r="IP93" s="13"/>
      <c r="IQ93" s="644"/>
      <c r="IR93" s="13"/>
      <c r="IS93" s="644"/>
      <c r="IT93" s="13" t="s">
        <v>701</v>
      </c>
      <c r="IU93" s="644"/>
      <c r="IV93" s="13" t="s">
        <v>504</v>
      </c>
      <c r="IW93" s="644"/>
      <c r="IX93" s="710" t="s">
        <v>1104</v>
      </c>
      <c r="IY93" s="644"/>
      <c r="IZ93" s="13" t="s">
        <v>1382</v>
      </c>
      <c r="JA93" s="644"/>
      <c r="JB93" s="13"/>
      <c r="JC93" s="644"/>
      <c r="JD93" s="13" t="s">
        <v>465</v>
      </c>
      <c r="JE93" s="644"/>
      <c r="JF93" s="644"/>
      <c r="JG93" s="644"/>
      <c r="JH93" s="13"/>
      <c r="JI93" s="644"/>
      <c r="JJ93" s="644"/>
      <c r="JK93" s="644"/>
      <c r="JL93" s="644"/>
      <c r="JM93" s="644"/>
      <c r="JN93" s="13" t="s">
        <v>504</v>
      </c>
      <c r="JO93" s="644"/>
      <c r="JP93" s="644"/>
      <c r="JQ93" s="644"/>
      <c r="JR93" s="713" t="s">
        <v>465</v>
      </c>
      <c r="JS93" s="644"/>
      <c r="JT93" s="13" t="s">
        <v>465</v>
      </c>
      <c r="JU93" s="644"/>
      <c r="JV93" s="13"/>
      <c r="JW93" s="644"/>
      <c r="JX93" s="9" t="s">
        <v>716</v>
      </c>
      <c r="JY93" s="644"/>
    </row>
    <row r="94" spans="1:285" ht="39" customHeight="1" thickBot="1" x14ac:dyDescent="0.25">
      <c r="A94" s="1565"/>
      <c r="B94" s="1567"/>
      <c r="C94" s="1546"/>
      <c r="D94" s="1549"/>
      <c r="E94" s="755" t="s">
        <v>174</v>
      </c>
      <c r="F94" s="13"/>
      <c r="G94" s="756"/>
      <c r="H94" s="13" t="s">
        <v>465</v>
      </c>
      <c r="I94" s="644"/>
      <c r="J94" s="13" t="s">
        <v>465</v>
      </c>
      <c r="K94" s="644"/>
      <c r="L94" s="9" t="s">
        <v>465</v>
      </c>
      <c r="M94" s="644"/>
      <c r="N94" s="808"/>
      <c r="O94" s="644"/>
      <c r="P94" s="709" t="s">
        <v>465</v>
      </c>
      <c r="Q94" s="644"/>
      <c r="R94" s="13"/>
      <c r="S94" s="644"/>
      <c r="T94" s="644"/>
      <c r="U94" s="644"/>
      <c r="V94" s="644"/>
      <c r="W94" s="644"/>
      <c r="X94" s="644"/>
      <c r="Y94" s="644"/>
      <c r="Z94" s="13" t="s">
        <v>465</v>
      </c>
      <c r="AA94" s="644"/>
      <c r="AB94" s="703" t="s">
        <v>465</v>
      </c>
      <c r="AC94" s="644"/>
      <c r="AD94" s="5" t="s">
        <v>465</v>
      </c>
      <c r="AE94" s="644"/>
      <c r="AF94" s="644"/>
      <c r="AG94" s="644"/>
      <c r="AH94" s="644"/>
      <c r="AI94" s="644"/>
      <c r="AJ94" s="709">
        <v>1520</v>
      </c>
      <c r="AK94" s="644"/>
      <c r="AL94" s="13">
        <v>1324</v>
      </c>
      <c r="AM94" s="644"/>
      <c r="AN94" s="13"/>
      <c r="AO94" s="644"/>
      <c r="AP94" s="13"/>
      <c r="AQ94" s="644"/>
      <c r="AR94" s="13"/>
      <c r="AS94" s="644"/>
      <c r="AT94" s="13"/>
      <c r="AU94" s="644"/>
      <c r="AV94" s="808"/>
      <c r="AW94" s="644"/>
      <c r="AX94" s="13"/>
      <c r="AY94" s="644"/>
      <c r="AZ94" s="13"/>
      <c r="BA94" s="644"/>
      <c r="BB94" s="644"/>
      <c r="BC94" s="644"/>
      <c r="BD94" s="5"/>
      <c r="BE94" s="644"/>
      <c r="BF94" s="13"/>
      <c r="BG94" s="644"/>
      <c r="BH94" s="644"/>
      <c r="BI94" s="644"/>
      <c r="BJ94" s="13"/>
      <c r="BK94" s="644"/>
      <c r="BL94" s="13"/>
      <c r="BM94" s="644"/>
      <c r="BN94" s="13"/>
      <c r="BO94" s="644"/>
      <c r="BP94" s="13"/>
      <c r="BQ94" s="644"/>
      <c r="BR94" s="13"/>
      <c r="BS94" s="644"/>
      <c r="BT94" s="13"/>
      <c r="BU94" s="644"/>
      <c r="BV94" s="13"/>
      <c r="BW94" s="644"/>
      <c r="BX94" s="710"/>
      <c r="BY94" s="644"/>
      <c r="BZ94" s="710"/>
      <c r="CA94" s="644"/>
      <c r="CB94" s="13"/>
      <c r="CC94" s="644"/>
      <c r="CD94" s="644"/>
      <c r="CE94" s="644"/>
      <c r="CF94" s="644"/>
      <c r="CG94" s="644"/>
      <c r="CH94" s="710" t="s">
        <v>465</v>
      </c>
      <c r="CI94" s="13"/>
      <c r="CJ94" s="13" t="s">
        <v>465</v>
      </c>
      <c r="CK94" s="13"/>
      <c r="CL94" s="13" t="s">
        <v>504</v>
      </c>
      <c r="CM94" s="644"/>
      <c r="CN94" s="13"/>
      <c r="CO94" s="644"/>
      <c r="CP94" s="13"/>
      <c r="CQ94" s="644"/>
      <c r="CR94" s="13"/>
      <c r="CS94" s="644"/>
      <c r="CT94" s="13"/>
      <c r="CU94" s="644"/>
      <c r="CV94" s="13" t="s">
        <v>465</v>
      </c>
      <c r="CW94" s="644"/>
      <c r="CX94" s="13" t="s">
        <v>465</v>
      </c>
      <c r="CY94" s="644"/>
      <c r="CZ94" s="13" t="s">
        <v>465</v>
      </c>
      <c r="DA94" s="644"/>
      <c r="DB94" s="13" t="s">
        <v>465</v>
      </c>
      <c r="DC94" s="644"/>
      <c r="DD94" s="703" t="s">
        <v>465</v>
      </c>
      <c r="DE94" s="644"/>
      <c r="DF94" s="644"/>
      <c r="DG94" s="644"/>
      <c r="DH94" s="13"/>
      <c r="DI94" s="644"/>
      <c r="DJ94" s="809"/>
      <c r="DK94" s="644"/>
      <c r="DL94" s="644"/>
      <c r="DM94" s="644"/>
      <c r="DN94" s="13"/>
      <c r="DO94" s="644"/>
      <c r="DP94" s="644"/>
      <c r="DQ94" s="644"/>
      <c r="DR94" s="644"/>
      <c r="DS94" s="644"/>
      <c r="DT94" s="644"/>
      <c r="DU94" s="644"/>
      <c r="DV94" s="13" t="s">
        <v>465</v>
      </c>
      <c r="DW94" s="644"/>
      <c r="DX94" s="13" t="s">
        <v>465</v>
      </c>
      <c r="DY94" s="644"/>
      <c r="DZ94" s="13">
        <v>12207</v>
      </c>
      <c r="EA94" s="644"/>
      <c r="EB94" s="644"/>
      <c r="EC94" s="644"/>
      <c r="ED94" s="644"/>
      <c r="EE94" s="644"/>
      <c r="EF94" s="13" t="s">
        <v>504</v>
      </c>
      <c r="EG94" s="644"/>
      <c r="EH94" s="810" t="s">
        <v>806</v>
      </c>
      <c r="EI94" s="644"/>
      <c r="EJ94" s="644"/>
      <c r="EK94" s="644"/>
      <c r="EL94" s="644"/>
      <c r="EM94" s="644"/>
      <c r="EN94" s="13"/>
      <c r="EO94" s="644"/>
      <c r="EP94" s="13" t="s">
        <v>504</v>
      </c>
      <c r="EQ94" s="644"/>
      <c r="ER94" s="644"/>
      <c r="ES94" s="644"/>
      <c r="ET94" s="13" t="s">
        <v>465</v>
      </c>
      <c r="EU94" s="644"/>
      <c r="EV94" s="13" t="s">
        <v>465</v>
      </c>
      <c r="EW94" s="644"/>
      <c r="EX94" s="13"/>
      <c r="EY94" s="644"/>
      <c r="EZ94" s="13"/>
      <c r="FA94" s="644"/>
      <c r="FB94" s="13"/>
      <c r="FC94" s="644"/>
      <c r="FD94" s="13" t="s">
        <v>465</v>
      </c>
      <c r="FE94" s="644"/>
      <c r="FF94" s="13" t="s">
        <v>465</v>
      </c>
      <c r="FG94" s="644"/>
      <c r="FH94" s="13"/>
      <c r="FI94" s="644"/>
      <c r="FJ94" s="13"/>
      <c r="FK94" s="644"/>
      <c r="FL94" s="811">
        <v>0</v>
      </c>
      <c r="FM94" s="644"/>
      <c r="FN94" s="13"/>
      <c r="FO94" s="644"/>
      <c r="FP94" s="13"/>
      <c r="FQ94" s="644"/>
      <c r="FR94" s="644"/>
      <c r="FS94" s="644"/>
      <c r="FT94" s="644"/>
      <c r="FU94" s="644"/>
      <c r="FV94" s="644"/>
      <c r="FW94" s="644"/>
      <c r="FX94" s="703" t="s">
        <v>1868</v>
      </c>
      <c r="FY94" s="644"/>
      <c r="FZ94" s="644"/>
      <c r="GA94" s="644"/>
      <c r="GB94" s="13">
        <v>63</v>
      </c>
      <c r="GC94" s="644"/>
      <c r="GD94" s="13" t="s">
        <v>2499</v>
      </c>
      <c r="GE94" s="644"/>
      <c r="GF94" s="703" t="s">
        <v>504</v>
      </c>
      <c r="GG94" s="644"/>
      <c r="GH94" s="13">
        <v>25</v>
      </c>
      <c r="GI94" s="644"/>
      <c r="GJ94" s="811">
        <v>1230</v>
      </c>
      <c r="GK94" s="644"/>
      <c r="GL94" s="13"/>
      <c r="GM94" s="644"/>
      <c r="GN94" s="13"/>
      <c r="GO94" s="644"/>
      <c r="GP94" s="13"/>
      <c r="GQ94" s="644"/>
      <c r="GR94" s="13"/>
      <c r="GS94" s="644"/>
      <c r="GT94" s="703"/>
      <c r="GU94" s="644"/>
      <c r="GV94" s="13"/>
      <c r="GW94" s="644"/>
      <c r="GX94" s="13"/>
      <c r="GY94" s="644"/>
      <c r="GZ94" s="13"/>
      <c r="HA94" s="644"/>
      <c r="HB94" s="13"/>
      <c r="HC94" s="644"/>
      <c r="HD94" s="13"/>
      <c r="HE94" s="644"/>
      <c r="HF94" s="13"/>
      <c r="HG94" s="644"/>
      <c r="HH94" s="13">
        <v>7</v>
      </c>
      <c r="HI94" s="644"/>
      <c r="HJ94" s="644"/>
      <c r="HK94" s="644"/>
      <c r="HL94" s="13">
        <v>1250</v>
      </c>
      <c r="HM94" s="644"/>
      <c r="HN94" s="13" t="s">
        <v>465</v>
      </c>
      <c r="HO94" s="644"/>
      <c r="HP94" s="13"/>
      <c r="HQ94" s="644"/>
      <c r="HR94" s="13"/>
      <c r="HS94" s="644"/>
      <c r="HT94" s="734" t="s">
        <v>702</v>
      </c>
      <c r="HU94" s="644"/>
      <c r="HV94" s="13"/>
      <c r="HW94" s="644"/>
      <c r="HX94" s="13"/>
      <c r="HY94" s="644"/>
      <c r="HZ94" s="13"/>
      <c r="IA94" s="644"/>
      <c r="IB94" s="644"/>
      <c r="IC94" s="644"/>
      <c r="ID94" s="13"/>
      <c r="IE94" s="644"/>
      <c r="IF94" s="13"/>
      <c r="IG94" s="756"/>
      <c r="IH94" s="13" t="s">
        <v>1330</v>
      </c>
      <c r="II94" s="644"/>
      <c r="IJ94" s="644"/>
      <c r="IK94" s="644"/>
      <c r="IL94" s="711" t="s">
        <v>465</v>
      </c>
      <c r="IM94" s="644"/>
      <c r="IN94" s="712" t="s">
        <v>465</v>
      </c>
      <c r="IO94" s="644"/>
      <c r="IP94" s="13"/>
      <c r="IQ94" s="644"/>
      <c r="IR94" s="13"/>
      <c r="IS94" s="644"/>
      <c r="IT94" s="13" t="s">
        <v>701</v>
      </c>
      <c r="IU94" s="644"/>
      <c r="IV94" s="13" t="s">
        <v>504</v>
      </c>
      <c r="IW94" s="644"/>
      <c r="IX94" s="710" t="s">
        <v>1104</v>
      </c>
      <c r="IY94" s="644"/>
      <c r="IZ94" s="13">
        <v>477</v>
      </c>
      <c r="JA94" s="644"/>
      <c r="JB94" s="13"/>
      <c r="JC94" s="644"/>
      <c r="JD94" s="13" t="s">
        <v>465</v>
      </c>
      <c r="JE94" s="644"/>
      <c r="JF94" s="644"/>
      <c r="JG94" s="644"/>
      <c r="JH94" s="13"/>
      <c r="JI94" s="644"/>
      <c r="JJ94" s="644"/>
      <c r="JK94" s="644"/>
      <c r="JL94" s="644"/>
      <c r="JM94" s="644"/>
      <c r="JN94" s="13">
        <v>0</v>
      </c>
      <c r="JO94" s="644"/>
      <c r="JP94" s="644"/>
      <c r="JQ94" s="644"/>
      <c r="JR94" s="713" t="s">
        <v>465</v>
      </c>
      <c r="JS94" s="644"/>
      <c r="JT94" s="13" t="s">
        <v>465</v>
      </c>
      <c r="JU94" s="644"/>
      <c r="JV94" s="13"/>
      <c r="JW94" s="644"/>
      <c r="JX94" s="13">
        <v>345</v>
      </c>
      <c r="JY94" s="644"/>
    </row>
    <row r="95" spans="1:285" ht="31.5" customHeight="1" x14ac:dyDescent="0.2">
      <c r="A95" s="1565"/>
      <c r="B95" s="1567"/>
      <c r="C95" s="1553" t="s">
        <v>62</v>
      </c>
      <c r="D95" s="1554" t="s">
        <v>251</v>
      </c>
      <c r="E95" s="755" t="s">
        <v>171</v>
      </c>
      <c r="F95" s="13" t="s">
        <v>504</v>
      </c>
      <c r="G95" s="738"/>
      <c r="H95" s="13" t="s">
        <v>504</v>
      </c>
      <c r="I95" s="644"/>
      <c r="J95" s="13" t="s">
        <v>504</v>
      </c>
      <c r="K95" s="644"/>
      <c r="L95" s="9" t="s">
        <v>465</v>
      </c>
      <c r="M95" s="644"/>
      <c r="N95" s="808" t="s">
        <v>479</v>
      </c>
      <c r="O95" s="644"/>
      <c r="P95" s="709" t="s">
        <v>504</v>
      </c>
      <c r="Q95" s="644"/>
      <c r="R95" s="13"/>
      <c r="S95" s="644"/>
      <c r="T95" s="644"/>
      <c r="U95" s="644"/>
      <c r="V95" s="644"/>
      <c r="W95" s="644"/>
      <c r="X95" s="644"/>
      <c r="Y95" s="644"/>
      <c r="Z95" s="13" t="s">
        <v>479</v>
      </c>
      <c r="AA95" s="644"/>
      <c r="AB95" s="5" t="s">
        <v>2307</v>
      </c>
      <c r="AC95" s="644"/>
      <c r="AD95" s="5" t="s">
        <v>479</v>
      </c>
      <c r="AE95" s="644"/>
      <c r="AF95" s="644"/>
      <c r="AG95" s="644"/>
      <c r="AH95" s="644"/>
      <c r="AI95" s="644"/>
      <c r="AJ95" s="709" t="s">
        <v>504</v>
      </c>
      <c r="AK95" s="644"/>
      <c r="AL95" s="13"/>
      <c r="AM95" s="644"/>
      <c r="AN95" s="13"/>
      <c r="AO95" s="644"/>
      <c r="AP95" s="13" t="s">
        <v>479</v>
      </c>
      <c r="AQ95" s="644"/>
      <c r="AR95" s="13"/>
      <c r="AS95" s="644"/>
      <c r="AT95" s="13"/>
      <c r="AU95" s="644"/>
      <c r="AV95" s="808"/>
      <c r="AW95" s="644"/>
      <c r="AX95" s="13" t="s">
        <v>504</v>
      </c>
      <c r="AY95" s="644"/>
      <c r="AZ95" s="13" t="s">
        <v>504</v>
      </c>
      <c r="BA95" s="644"/>
      <c r="BB95" s="644"/>
      <c r="BC95" s="644"/>
      <c r="BD95" s="5"/>
      <c r="BE95" s="644"/>
      <c r="BF95" s="13" t="s">
        <v>504</v>
      </c>
      <c r="BG95" s="644"/>
      <c r="BH95" s="644"/>
      <c r="BI95" s="644"/>
      <c r="BJ95" s="13" t="s">
        <v>504</v>
      </c>
      <c r="BK95" s="644"/>
      <c r="BL95" s="13" t="s">
        <v>504</v>
      </c>
      <c r="BM95" s="644"/>
      <c r="BN95" s="13" t="s">
        <v>504</v>
      </c>
      <c r="BO95" s="644"/>
      <c r="BP95" s="13"/>
      <c r="BQ95" s="644"/>
      <c r="BR95" s="13" t="s">
        <v>504</v>
      </c>
      <c r="BS95" s="644"/>
      <c r="BT95" s="13"/>
      <c r="BU95" s="644"/>
      <c r="BV95" s="13" t="s">
        <v>504</v>
      </c>
      <c r="BW95" s="644"/>
      <c r="BX95" s="710" t="s">
        <v>504</v>
      </c>
      <c r="BY95" s="644"/>
      <c r="BZ95" s="632" t="s">
        <v>504</v>
      </c>
      <c r="CA95" s="644"/>
      <c r="CB95" s="13" t="s">
        <v>504</v>
      </c>
      <c r="CC95" s="644"/>
      <c r="CD95" s="644"/>
      <c r="CE95" s="644"/>
      <c r="CF95" s="644"/>
      <c r="CG95" s="644"/>
      <c r="CH95" s="710" t="s">
        <v>504</v>
      </c>
      <c r="CI95" s="13"/>
      <c r="CJ95" s="13" t="s">
        <v>504</v>
      </c>
      <c r="CK95" s="13"/>
      <c r="CL95" s="13" t="s">
        <v>504</v>
      </c>
      <c r="CM95" s="644"/>
      <c r="CN95" s="13"/>
      <c r="CO95" s="644"/>
      <c r="CP95" s="13" t="s">
        <v>504</v>
      </c>
      <c r="CQ95" s="644"/>
      <c r="CR95" s="13" t="s">
        <v>504</v>
      </c>
      <c r="CS95" s="644"/>
      <c r="CT95" s="13" t="s">
        <v>500</v>
      </c>
      <c r="CU95" s="644"/>
      <c r="CV95" s="9" t="s">
        <v>504</v>
      </c>
      <c r="CW95" s="644"/>
      <c r="CX95" s="13" t="s">
        <v>504</v>
      </c>
      <c r="CY95" s="644"/>
      <c r="CZ95" s="13" t="s">
        <v>504</v>
      </c>
      <c r="DA95" s="644"/>
      <c r="DB95" s="13" t="s">
        <v>504</v>
      </c>
      <c r="DC95" s="644"/>
      <c r="DD95" s="5" t="s">
        <v>504</v>
      </c>
      <c r="DE95" s="644"/>
      <c r="DF95" s="644"/>
      <c r="DG95" s="644"/>
      <c r="DH95" s="13"/>
      <c r="DI95" s="644"/>
      <c r="DJ95" s="809" t="s">
        <v>504</v>
      </c>
      <c r="DK95" s="644"/>
      <c r="DL95" s="644"/>
      <c r="DM95" s="644"/>
      <c r="DN95" s="13" t="s">
        <v>504</v>
      </c>
      <c r="DO95" s="644"/>
      <c r="DP95" s="644"/>
      <c r="DQ95" s="644"/>
      <c r="DR95" s="644"/>
      <c r="DS95" s="644"/>
      <c r="DT95" s="644"/>
      <c r="DU95" s="644"/>
      <c r="DV95" s="13" t="s">
        <v>656</v>
      </c>
      <c r="DW95" s="644"/>
      <c r="DX95" s="13" t="s">
        <v>504</v>
      </c>
      <c r="DY95" s="644"/>
      <c r="DZ95" s="5" t="s">
        <v>504</v>
      </c>
      <c r="EA95" s="644"/>
      <c r="EB95" s="644"/>
      <c r="EC95" s="644"/>
      <c r="ED95" s="644"/>
      <c r="EE95" s="644"/>
      <c r="EF95" s="13" t="s">
        <v>504</v>
      </c>
      <c r="EG95" s="644"/>
      <c r="EH95" s="759" t="s">
        <v>500</v>
      </c>
      <c r="EI95" s="644"/>
      <c r="EJ95" s="644"/>
      <c r="EK95" s="644"/>
      <c r="EL95" s="644"/>
      <c r="EM95" s="644"/>
      <c r="EN95" s="13" t="s">
        <v>504</v>
      </c>
      <c r="EO95" s="644"/>
      <c r="EP95" s="13" t="s">
        <v>504</v>
      </c>
      <c r="EQ95" s="644"/>
      <c r="ER95" s="644"/>
      <c r="ES95" s="644"/>
      <c r="ET95" s="13" t="s">
        <v>504</v>
      </c>
      <c r="EU95" s="644"/>
      <c r="EV95" s="13" t="s">
        <v>504</v>
      </c>
      <c r="EW95" s="644"/>
      <c r="EX95" s="13" t="s">
        <v>504</v>
      </c>
      <c r="EY95" s="644"/>
      <c r="EZ95" s="13" t="s">
        <v>504</v>
      </c>
      <c r="FA95" s="644"/>
      <c r="FB95" s="13" t="s">
        <v>504</v>
      </c>
      <c r="FC95" s="644"/>
      <c r="FD95" s="13" t="s">
        <v>504</v>
      </c>
      <c r="FE95" s="644"/>
      <c r="FF95" s="13" t="s">
        <v>504</v>
      </c>
      <c r="FG95" s="644"/>
      <c r="FH95" s="13" t="s">
        <v>504</v>
      </c>
      <c r="FI95" s="644"/>
      <c r="FJ95" s="13"/>
      <c r="FK95" s="644"/>
      <c r="FL95" s="811" t="s">
        <v>504</v>
      </c>
      <c r="FM95" s="644"/>
      <c r="FN95" s="13" t="s">
        <v>504</v>
      </c>
      <c r="FO95" s="644"/>
      <c r="FP95" s="13" t="s">
        <v>504</v>
      </c>
      <c r="FQ95" s="644"/>
      <c r="FR95" s="644"/>
      <c r="FS95" s="644"/>
      <c r="FT95" s="644"/>
      <c r="FU95" s="644"/>
      <c r="FV95" s="644"/>
      <c r="FW95" s="644"/>
      <c r="FX95" s="13" t="s">
        <v>504</v>
      </c>
      <c r="FY95" s="644"/>
      <c r="FZ95" s="644"/>
      <c r="GA95" s="644"/>
      <c r="GB95" s="13" t="s">
        <v>504</v>
      </c>
      <c r="GC95" s="644"/>
      <c r="GD95" s="13" t="s">
        <v>2499</v>
      </c>
      <c r="GE95" s="644"/>
      <c r="GF95" s="5" t="s">
        <v>504</v>
      </c>
      <c r="GG95" s="644"/>
      <c r="GH95" s="13" t="s">
        <v>504</v>
      </c>
      <c r="GI95" s="644"/>
      <c r="GJ95" s="811" t="s">
        <v>504</v>
      </c>
      <c r="GK95" s="644"/>
      <c r="GL95" s="13" t="s">
        <v>504</v>
      </c>
      <c r="GM95" s="644"/>
      <c r="GN95" s="13" t="s">
        <v>504</v>
      </c>
      <c r="GO95" s="644"/>
      <c r="GP95" s="13" t="s">
        <v>504</v>
      </c>
      <c r="GQ95" s="644"/>
      <c r="GR95" s="13"/>
      <c r="GS95" s="644"/>
      <c r="GT95" s="5" t="s">
        <v>471</v>
      </c>
      <c r="GU95" s="644"/>
      <c r="GV95" s="13" t="s">
        <v>504</v>
      </c>
      <c r="GW95" s="644"/>
      <c r="GX95" s="13" t="s">
        <v>504</v>
      </c>
      <c r="GY95" s="644"/>
      <c r="GZ95" s="13" t="s">
        <v>504</v>
      </c>
      <c r="HA95" s="644"/>
      <c r="HB95" s="13" t="s">
        <v>504</v>
      </c>
      <c r="HC95" s="644"/>
      <c r="HD95" s="13"/>
      <c r="HE95" s="644"/>
      <c r="HF95" s="13"/>
      <c r="HG95" s="644"/>
      <c r="HH95" s="13" t="s">
        <v>504</v>
      </c>
      <c r="HI95" s="644"/>
      <c r="HJ95" s="644"/>
      <c r="HK95" s="644"/>
      <c r="HL95" s="13" t="s">
        <v>504</v>
      </c>
      <c r="HM95" s="644"/>
      <c r="HN95" s="13" t="s">
        <v>465</v>
      </c>
      <c r="HO95" s="644"/>
      <c r="HP95" s="13" t="s">
        <v>504</v>
      </c>
      <c r="HQ95" s="644"/>
      <c r="HR95" s="9" t="s">
        <v>504</v>
      </c>
      <c r="HS95" s="644"/>
      <c r="HT95" s="711" t="s">
        <v>504</v>
      </c>
      <c r="HU95" s="644"/>
      <c r="HV95" s="13" t="s">
        <v>504</v>
      </c>
      <c r="HW95" s="644"/>
      <c r="HX95" s="13" t="s">
        <v>504</v>
      </c>
      <c r="HY95" s="644"/>
      <c r="HZ95" s="13" t="s">
        <v>504</v>
      </c>
      <c r="IA95" s="644"/>
      <c r="IB95" s="644"/>
      <c r="IC95" s="644"/>
      <c r="ID95" s="13" t="s">
        <v>504</v>
      </c>
      <c r="IE95" s="644"/>
      <c r="IF95" s="13" t="s">
        <v>504</v>
      </c>
      <c r="IG95" s="738"/>
      <c r="IH95" s="13" t="s">
        <v>500</v>
      </c>
      <c r="II95" s="644"/>
      <c r="IJ95" s="644"/>
      <c r="IK95" s="644"/>
      <c r="IL95" s="711" t="s">
        <v>504</v>
      </c>
      <c r="IM95" s="644"/>
      <c r="IN95" s="712" t="s">
        <v>504</v>
      </c>
      <c r="IO95" s="644"/>
      <c r="IP95" s="13" t="s">
        <v>504</v>
      </c>
      <c r="IQ95" s="644"/>
      <c r="IR95" s="13" t="s">
        <v>504</v>
      </c>
      <c r="IS95" s="644"/>
      <c r="IT95" s="13" t="s">
        <v>701</v>
      </c>
      <c r="IU95" s="644"/>
      <c r="IV95" s="13" t="s">
        <v>504</v>
      </c>
      <c r="IW95" s="644"/>
      <c r="IX95" s="710" t="s">
        <v>504</v>
      </c>
      <c r="IY95" s="644"/>
      <c r="IZ95" s="13" t="s">
        <v>504</v>
      </c>
      <c r="JA95" s="644"/>
      <c r="JB95" s="13"/>
      <c r="JC95" s="644"/>
      <c r="JD95" s="13" t="s">
        <v>479</v>
      </c>
      <c r="JE95" s="644"/>
      <c r="JF95" s="644"/>
      <c r="JG95" s="644"/>
      <c r="JH95" s="13"/>
      <c r="JI95" s="644"/>
      <c r="JJ95" s="644"/>
      <c r="JK95" s="644"/>
      <c r="JL95" s="644"/>
      <c r="JM95" s="644"/>
      <c r="JN95" s="13" t="s">
        <v>504</v>
      </c>
      <c r="JO95" s="644"/>
      <c r="JP95" s="644"/>
      <c r="JQ95" s="644"/>
      <c r="JR95" s="713" t="s">
        <v>500</v>
      </c>
      <c r="JS95" s="644"/>
      <c r="JT95" s="13" t="s">
        <v>504</v>
      </c>
      <c r="JU95" s="644"/>
      <c r="JV95" s="13"/>
      <c r="JW95" s="644"/>
      <c r="JX95" s="13" t="s">
        <v>500</v>
      </c>
      <c r="JY95" s="644"/>
    </row>
    <row r="96" spans="1:285" ht="76.5" x14ac:dyDescent="0.2">
      <c r="A96" s="1565"/>
      <c r="B96" s="1567"/>
      <c r="C96" s="1545"/>
      <c r="D96" s="1548"/>
      <c r="E96" s="755" t="s">
        <v>172</v>
      </c>
      <c r="F96" s="13"/>
      <c r="G96" s="738"/>
      <c r="H96" s="13" t="s">
        <v>465</v>
      </c>
      <c r="I96" s="644"/>
      <c r="J96" s="13" t="s">
        <v>465</v>
      </c>
      <c r="K96" s="644"/>
      <c r="L96" s="9" t="s">
        <v>465</v>
      </c>
      <c r="M96" s="644"/>
      <c r="N96" s="808" t="s">
        <v>465</v>
      </c>
      <c r="O96" s="644"/>
      <c r="P96" s="709" t="s">
        <v>465</v>
      </c>
      <c r="Q96" s="644"/>
      <c r="R96" s="13"/>
      <c r="S96" s="644"/>
      <c r="T96" s="644"/>
      <c r="U96" s="644"/>
      <c r="V96" s="644"/>
      <c r="W96" s="644"/>
      <c r="X96" s="644"/>
      <c r="Y96" s="644"/>
      <c r="Z96" s="13" t="s">
        <v>465</v>
      </c>
      <c r="AA96" s="644"/>
      <c r="AB96" s="5" t="s">
        <v>465</v>
      </c>
      <c r="AC96" s="644"/>
      <c r="AD96" s="5" t="s">
        <v>465</v>
      </c>
      <c r="AE96" s="644"/>
      <c r="AF96" s="644"/>
      <c r="AG96" s="644"/>
      <c r="AH96" s="644"/>
      <c r="AI96" s="644"/>
      <c r="AJ96" s="709"/>
      <c r="AK96" s="644"/>
      <c r="AL96" s="13"/>
      <c r="AM96" s="644"/>
      <c r="AN96" s="13"/>
      <c r="AO96" s="644"/>
      <c r="AP96" s="13"/>
      <c r="AQ96" s="644"/>
      <c r="AR96" s="13"/>
      <c r="AS96" s="644"/>
      <c r="AT96" s="13"/>
      <c r="AU96" s="644"/>
      <c r="AV96" s="808"/>
      <c r="AW96" s="644"/>
      <c r="AX96" s="13"/>
      <c r="AY96" s="644"/>
      <c r="AZ96" s="13"/>
      <c r="BA96" s="644"/>
      <c r="BB96" s="644"/>
      <c r="BC96" s="644"/>
      <c r="BD96" s="5"/>
      <c r="BE96" s="644"/>
      <c r="BF96" s="13"/>
      <c r="BG96" s="644"/>
      <c r="BH96" s="644"/>
      <c r="BI96" s="644"/>
      <c r="BJ96" s="13"/>
      <c r="BK96" s="644"/>
      <c r="BL96" s="13"/>
      <c r="BM96" s="644"/>
      <c r="BN96" s="13"/>
      <c r="BO96" s="644"/>
      <c r="BP96" s="13"/>
      <c r="BQ96" s="644"/>
      <c r="BR96" s="13"/>
      <c r="BS96" s="644"/>
      <c r="BT96" s="13"/>
      <c r="BU96" s="644"/>
      <c r="BV96" s="13"/>
      <c r="BW96" s="644"/>
      <c r="BX96" s="710"/>
      <c r="BY96" s="644"/>
      <c r="BZ96" s="710"/>
      <c r="CA96" s="644"/>
      <c r="CB96" s="13"/>
      <c r="CC96" s="644"/>
      <c r="CD96" s="644"/>
      <c r="CE96" s="644"/>
      <c r="CF96" s="644"/>
      <c r="CG96" s="644"/>
      <c r="CH96" s="710" t="s">
        <v>465</v>
      </c>
      <c r="CI96" s="13"/>
      <c r="CJ96" s="13" t="s">
        <v>465</v>
      </c>
      <c r="CK96" s="13"/>
      <c r="CL96" s="13" t="s">
        <v>504</v>
      </c>
      <c r="CM96" s="644"/>
      <c r="CN96" s="13"/>
      <c r="CO96" s="644"/>
      <c r="CP96" s="13"/>
      <c r="CQ96" s="644"/>
      <c r="CR96" s="13"/>
      <c r="CS96" s="644"/>
      <c r="CT96" s="13" t="s">
        <v>2227</v>
      </c>
      <c r="CU96" s="644"/>
      <c r="CV96" s="13" t="s">
        <v>465</v>
      </c>
      <c r="CW96" s="644"/>
      <c r="CX96" s="13" t="s">
        <v>465</v>
      </c>
      <c r="CY96" s="644"/>
      <c r="CZ96" s="13" t="s">
        <v>465</v>
      </c>
      <c r="DA96" s="644"/>
      <c r="DB96" s="13" t="s">
        <v>465</v>
      </c>
      <c r="DC96" s="644"/>
      <c r="DD96" s="5" t="s">
        <v>465</v>
      </c>
      <c r="DE96" s="644"/>
      <c r="DF96" s="644"/>
      <c r="DG96" s="644"/>
      <c r="DH96" s="13"/>
      <c r="DI96" s="644"/>
      <c r="DJ96" s="809"/>
      <c r="DK96" s="644"/>
      <c r="DL96" s="644"/>
      <c r="DM96" s="644"/>
      <c r="DN96" s="13"/>
      <c r="DO96" s="644"/>
      <c r="DP96" s="644"/>
      <c r="DQ96" s="644"/>
      <c r="DR96" s="644"/>
      <c r="DS96" s="644"/>
      <c r="DT96" s="644"/>
      <c r="DU96" s="644"/>
      <c r="DV96" s="13" t="s">
        <v>1174</v>
      </c>
      <c r="DW96" s="644"/>
      <c r="DX96" s="13" t="s">
        <v>465</v>
      </c>
      <c r="DY96" s="644"/>
      <c r="DZ96" s="5" t="s">
        <v>465</v>
      </c>
      <c r="EA96" s="644"/>
      <c r="EB96" s="644"/>
      <c r="EC96" s="644"/>
      <c r="ED96" s="644"/>
      <c r="EE96" s="644"/>
      <c r="EF96" s="13" t="s">
        <v>504</v>
      </c>
      <c r="EG96" s="644"/>
      <c r="EH96" s="759" t="s">
        <v>806</v>
      </c>
      <c r="EI96" s="644"/>
      <c r="EJ96" s="644"/>
      <c r="EK96" s="644"/>
      <c r="EL96" s="644"/>
      <c r="EM96" s="644"/>
      <c r="EN96" s="13"/>
      <c r="EO96" s="644"/>
      <c r="EP96" s="13" t="s">
        <v>504</v>
      </c>
      <c r="EQ96" s="644"/>
      <c r="ER96" s="644"/>
      <c r="ES96" s="644"/>
      <c r="ET96" s="13" t="s">
        <v>465</v>
      </c>
      <c r="EU96" s="644"/>
      <c r="EV96" s="13" t="s">
        <v>465</v>
      </c>
      <c r="EW96" s="644"/>
      <c r="EX96" s="13"/>
      <c r="EY96" s="644"/>
      <c r="EZ96" s="13"/>
      <c r="FA96" s="644"/>
      <c r="FB96" s="13"/>
      <c r="FC96" s="644"/>
      <c r="FD96" s="13" t="s">
        <v>465</v>
      </c>
      <c r="FE96" s="644"/>
      <c r="FF96" s="13" t="s">
        <v>465</v>
      </c>
      <c r="FG96" s="644"/>
      <c r="FH96" s="13"/>
      <c r="FI96" s="644"/>
      <c r="FJ96" s="13"/>
      <c r="FK96" s="644"/>
      <c r="FL96" s="811" t="s">
        <v>504</v>
      </c>
      <c r="FM96" s="644"/>
      <c r="FN96" s="13"/>
      <c r="FO96" s="644"/>
      <c r="FP96" s="13"/>
      <c r="FQ96" s="644"/>
      <c r="FR96" s="644"/>
      <c r="FS96" s="644"/>
      <c r="FT96" s="644"/>
      <c r="FU96" s="644"/>
      <c r="FV96" s="644"/>
      <c r="FW96" s="644"/>
      <c r="FX96" s="13" t="s">
        <v>465</v>
      </c>
      <c r="FY96" s="644"/>
      <c r="FZ96" s="644"/>
      <c r="GA96" s="644"/>
      <c r="GB96" s="13"/>
      <c r="GC96" s="644"/>
      <c r="GD96" s="13" t="s">
        <v>2499</v>
      </c>
      <c r="GE96" s="644"/>
      <c r="GF96" s="5" t="s">
        <v>504</v>
      </c>
      <c r="GG96" s="644"/>
      <c r="GH96" s="13" t="s">
        <v>2008</v>
      </c>
      <c r="GI96" s="644"/>
      <c r="GJ96" s="811" t="s">
        <v>465</v>
      </c>
      <c r="GK96" s="644"/>
      <c r="GL96" s="13"/>
      <c r="GM96" s="644"/>
      <c r="GN96" s="13"/>
      <c r="GO96" s="644"/>
      <c r="GP96" s="13"/>
      <c r="GQ96" s="644"/>
      <c r="GR96" s="13"/>
      <c r="GS96" s="644"/>
      <c r="GT96" s="5" t="s">
        <v>2088</v>
      </c>
      <c r="GU96" s="644"/>
      <c r="GV96" s="13"/>
      <c r="GW96" s="644"/>
      <c r="GX96" s="13"/>
      <c r="GY96" s="644"/>
      <c r="GZ96" s="13"/>
      <c r="HA96" s="644"/>
      <c r="HB96" s="13"/>
      <c r="HC96" s="644"/>
      <c r="HD96" s="13"/>
      <c r="HE96" s="644"/>
      <c r="HF96" s="13"/>
      <c r="HG96" s="644"/>
      <c r="HH96" s="13" t="s">
        <v>465</v>
      </c>
      <c r="HI96" s="644"/>
      <c r="HJ96" s="644"/>
      <c r="HK96" s="644"/>
      <c r="HL96" s="13"/>
      <c r="HM96" s="644"/>
      <c r="HN96" s="13" t="s">
        <v>465</v>
      </c>
      <c r="HO96" s="644"/>
      <c r="HP96" s="13"/>
      <c r="HQ96" s="644"/>
      <c r="HR96" s="13"/>
      <c r="HS96" s="644"/>
      <c r="HT96" s="734" t="s">
        <v>702</v>
      </c>
      <c r="HU96" s="644"/>
      <c r="HV96" s="13"/>
      <c r="HW96" s="644"/>
      <c r="HX96" s="13"/>
      <c r="HY96" s="644"/>
      <c r="HZ96" s="13"/>
      <c r="IA96" s="644"/>
      <c r="IB96" s="644"/>
      <c r="IC96" s="644"/>
      <c r="ID96" s="13"/>
      <c r="IE96" s="644"/>
      <c r="IF96" s="13"/>
      <c r="IG96" s="738"/>
      <c r="IH96" s="13" t="s">
        <v>1329</v>
      </c>
      <c r="II96" s="644"/>
      <c r="IJ96" s="644"/>
      <c r="IK96" s="644"/>
      <c r="IL96" s="711" t="s">
        <v>465</v>
      </c>
      <c r="IM96" s="644"/>
      <c r="IN96" s="712" t="s">
        <v>465</v>
      </c>
      <c r="IO96" s="644"/>
      <c r="IP96" s="13"/>
      <c r="IQ96" s="644"/>
      <c r="IR96" s="13"/>
      <c r="IS96" s="644"/>
      <c r="IT96" s="13" t="s">
        <v>701</v>
      </c>
      <c r="IU96" s="644"/>
      <c r="IV96" s="13" t="s">
        <v>504</v>
      </c>
      <c r="IW96" s="644"/>
      <c r="IX96" s="710" t="s">
        <v>1104</v>
      </c>
      <c r="IY96" s="644"/>
      <c r="IZ96" s="13" t="s">
        <v>504</v>
      </c>
      <c r="JA96" s="644"/>
      <c r="JB96" s="13"/>
      <c r="JC96" s="644"/>
      <c r="JD96" s="13" t="s">
        <v>465</v>
      </c>
      <c r="JE96" s="644"/>
      <c r="JF96" s="644"/>
      <c r="JG96" s="644"/>
      <c r="JH96" s="13"/>
      <c r="JI96" s="644"/>
      <c r="JJ96" s="644"/>
      <c r="JK96" s="644"/>
      <c r="JL96" s="644"/>
      <c r="JM96" s="644"/>
      <c r="JN96" s="13" t="s">
        <v>504</v>
      </c>
      <c r="JO96" s="644"/>
      <c r="JP96" s="644"/>
      <c r="JQ96" s="644"/>
      <c r="JR96" s="713" t="s">
        <v>1052</v>
      </c>
      <c r="JS96" s="644"/>
      <c r="JT96" s="13" t="s">
        <v>465</v>
      </c>
      <c r="JU96" s="644"/>
      <c r="JV96" s="13"/>
      <c r="JW96" s="644"/>
      <c r="JX96" s="13" t="s">
        <v>718</v>
      </c>
      <c r="JY96" s="644"/>
    </row>
    <row r="97" spans="1:285" ht="26.25" thickBot="1" x14ac:dyDescent="0.25">
      <c r="A97" s="1565"/>
      <c r="B97" s="1567"/>
      <c r="C97" s="1546"/>
      <c r="D97" s="1549"/>
      <c r="E97" s="755" t="s">
        <v>174</v>
      </c>
      <c r="F97" s="13"/>
      <c r="G97" s="738"/>
      <c r="H97" s="13" t="s">
        <v>465</v>
      </c>
      <c r="I97" s="644"/>
      <c r="J97" s="13" t="s">
        <v>465</v>
      </c>
      <c r="K97" s="644"/>
      <c r="L97" s="9" t="s">
        <v>465</v>
      </c>
      <c r="M97" s="644"/>
      <c r="N97" s="808" t="s">
        <v>465</v>
      </c>
      <c r="O97" s="644"/>
      <c r="P97" s="709" t="s">
        <v>465</v>
      </c>
      <c r="Q97" s="644"/>
      <c r="R97" s="13"/>
      <c r="S97" s="644"/>
      <c r="T97" s="644"/>
      <c r="U97" s="644"/>
      <c r="V97" s="644"/>
      <c r="W97" s="644"/>
      <c r="X97" s="644"/>
      <c r="Y97" s="644"/>
      <c r="Z97" s="13" t="s">
        <v>465</v>
      </c>
      <c r="AA97" s="644"/>
      <c r="AB97" s="703" t="s">
        <v>465</v>
      </c>
      <c r="AC97" s="644"/>
      <c r="AD97" s="5" t="s">
        <v>465</v>
      </c>
      <c r="AE97" s="644"/>
      <c r="AF97" s="644"/>
      <c r="AG97" s="644"/>
      <c r="AH97" s="644"/>
      <c r="AI97" s="644"/>
      <c r="AJ97" s="709"/>
      <c r="AK97" s="644"/>
      <c r="AL97" s="13"/>
      <c r="AM97" s="644"/>
      <c r="AN97" s="13"/>
      <c r="AO97" s="644"/>
      <c r="AP97" s="13"/>
      <c r="AQ97" s="644"/>
      <c r="AR97" s="13"/>
      <c r="AS97" s="644"/>
      <c r="AT97" s="13"/>
      <c r="AU97" s="644"/>
      <c r="AV97" s="808"/>
      <c r="AW97" s="644"/>
      <c r="AX97" s="13"/>
      <c r="AY97" s="644"/>
      <c r="AZ97" s="13"/>
      <c r="BA97" s="644"/>
      <c r="BB97" s="644"/>
      <c r="BC97" s="644"/>
      <c r="BD97" s="5"/>
      <c r="BE97" s="644"/>
      <c r="BF97" s="13"/>
      <c r="BG97" s="644"/>
      <c r="BH97" s="644"/>
      <c r="BI97" s="644"/>
      <c r="BJ97" s="13"/>
      <c r="BK97" s="644"/>
      <c r="BL97" s="13"/>
      <c r="BM97" s="644"/>
      <c r="BN97" s="13"/>
      <c r="BO97" s="644"/>
      <c r="BP97" s="13"/>
      <c r="BQ97" s="644"/>
      <c r="BR97" s="13"/>
      <c r="BS97" s="644"/>
      <c r="BT97" s="13"/>
      <c r="BU97" s="644"/>
      <c r="BV97" s="13"/>
      <c r="BW97" s="644"/>
      <c r="BX97" s="710"/>
      <c r="BY97" s="644"/>
      <c r="BZ97" s="710"/>
      <c r="CA97" s="644"/>
      <c r="CB97" s="13"/>
      <c r="CC97" s="644"/>
      <c r="CD97" s="644"/>
      <c r="CE97" s="644"/>
      <c r="CF97" s="644"/>
      <c r="CG97" s="644"/>
      <c r="CH97" s="710" t="s">
        <v>465</v>
      </c>
      <c r="CI97" s="13"/>
      <c r="CJ97" s="13" t="s">
        <v>465</v>
      </c>
      <c r="CK97" s="13"/>
      <c r="CL97" s="13" t="s">
        <v>504</v>
      </c>
      <c r="CM97" s="644"/>
      <c r="CN97" s="13"/>
      <c r="CO97" s="644"/>
      <c r="CP97" s="13"/>
      <c r="CQ97" s="644"/>
      <c r="CR97" s="13"/>
      <c r="CS97" s="644"/>
      <c r="CT97" s="13"/>
      <c r="CU97" s="644"/>
      <c r="CV97" s="13" t="s">
        <v>465</v>
      </c>
      <c r="CW97" s="644"/>
      <c r="CX97" s="13" t="s">
        <v>465</v>
      </c>
      <c r="CY97" s="644"/>
      <c r="CZ97" s="13" t="s">
        <v>465</v>
      </c>
      <c r="DA97" s="644"/>
      <c r="DB97" s="13" t="s">
        <v>465</v>
      </c>
      <c r="DC97" s="644"/>
      <c r="DD97" s="703" t="s">
        <v>465</v>
      </c>
      <c r="DE97" s="644"/>
      <c r="DF97" s="644"/>
      <c r="DG97" s="644"/>
      <c r="DH97" s="13"/>
      <c r="DI97" s="644"/>
      <c r="DJ97" s="809"/>
      <c r="DK97" s="644"/>
      <c r="DL97" s="644"/>
      <c r="DM97" s="644"/>
      <c r="DN97" s="13"/>
      <c r="DO97" s="644"/>
      <c r="DP97" s="644"/>
      <c r="DQ97" s="644"/>
      <c r="DR97" s="644"/>
      <c r="DS97" s="644"/>
      <c r="DT97" s="644"/>
      <c r="DU97" s="644"/>
      <c r="DV97" s="13">
        <v>55</v>
      </c>
      <c r="DW97" s="644"/>
      <c r="DX97" s="13" t="s">
        <v>465</v>
      </c>
      <c r="DY97" s="644"/>
      <c r="DZ97" s="703" t="s">
        <v>465</v>
      </c>
      <c r="EA97" s="644"/>
      <c r="EB97" s="644"/>
      <c r="EC97" s="644"/>
      <c r="ED97" s="644"/>
      <c r="EE97" s="644"/>
      <c r="EF97" s="13" t="s">
        <v>504</v>
      </c>
      <c r="EG97" s="644"/>
      <c r="EH97" s="810" t="s">
        <v>806</v>
      </c>
      <c r="EI97" s="644"/>
      <c r="EJ97" s="644"/>
      <c r="EK97" s="644"/>
      <c r="EL97" s="644"/>
      <c r="EM97" s="644"/>
      <c r="EN97" s="13"/>
      <c r="EO97" s="644"/>
      <c r="EP97" s="13" t="s">
        <v>504</v>
      </c>
      <c r="EQ97" s="644"/>
      <c r="ER97" s="644"/>
      <c r="ES97" s="644"/>
      <c r="ET97" s="13" t="s">
        <v>465</v>
      </c>
      <c r="EU97" s="644"/>
      <c r="EV97" s="13" t="s">
        <v>465</v>
      </c>
      <c r="EW97" s="644"/>
      <c r="EX97" s="13"/>
      <c r="EY97" s="644"/>
      <c r="EZ97" s="13"/>
      <c r="FA97" s="644"/>
      <c r="FB97" s="13"/>
      <c r="FC97" s="644"/>
      <c r="FD97" s="13" t="s">
        <v>465</v>
      </c>
      <c r="FE97" s="644"/>
      <c r="FF97" s="13" t="s">
        <v>465</v>
      </c>
      <c r="FG97" s="644"/>
      <c r="FH97" s="13"/>
      <c r="FI97" s="644"/>
      <c r="FJ97" s="13"/>
      <c r="FK97" s="644"/>
      <c r="FL97" s="811">
        <v>0</v>
      </c>
      <c r="FM97" s="644"/>
      <c r="FN97" s="13"/>
      <c r="FO97" s="644"/>
      <c r="FP97" s="13"/>
      <c r="FQ97" s="644"/>
      <c r="FR97" s="644"/>
      <c r="FS97" s="644"/>
      <c r="FT97" s="644"/>
      <c r="FU97" s="644"/>
      <c r="FV97" s="644"/>
      <c r="FW97" s="644"/>
      <c r="FX97" s="13" t="s">
        <v>465</v>
      </c>
      <c r="FY97" s="644"/>
      <c r="FZ97" s="644"/>
      <c r="GA97" s="644"/>
      <c r="GB97" s="13"/>
      <c r="GC97" s="644"/>
      <c r="GD97" s="13" t="s">
        <v>2499</v>
      </c>
      <c r="GE97" s="644"/>
      <c r="GF97" s="703" t="s">
        <v>504</v>
      </c>
      <c r="GG97" s="644"/>
      <c r="GH97" s="13">
        <v>0</v>
      </c>
      <c r="GI97" s="644"/>
      <c r="GJ97" s="811" t="s">
        <v>465</v>
      </c>
      <c r="GK97" s="644"/>
      <c r="GL97" s="13"/>
      <c r="GM97" s="644"/>
      <c r="GN97" s="13"/>
      <c r="GO97" s="644"/>
      <c r="GP97" s="13"/>
      <c r="GQ97" s="644"/>
      <c r="GR97" s="13"/>
      <c r="GS97" s="644"/>
      <c r="GT97" s="703" t="s">
        <v>2089</v>
      </c>
      <c r="GU97" s="644"/>
      <c r="GV97" s="13"/>
      <c r="GW97" s="644"/>
      <c r="GX97" s="13"/>
      <c r="GY97" s="644"/>
      <c r="GZ97" s="13"/>
      <c r="HA97" s="644"/>
      <c r="HB97" s="13"/>
      <c r="HC97" s="644"/>
      <c r="HD97" s="13"/>
      <c r="HE97" s="644"/>
      <c r="HF97" s="13"/>
      <c r="HG97" s="644"/>
      <c r="HH97" s="13" t="s">
        <v>465</v>
      </c>
      <c r="HI97" s="644"/>
      <c r="HJ97" s="644"/>
      <c r="HK97" s="644"/>
      <c r="HL97" s="13"/>
      <c r="HM97" s="644"/>
      <c r="HN97" s="13" t="s">
        <v>465</v>
      </c>
      <c r="HO97" s="644"/>
      <c r="HP97" s="13"/>
      <c r="HQ97" s="644"/>
      <c r="HR97" s="13"/>
      <c r="HS97" s="644"/>
      <c r="HT97" s="734" t="s">
        <v>702</v>
      </c>
      <c r="HU97" s="644"/>
      <c r="HV97" s="13"/>
      <c r="HW97" s="644"/>
      <c r="HX97" s="13"/>
      <c r="HY97" s="644"/>
      <c r="HZ97" s="13"/>
      <c r="IA97" s="644"/>
      <c r="IB97" s="644"/>
      <c r="IC97" s="644"/>
      <c r="ID97" s="13"/>
      <c r="IE97" s="644"/>
      <c r="IF97" s="13"/>
      <c r="IG97" s="738"/>
      <c r="IH97" s="13">
        <v>438</v>
      </c>
      <c r="II97" s="644"/>
      <c r="IJ97" s="644"/>
      <c r="IK97" s="644"/>
      <c r="IL97" s="711" t="s">
        <v>465</v>
      </c>
      <c r="IM97" s="644"/>
      <c r="IN97" s="712" t="s">
        <v>465</v>
      </c>
      <c r="IO97" s="644"/>
      <c r="IP97" s="13"/>
      <c r="IQ97" s="644"/>
      <c r="IR97" s="13"/>
      <c r="IS97" s="644"/>
      <c r="IT97" s="13" t="s">
        <v>701</v>
      </c>
      <c r="IU97" s="644"/>
      <c r="IV97" s="13" t="s">
        <v>504</v>
      </c>
      <c r="IW97" s="644"/>
      <c r="IX97" s="710" t="s">
        <v>1104</v>
      </c>
      <c r="IY97" s="644"/>
      <c r="IZ97" s="13" t="s">
        <v>504</v>
      </c>
      <c r="JA97" s="644"/>
      <c r="JB97" s="13"/>
      <c r="JC97" s="644"/>
      <c r="JD97" s="13" t="s">
        <v>465</v>
      </c>
      <c r="JE97" s="644"/>
      <c r="JF97" s="644"/>
      <c r="JG97" s="644"/>
      <c r="JH97" s="13"/>
      <c r="JI97" s="644"/>
      <c r="JJ97" s="644"/>
      <c r="JK97" s="644"/>
      <c r="JL97" s="644"/>
      <c r="JM97" s="644"/>
      <c r="JN97" s="13">
        <v>0</v>
      </c>
      <c r="JO97" s="644"/>
      <c r="JP97" s="644"/>
      <c r="JQ97" s="644"/>
      <c r="JR97" s="713">
        <v>13106</v>
      </c>
      <c r="JS97" s="644"/>
      <c r="JT97" s="13" t="s">
        <v>465</v>
      </c>
      <c r="JU97" s="644"/>
      <c r="JV97" s="13"/>
      <c r="JW97" s="644"/>
      <c r="JX97" s="13">
        <v>1789</v>
      </c>
      <c r="JY97" s="644"/>
    </row>
    <row r="98" spans="1:285" ht="26.25" customHeight="1" x14ac:dyDescent="0.2">
      <c r="A98" s="1565"/>
      <c r="B98" s="1567"/>
      <c r="C98" s="1550" t="s">
        <v>63</v>
      </c>
      <c r="D98" s="1552" t="s">
        <v>178</v>
      </c>
      <c r="E98" s="755" t="s">
        <v>171</v>
      </c>
      <c r="F98" s="9" t="s">
        <v>504</v>
      </c>
      <c r="G98" s="823"/>
      <c r="H98" s="9" t="s">
        <v>504</v>
      </c>
      <c r="I98" s="644"/>
      <c r="J98" s="9" t="s">
        <v>504</v>
      </c>
      <c r="K98" s="644"/>
      <c r="L98" s="9" t="s">
        <v>465</v>
      </c>
      <c r="M98" s="644"/>
      <c r="N98" s="757" t="s">
        <v>479</v>
      </c>
      <c r="O98" s="644"/>
      <c r="P98" s="84" t="s">
        <v>504</v>
      </c>
      <c r="Q98" s="644"/>
      <c r="R98" s="9"/>
      <c r="S98" s="644"/>
      <c r="T98" s="644"/>
      <c r="U98" s="644"/>
      <c r="V98" s="644"/>
      <c r="W98" s="644"/>
      <c r="X98" s="644"/>
      <c r="Y98" s="644"/>
      <c r="Z98" s="9" t="s">
        <v>479</v>
      </c>
      <c r="AA98" s="644"/>
      <c r="AB98" s="5" t="s">
        <v>2307</v>
      </c>
      <c r="AC98" s="644"/>
      <c r="AD98" s="5" t="s">
        <v>479</v>
      </c>
      <c r="AE98" s="644"/>
      <c r="AF98" s="644"/>
      <c r="AG98" s="644"/>
      <c r="AH98" s="644"/>
      <c r="AI98" s="644"/>
      <c r="AJ98" s="84" t="s">
        <v>504</v>
      </c>
      <c r="AK98" s="644"/>
      <c r="AL98" s="9"/>
      <c r="AM98" s="644"/>
      <c r="AN98" s="9"/>
      <c r="AO98" s="644"/>
      <c r="AP98" s="9" t="s">
        <v>479</v>
      </c>
      <c r="AQ98" s="644"/>
      <c r="AR98" s="9"/>
      <c r="AS98" s="644"/>
      <c r="AT98" s="9"/>
      <c r="AU98" s="644"/>
      <c r="AV98" s="757"/>
      <c r="AW98" s="644"/>
      <c r="AX98" s="9" t="s">
        <v>504</v>
      </c>
      <c r="AY98" s="644"/>
      <c r="AZ98" s="9" t="s">
        <v>504</v>
      </c>
      <c r="BA98" s="644"/>
      <c r="BB98" s="644"/>
      <c r="BC98" s="644"/>
      <c r="BD98" s="5"/>
      <c r="BE98" s="644"/>
      <c r="BF98" s="9" t="s">
        <v>500</v>
      </c>
      <c r="BG98" s="644"/>
      <c r="BH98" s="644"/>
      <c r="BI98" s="644"/>
      <c r="BJ98" s="9" t="s">
        <v>504</v>
      </c>
      <c r="BK98" s="644"/>
      <c r="BL98" s="9" t="s">
        <v>504</v>
      </c>
      <c r="BM98" s="644"/>
      <c r="BN98" s="9" t="s">
        <v>504</v>
      </c>
      <c r="BO98" s="644"/>
      <c r="BP98" s="632" t="s">
        <v>500</v>
      </c>
      <c r="BQ98" s="644"/>
      <c r="BR98" s="9" t="s">
        <v>504</v>
      </c>
      <c r="BS98" s="644"/>
      <c r="BT98" s="9"/>
      <c r="BU98" s="644"/>
      <c r="BV98" s="9" t="s">
        <v>500</v>
      </c>
      <c r="BW98" s="644"/>
      <c r="BX98" s="632" t="s">
        <v>504</v>
      </c>
      <c r="BY98" s="644"/>
      <c r="BZ98" s="632" t="s">
        <v>504</v>
      </c>
      <c r="CA98" s="644"/>
      <c r="CB98" s="9" t="s">
        <v>500</v>
      </c>
      <c r="CC98" s="644"/>
      <c r="CD98" s="644"/>
      <c r="CE98" s="644"/>
      <c r="CF98" s="644"/>
      <c r="CG98" s="644"/>
      <c r="CH98" s="632" t="s">
        <v>504</v>
      </c>
      <c r="CI98" s="9"/>
      <c r="CJ98" s="9" t="s">
        <v>504</v>
      </c>
      <c r="CK98" s="9"/>
      <c r="CL98" s="9" t="s">
        <v>504</v>
      </c>
      <c r="CM98" s="644"/>
      <c r="CN98" s="9"/>
      <c r="CO98" s="644"/>
      <c r="CP98" s="9" t="s">
        <v>504</v>
      </c>
      <c r="CQ98" s="644"/>
      <c r="CR98" s="9" t="s">
        <v>504</v>
      </c>
      <c r="CS98" s="644"/>
      <c r="CT98" s="9" t="s">
        <v>479</v>
      </c>
      <c r="CU98" s="644"/>
      <c r="CV98" s="9" t="s">
        <v>504</v>
      </c>
      <c r="CW98" s="644"/>
      <c r="CX98" s="9" t="s">
        <v>504</v>
      </c>
      <c r="CY98" s="644"/>
      <c r="CZ98" s="9" t="s">
        <v>504</v>
      </c>
      <c r="DA98" s="644"/>
      <c r="DB98" s="9" t="s">
        <v>504</v>
      </c>
      <c r="DC98" s="644"/>
      <c r="DD98" s="5" t="s">
        <v>504</v>
      </c>
      <c r="DE98" s="644"/>
      <c r="DF98" s="644"/>
      <c r="DG98" s="644"/>
      <c r="DH98" s="9"/>
      <c r="DI98" s="644"/>
      <c r="DJ98" s="758" t="s">
        <v>504</v>
      </c>
      <c r="DK98" s="644"/>
      <c r="DL98" s="644"/>
      <c r="DM98" s="644"/>
      <c r="DN98" s="9" t="s">
        <v>504</v>
      </c>
      <c r="DO98" s="644"/>
      <c r="DP98" s="644"/>
      <c r="DQ98" s="644"/>
      <c r="DR98" s="644"/>
      <c r="DS98" s="644"/>
      <c r="DT98" s="644"/>
      <c r="DU98" s="644"/>
      <c r="DV98" s="9" t="s">
        <v>905</v>
      </c>
      <c r="DW98" s="644"/>
      <c r="DX98" s="9" t="s">
        <v>905</v>
      </c>
      <c r="DY98" s="644"/>
      <c r="DZ98" s="5" t="s">
        <v>504</v>
      </c>
      <c r="EA98" s="644"/>
      <c r="EB98" s="644"/>
      <c r="EC98" s="644"/>
      <c r="ED98" s="644"/>
      <c r="EE98" s="644"/>
      <c r="EF98" s="9" t="s">
        <v>504</v>
      </c>
      <c r="EG98" s="644"/>
      <c r="EH98" s="759" t="s">
        <v>806</v>
      </c>
      <c r="EI98" s="644"/>
      <c r="EJ98" s="644"/>
      <c r="EK98" s="644"/>
      <c r="EL98" s="644"/>
      <c r="EM98" s="644"/>
      <c r="EN98" s="9" t="s">
        <v>504</v>
      </c>
      <c r="EO98" s="644"/>
      <c r="EP98" s="9" t="s">
        <v>504</v>
      </c>
      <c r="EQ98" s="644"/>
      <c r="ER98" s="644"/>
      <c r="ES98" s="644"/>
      <c r="ET98" s="9" t="s">
        <v>504</v>
      </c>
      <c r="EU98" s="644"/>
      <c r="EV98" s="9" t="s">
        <v>504</v>
      </c>
      <c r="EW98" s="644"/>
      <c r="EX98" s="9" t="s">
        <v>504</v>
      </c>
      <c r="EY98" s="644"/>
      <c r="EZ98" s="9" t="s">
        <v>504</v>
      </c>
      <c r="FA98" s="644"/>
      <c r="FB98" s="9" t="s">
        <v>504</v>
      </c>
      <c r="FC98" s="644"/>
      <c r="FD98" s="9" t="s">
        <v>500</v>
      </c>
      <c r="FE98" s="644"/>
      <c r="FF98" s="9" t="s">
        <v>504</v>
      </c>
      <c r="FG98" s="644"/>
      <c r="FH98" s="9" t="s">
        <v>504</v>
      </c>
      <c r="FI98" s="644"/>
      <c r="FJ98" s="9"/>
      <c r="FK98" s="644"/>
      <c r="FL98" s="811" t="s">
        <v>504</v>
      </c>
      <c r="FM98" s="644"/>
      <c r="FN98" s="9" t="s">
        <v>504</v>
      </c>
      <c r="FO98" s="644"/>
      <c r="FP98" s="13" t="s">
        <v>504</v>
      </c>
      <c r="FQ98" s="644"/>
      <c r="FR98" s="644"/>
      <c r="FS98" s="644"/>
      <c r="FT98" s="644"/>
      <c r="FU98" s="644"/>
      <c r="FV98" s="644"/>
      <c r="FW98" s="644"/>
      <c r="FX98" s="5" t="s">
        <v>504</v>
      </c>
      <c r="FY98" s="644"/>
      <c r="FZ98" s="644"/>
      <c r="GA98" s="644"/>
      <c r="GB98" s="9" t="s">
        <v>504</v>
      </c>
      <c r="GC98" s="644"/>
      <c r="GD98" s="13" t="s">
        <v>2499</v>
      </c>
      <c r="GE98" s="644"/>
      <c r="GF98" s="5" t="s">
        <v>504</v>
      </c>
      <c r="GG98" s="644"/>
      <c r="GH98" s="9" t="s">
        <v>504</v>
      </c>
      <c r="GI98" s="644"/>
      <c r="GJ98" s="780" t="s">
        <v>500</v>
      </c>
      <c r="GK98" s="644"/>
      <c r="GL98" s="9" t="s">
        <v>504</v>
      </c>
      <c r="GM98" s="644"/>
      <c r="GN98" s="9" t="s">
        <v>504</v>
      </c>
      <c r="GO98" s="644"/>
      <c r="GP98" s="9" t="s">
        <v>504</v>
      </c>
      <c r="GQ98" s="644"/>
      <c r="GR98" s="9"/>
      <c r="GS98" s="644"/>
      <c r="GT98" s="5" t="s">
        <v>471</v>
      </c>
      <c r="GU98" s="644"/>
      <c r="GV98" s="9" t="s">
        <v>504</v>
      </c>
      <c r="GW98" s="644"/>
      <c r="GX98" s="9" t="s">
        <v>504</v>
      </c>
      <c r="GY98" s="644"/>
      <c r="GZ98" s="9" t="s">
        <v>500</v>
      </c>
      <c r="HA98" s="644"/>
      <c r="HB98" s="9" t="s">
        <v>504</v>
      </c>
      <c r="HC98" s="644"/>
      <c r="HD98" s="9" t="s">
        <v>1834</v>
      </c>
      <c r="HE98" s="644"/>
      <c r="HF98" s="9"/>
      <c r="HG98" s="644"/>
      <c r="HH98" s="9" t="s">
        <v>504</v>
      </c>
      <c r="HI98" s="644"/>
      <c r="HJ98" s="644"/>
      <c r="HK98" s="644"/>
      <c r="HL98" s="9" t="s">
        <v>504</v>
      </c>
      <c r="HM98" s="644"/>
      <c r="HN98" s="13" t="s">
        <v>465</v>
      </c>
      <c r="HO98" s="644"/>
      <c r="HP98" s="9" t="s">
        <v>504</v>
      </c>
      <c r="HQ98" s="644"/>
      <c r="HR98" s="9" t="s">
        <v>504</v>
      </c>
      <c r="HS98" s="644"/>
      <c r="HT98" s="633" t="s">
        <v>504</v>
      </c>
      <c r="HU98" s="644"/>
      <c r="HV98" s="9" t="s">
        <v>504</v>
      </c>
      <c r="HW98" s="644"/>
      <c r="HX98" s="9" t="s">
        <v>504</v>
      </c>
      <c r="HY98" s="644"/>
      <c r="HZ98" s="9" t="s">
        <v>504</v>
      </c>
      <c r="IA98" s="644"/>
      <c r="IB98" s="644"/>
      <c r="IC98" s="644"/>
      <c r="ID98" s="9" t="s">
        <v>504</v>
      </c>
      <c r="IE98" s="644"/>
      <c r="IF98" s="9" t="s">
        <v>504</v>
      </c>
      <c r="IG98" s="823"/>
      <c r="IH98" s="9" t="s">
        <v>504</v>
      </c>
      <c r="II98" s="644"/>
      <c r="IJ98" s="644"/>
      <c r="IK98" s="644"/>
      <c r="IL98" s="633" t="s">
        <v>504</v>
      </c>
      <c r="IM98" s="644"/>
      <c r="IN98" s="634" t="s">
        <v>504</v>
      </c>
      <c r="IO98" s="644"/>
      <c r="IP98" s="9" t="s">
        <v>504</v>
      </c>
      <c r="IQ98" s="644"/>
      <c r="IR98" s="9" t="s">
        <v>504</v>
      </c>
      <c r="IS98" s="644"/>
      <c r="IT98" s="9" t="s">
        <v>504</v>
      </c>
      <c r="IU98" s="644"/>
      <c r="IV98" s="13" t="s">
        <v>504</v>
      </c>
      <c r="IW98" s="644"/>
      <c r="IX98" s="632" t="s">
        <v>504</v>
      </c>
      <c r="IY98" s="644"/>
      <c r="IZ98" s="9" t="s">
        <v>504</v>
      </c>
      <c r="JA98" s="644"/>
      <c r="JB98" s="9"/>
      <c r="JC98" s="644"/>
      <c r="JD98" s="9" t="s">
        <v>479</v>
      </c>
      <c r="JE98" s="644"/>
      <c r="JF98" s="644"/>
      <c r="JG98" s="644"/>
      <c r="JH98" s="9" t="s">
        <v>500</v>
      </c>
      <c r="JI98" s="644"/>
      <c r="JJ98" s="644"/>
      <c r="JK98" s="644"/>
      <c r="JL98" s="644"/>
      <c r="JM98" s="644"/>
      <c r="JN98" s="9" t="s">
        <v>504</v>
      </c>
      <c r="JO98" s="644"/>
      <c r="JP98" s="644"/>
      <c r="JQ98" s="644"/>
      <c r="JR98" s="20" t="s">
        <v>500</v>
      </c>
      <c r="JS98" s="644"/>
      <c r="JT98" s="9" t="s">
        <v>504</v>
      </c>
      <c r="JU98" s="644"/>
      <c r="JV98" s="9"/>
      <c r="JW98" s="644"/>
      <c r="JX98" s="9" t="s">
        <v>504</v>
      </c>
      <c r="JY98" s="644"/>
    </row>
    <row r="99" spans="1:285" ht="165.75" x14ac:dyDescent="0.2">
      <c r="A99" s="1565"/>
      <c r="B99" s="1567"/>
      <c r="C99" s="1550"/>
      <c r="D99" s="1552"/>
      <c r="E99" s="755" t="s">
        <v>172</v>
      </c>
      <c r="F99" s="9"/>
      <c r="G99" s="823"/>
      <c r="H99" s="9" t="s">
        <v>465</v>
      </c>
      <c r="I99" s="644"/>
      <c r="J99" s="9" t="s">
        <v>465</v>
      </c>
      <c r="K99" s="644"/>
      <c r="L99" s="9" t="s">
        <v>465</v>
      </c>
      <c r="M99" s="644"/>
      <c r="N99" s="757" t="s">
        <v>465</v>
      </c>
      <c r="O99" s="644"/>
      <c r="P99" s="84" t="s">
        <v>465</v>
      </c>
      <c r="Q99" s="644"/>
      <c r="R99" s="9"/>
      <c r="S99" s="644"/>
      <c r="T99" s="644"/>
      <c r="U99" s="644"/>
      <c r="V99" s="644"/>
      <c r="W99" s="644"/>
      <c r="X99" s="644"/>
      <c r="Y99" s="644"/>
      <c r="Z99" s="9" t="s">
        <v>465</v>
      </c>
      <c r="AA99" s="644"/>
      <c r="AB99" s="5" t="s">
        <v>465</v>
      </c>
      <c r="AC99" s="644"/>
      <c r="AD99" s="5" t="s">
        <v>465</v>
      </c>
      <c r="AE99" s="644"/>
      <c r="AF99" s="644"/>
      <c r="AG99" s="644"/>
      <c r="AH99" s="644"/>
      <c r="AI99" s="644"/>
      <c r="AJ99" s="84"/>
      <c r="AK99" s="644"/>
      <c r="AL99" s="9"/>
      <c r="AM99" s="644"/>
      <c r="AN99" s="9"/>
      <c r="AO99" s="644"/>
      <c r="AP99" s="9"/>
      <c r="AQ99" s="644"/>
      <c r="AR99" s="9"/>
      <c r="AS99" s="644"/>
      <c r="AT99" s="9"/>
      <c r="AU99" s="644"/>
      <c r="AV99" s="757"/>
      <c r="AW99" s="644"/>
      <c r="AX99" s="9"/>
      <c r="AY99" s="644"/>
      <c r="AZ99" s="9"/>
      <c r="BA99" s="644"/>
      <c r="BB99" s="644"/>
      <c r="BC99" s="644"/>
      <c r="BD99" s="5"/>
      <c r="BE99" s="644"/>
      <c r="BF99" s="9" t="s">
        <v>2394</v>
      </c>
      <c r="BG99" s="644"/>
      <c r="BH99" s="644"/>
      <c r="BI99" s="644"/>
      <c r="BJ99" s="9"/>
      <c r="BK99" s="644"/>
      <c r="BL99" s="9"/>
      <c r="BM99" s="644"/>
      <c r="BN99" s="9"/>
      <c r="BO99" s="644"/>
      <c r="BP99" s="632"/>
      <c r="BQ99" s="644"/>
      <c r="BR99" s="9"/>
      <c r="BS99" s="644"/>
      <c r="BT99" s="9"/>
      <c r="BU99" s="644"/>
      <c r="BV99" s="9" t="s">
        <v>950</v>
      </c>
      <c r="BW99" s="644"/>
      <c r="BX99" s="632"/>
      <c r="BY99" s="644"/>
      <c r="BZ99" s="632"/>
      <c r="CA99" s="644"/>
      <c r="CB99" s="822" t="s">
        <v>911</v>
      </c>
      <c r="CC99" s="644"/>
      <c r="CD99" s="644"/>
      <c r="CE99" s="644"/>
      <c r="CF99" s="644"/>
      <c r="CG99" s="644"/>
      <c r="CH99" s="632" t="s">
        <v>465</v>
      </c>
      <c r="CI99" s="9"/>
      <c r="CJ99" s="9" t="s">
        <v>465</v>
      </c>
      <c r="CK99" s="9"/>
      <c r="CL99" s="9" t="s">
        <v>504</v>
      </c>
      <c r="CM99" s="644"/>
      <c r="CN99" s="9"/>
      <c r="CO99" s="644"/>
      <c r="CP99" s="9"/>
      <c r="CQ99" s="644"/>
      <c r="CR99" s="9"/>
      <c r="CS99" s="644"/>
      <c r="CT99" s="9"/>
      <c r="CU99" s="644"/>
      <c r="CV99" s="9" t="s">
        <v>465</v>
      </c>
      <c r="CW99" s="644"/>
      <c r="CX99" s="9" t="s">
        <v>465</v>
      </c>
      <c r="CY99" s="644"/>
      <c r="CZ99" s="9" t="s">
        <v>465</v>
      </c>
      <c r="DA99" s="644"/>
      <c r="DB99" s="9"/>
      <c r="DC99" s="644"/>
      <c r="DD99" s="5" t="s">
        <v>465</v>
      </c>
      <c r="DE99" s="644"/>
      <c r="DF99" s="644"/>
      <c r="DG99" s="644"/>
      <c r="DH99" s="9"/>
      <c r="DI99" s="644"/>
      <c r="DJ99" s="758"/>
      <c r="DK99" s="644"/>
      <c r="DL99" s="644"/>
      <c r="DM99" s="644"/>
      <c r="DN99" s="9"/>
      <c r="DO99" s="644"/>
      <c r="DP99" s="644"/>
      <c r="DQ99" s="644"/>
      <c r="DR99" s="644"/>
      <c r="DS99" s="644"/>
      <c r="DT99" s="644"/>
      <c r="DU99" s="644"/>
      <c r="DV99" s="9" t="s">
        <v>465</v>
      </c>
      <c r="DW99" s="644"/>
      <c r="DX99" s="9" t="s">
        <v>465</v>
      </c>
      <c r="DY99" s="644"/>
      <c r="DZ99" s="5" t="s">
        <v>465</v>
      </c>
      <c r="EA99" s="644"/>
      <c r="EB99" s="644"/>
      <c r="EC99" s="644"/>
      <c r="ED99" s="644"/>
      <c r="EE99" s="644"/>
      <c r="EF99" s="9" t="s">
        <v>504</v>
      </c>
      <c r="EG99" s="644"/>
      <c r="EH99" s="759" t="s">
        <v>806</v>
      </c>
      <c r="EI99" s="644"/>
      <c r="EJ99" s="644"/>
      <c r="EK99" s="644"/>
      <c r="EL99" s="644"/>
      <c r="EM99" s="644"/>
      <c r="EN99" s="9"/>
      <c r="EO99" s="644"/>
      <c r="EP99" s="9" t="s">
        <v>504</v>
      </c>
      <c r="EQ99" s="644"/>
      <c r="ER99" s="644"/>
      <c r="ES99" s="644"/>
      <c r="ET99" s="9" t="s">
        <v>465</v>
      </c>
      <c r="EU99" s="644"/>
      <c r="EV99" s="9" t="s">
        <v>465</v>
      </c>
      <c r="EW99" s="644"/>
      <c r="EX99" s="9"/>
      <c r="EY99" s="644"/>
      <c r="EZ99" s="9"/>
      <c r="FA99" s="644"/>
      <c r="FB99" s="9"/>
      <c r="FC99" s="644"/>
      <c r="FD99" s="5" t="s">
        <v>1527</v>
      </c>
      <c r="FE99" s="644"/>
      <c r="FF99" s="9" t="s">
        <v>465</v>
      </c>
      <c r="FG99" s="644"/>
      <c r="FH99" s="9"/>
      <c r="FI99" s="644"/>
      <c r="FJ99" s="9"/>
      <c r="FK99" s="644"/>
      <c r="FL99" s="811" t="s">
        <v>504</v>
      </c>
      <c r="FM99" s="644"/>
      <c r="FN99" s="9"/>
      <c r="FO99" s="644"/>
      <c r="FP99" s="9"/>
      <c r="FQ99" s="644"/>
      <c r="FR99" s="644"/>
      <c r="FS99" s="644"/>
      <c r="FT99" s="644"/>
      <c r="FU99" s="644"/>
      <c r="FV99" s="644"/>
      <c r="FW99" s="644"/>
      <c r="FX99" s="5" t="s">
        <v>465</v>
      </c>
      <c r="FY99" s="644"/>
      <c r="FZ99" s="644"/>
      <c r="GA99" s="644"/>
      <c r="GB99" s="9"/>
      <c r="GC99" s="644"/>
      <c r="GD99" s="13" t="s">
        <v>2499</v>
      </c>
      <c r="GE99" s="644"/>
      <c r="GF99" s="5" t="s">
        <v>504</v>
      </c>
      <c r="GG99" s="644"/>
      <c r="GH99" s="9" t="s">
        <v>2008</v>
      </c>
      <c r="GI99" s="644"/>
      <c r="GJ99" s="780" t="s">
        <v>1685</v>
      </c>
      <c r="GK99" s="644"/>
      <c r="GL99" s="9"/>
      <c r="GM99" s="644"/>
      <c r="GN99" s="9"/>
      <c r="GO99" s="644"/>
      <c r="GP99" s="9"/>
      <c r="GQ99" s="644"/>
      <c r="GR99" s="9"/>
      <c r="GS99" s="644"/>
      <c r="GT99" s="5" t="s">
        <v>2088</v>
      </c>
      <c r="GU99" s="644"/>
      <c r="GV99" s="9"/>
      <c r="GW99" s="644"/>
      <c r="GX99" s="9"/>
      <c r="GY99" s="644"/>
      <c r="GZ99" s="9"/>
      <c r="HA99" s="644"/>
      <c r="HB99" s="9"/>
      <c r="HC99" s="644"/>
      <c r="HD99" s="9" t="s">
        <v>1835</v>
      </c>
      <c r="HE99" s="644"/>
      <c r="HF99" s="9"/>
      <c r="HG99" s="644"/>
      <c r="HH99" s="9" t="s">
        <v>465</v>
      </c>
      <c r="HI99" s="644"/>
      <c r="HJ99" s="644"/>
      <c r="HK99" s="644"/>
      <c r="HL99" s="9"/>
      <c r="HM99" s="644"/>
      <c r="HN99" s="13" t="s">
        <v>465</v>
      </c>
      <c r="HO99" s="644"/>
      <c r="HP99" s="9"/>
      <c r="HQ99" s="644"/>
      <c r="HR99" s="9"/>
      <c r="HS99" s="644"/>
      <c r="HT99" s="656" t="s">
        <v>702</v>
      </c>
      <c r="HU99" s="644"/>
      <c r="HV99" s="9"/>
      <c r="HW99" s="644"/>
      <c r="HX99" s="9"/>
      <c r="HY99" s="644"/>
      <c r="HZ99" s="9"/>
      <c r="IA99" s="644"/>
      <c r="IB99" s="644"/>
      <c r="IC99" s="644"/>
      <c r="ID99" s="9"/>
      <c r="IE99" s="644"/>
      <c r="IF99" s="9"/>
      <c r="IG99" s="823"/>
      <c r="IH99" s="9"/>
      <c r="II99" s="644"/>
      <c r="IJ99" s="644"/>
      <c r="IK99" s="644"/>
      <c r="IL99" s="633" t="s">
        <v>465</v>
      </c>
      <c r="IM99" s="644"/>
      <c r="IN99" s="634" t="s">
        <v>465</v>
      </c>
      <c r="IO99" s="644"/>
      <c r="IP99" s="9"/>
      <c r="IQ99" s="644"/>
      <c r="IR99" s="9"/>
      <c r="IS99" s="644"/>
      <c r="IT99" s="13" t="s">
        <v>701</v>
      </c>
      <c r="IU99" s="644"/>
      <c r="IV99" s="13" t="s">
        <v>504</v>
      </c>
      <c r="IW99" s="644"/>
      <c r="IX99" s="632" t="s">
        <v>1104</v>
      </c>
      <c r="IY99" s="644"/>
      <c r="IZ99" s="9" t="s">
        <v>504</v>
      </c>
      <c r="JA99" s="644"/>
      <c r="JB99" s="9"/>
      <c r="JC99" s="644"/>
      <c r="JD99" s="9" t="s">
        <v>465</v>
      </c>
      <c r="JE99" s="644"/>
      <c r="JF99" s="644"/>
      <c r="JG99" s="644"/>
      <c r="JH99" s="9" t="s">
        <v>809</v>
      </c>
      <c r="JI99" s="644"/>
      <c r="JJ99" s="644"/>
      <c r="JK99" s="644"/>
      <c r="JL99" s="644"/>
      <c r="JM99" s="644"/>
      <c r="JN99" s="9" t="s">
        <v>504</v>
      </c>
      <c r="JO99" s="644"/>
      <c r="JP99" s="644"/>
      <c r="JQ99" s="644"/>
      <c r="JR99" s="20" t="s">
        <v>1053</v>
      </c>
      <c r="JS99" s="644"/>
      <c r="JT99" s="9" t="s">
        <v>465</v>
      </c>
      <c r="JU99" s="644"/>
      <c r="JV99" s="9"/>
      <c r="JW99" s="644"/>
      <c r="JX99" s="9" t="s">
        <v>702</v>
      </c>
      <c r="JY99" s="644"/>
    </row>
    <row r="100" spans="1:285" ht="26.25" thickBot="1" x14ac:dyDescent="0.25">
      <c r="A100" s="1565"/>
      <c r="B100" s="1567"/>
      <c r="C100" s="1551"/>
      <c r="D100" s="1560"/>
      <c r="E100" s="755" t="s">
        <v>174</v>
      </c>
      <c r="F100" s="13"/>
      <c r="G100" s="823"/>
      <c r="H100" s="13" t="s">
        <v>465</v>
      </c>
      <c r="I100" s="644"/>
      <c r="J100" s="13" t="s">
        <v>465</v>
      </c>
      <c r="K100" s="644"/>
      <c r="L100" s="9" t="s">
        <v>465</v>
      </c>
      <c r="M100" s="644"/>
      <c r="N100" s="808" t="s">
        <v>465</v>
      </c>
      <c r="O100" s="644"/>
      <c r="P100" s="709" t="s">
        <v>465</v>
      </c>
      <c r="Q100" s="644"/>
      <c r="R100" s="13"/>
      <c r="S100" s="644"/>
      <c r="T100" s="644"/>
      <c r="U100" s="644"/>
      <c r="V100" s="644"/>
      <c r="W100" s="644"/>
      <c r="X100" s="644"/>
      <c r="Y100" s="644"/>
      <c r="Z100" s="13" t="s">
        <v>465</v>
      </c>
      <c r="AA100" s="644"/>
      <c r="AB100" s="703" t="s">
        <v>465</v>
      </c>
      <c r="AC100" s="644"/>
      <c r="AD100" s="5" t="s">
        <v>465</v>
      </c>
      <c r="AE100" s="644"/>
      <c r="AF100" s="644"/>
      <c r="AG100" s="644"/>
      <c r="AH100" s="644"/>
      <c r="AI100" s="644"/>
      <c r="AJ100" s="709"/>
      <c r="AK100" s="644"/>
      <c r="AL100" s="13"/>
      <c r="AM100" s="644"/>
      <c r="AN100" s="13"/>
      <c r="AO100" s="644"/>
      <c r="AP100" s="13"/>
      <c r="AQ100" s="644"/>
      <c r="AR100" s="13"/>
      <c r="AS100" s="644"/>
      <c r="AT100" s="13"/>
      <c r="AU100" s="644"/>
      <c r="AV100" s="808"/>
      <c r="AW100" s="644"/>
      <c r="AX100" s="13"/>
      <c r="AY100" s="644"/>
      <c r="AZ100" s="13"/>
      <c r="BA100" s="644"/>
      <c r="BB100" s="644"/>
      <c r="BC100" s="644"/>
      <c r="BD100" s="5"/>
      <c r="BE100" s="644"/>
      <c r="BF100" s="13">
        <v>3901</v>
      </c>
      <c r="BG100" s="644"/>
      <c r="BH100" s="644"/>
      <c r="BI100" s="644"/>
      <c r="BJ100" s="13"/>
      <c r="BK100" s="644"/>
      <c r="BL100" s="13"/>
      <c r="BM100" s="644"/>
      <c r="BN100" s="13"/>
      <c r="BO100" s="644"/>
      <c r="BP100" s="710"/>
      <c r="BQ100" s="644"/>
      <c r="BR100" s="13"/>
      <c r="BS100" s="644"/>
      <c r="BT100" s="13"/>
      <c r="BU100" s="644"/>
      <c r="BV100" s="13">
        <v>1124</v>
      </c>
      <c r="BW100" s="644"/>
      <c r="BX100" s="710"/>
      <c r="BY100" s="644"/>
      <c r="BZ100" s="710"/>
      <c r="CA100" s="644"/>
      <c r="CB100" s="13"/>
      <c r="CC100" s="644"/>
      <c r="CD100" s="644"/>
      <c r="CE100" s="644"/>
      <c r="CF100" s="644"/>
      <c r="CG100" s="644"/>
      <c r="CH100" s="710" t="s">
        <v>465</v>
      </c>
      <c r="CI100" s="13"/>
      <c r="CJ100" s="13" t="s">
        <v>465</v>
      </c>
      <c r="CK100" s="13"/>
      <c r="CL100" s="13" t="s">
        <v>504</v>
      </c>
      <c r="CM100" s="644"/>
      <c r="CN100" s="13"/>
      <c r="CO100" s="644"/>
      <c r="CP100" s="13"/>
      <c r="CQ100" s="644"/>
      <c r="CR100" s="13"/>
      <c r="CS100" s="644"/>
      <c r="CT100" s="13"/>
      <c r="CU100" s="644"/>
      <c r="CV100" s="13" t="s">
        <v>465</v>
      </c>
      <c r="CW100" s="644"/>
      <c r="CX100" s="13" t="s">
        <v>465</v>
      </c>
      <c r="CY100" s="644"/>
      <c r="CZ100" s="13" t="s">
        <v>465</v>
      </c>
      <c r="DA100" s="644"/>
      <c r="DB100" s="13"/>
      <c r="DC100" s="644"/>
      <c r="DD100" s="703" t="s">
        <v>465</v>
      </c>
      <c r="DE100" s="644"/>
      <c r="DF100" s="644"/>
      <c r="DG100" s="644"/>
      <c r="DH100" s="13"/>
      <c r="DI100" s="644"/>
      <c r="DJ100" s="809"/>
      <c r="DK100" s="644"/>
      <c r="DL100" s="644"/>
      <c r="DM100" s="644"/>
      <c r="DN100" s="13"/>
      <c r="DO100" s="644"/>
      <c r="DP100" s="644"/>
      <c r="DQ100" s="644"/>
      <c r="DR100" s="644"/>
      <c r="DS100" s="644"/>
      <c r="DT100" s="644"/>
      <c r="DU100" s="644"/>
      <c r="DV100" s="13" t="s">
        <v>465</v>
      </c>
      <c r="DW100" s="644"/>
      <c r="DX100" s="13" t="s">
        <v>465</v>
      </c>
      <c r="DY100" s="644"/>
      <c r="DZ100" s="703" t="s">
        <v>465</v>
      </c>
      <c r="EA100" s="644"/>
      <c r="EB100" s="644"/>
      <c r="EC100" s="644"/>
      <c r="ED100" s="644"/>
      <c r="EE100" s="644"/>
      <c r="EF100" s="13" t="s">
        <v>504</v>
      </c>
      <c r="EG100" s="644"/>
      <c r="EH100" s="810" t="s">
        <v>806</v>
      </c>
      <c r="EI100" s="644"/>
      <c r="EJ100" s="644"/>
      <c r="EK100" s="644"/>
      <c r="EL100" s="644"/>
      <c r="EM100" s="644"/>
      <c r="EN100" s="13"/>
      <c r="EO100" s="644"/>
      <c r="EP100" s="13" t="s">
        <v>504</v>
      </c>
      <c r="EQ100" s="644"/>
      <c r="ER100" s="644"/>
      <c r="ES100" s="644"/>
      <c r="ET100" s="13" t="s">
        <v>465</v>
      </c>
      <c r="EU100" s="644"/>
      <c r="EV100" s="13" t="s">
        <v>465</v>
      </c>
      <c r="EW100" s="644"/>
      <c r="EX100" s="13"/>
      <c r="EY100" s="644"/>
      <c r="EZ100" s="13"/>
      <c r="FA100" s="644"/>
      <c r="FB100" s="13"/>
      <c r="FC100" s="644"/>
      <c r="FD100" s="13">
        <v>95</v>
      </c>
      <c r="FE100" s="644"/>
      <c r="FF100" s="13" t="s">
        <v>465</v>
      </c>
      <c r="FG100" s="644"/>
      <c r="FH100" s="13"/>
      <c r="FI100" s="644"/>
      <c r="FJ100" s="13"/>
      <c r="FK100" s="644"/>
      <c r="FL100" s="811">
        <v>0</v>
      </c>
      <c r="FM100" s="644"/>
      <c r="FN100" s="13"/>
      <c r="FO100" s="644"/>
      <c r="FP100" s="13"/>
      <c r="FQ100" s="644"/>
      <c r="FR100" s="644"/>
      <c r="FS100" s="644"/>
      <c r="FT100" s="644"/>
      <c r="FU100" s="644"/>
      <c r="FV100" s="644"/>
      <c r="FW100" s="644"/>
      <c r="FX100" s="703" t="s">
        <v>465</v>
      </c>
      <c r="FY100" s="644"/>
      <c r="FZ100" s="644"/>
      <c r="GA100" s="644"/>
      <c r="GB100" s="13"/>
      <c r="GC100" s="644"/>
      <c r="GD100" s="13" t="s">
        <v>2499</v>
      </c>
      <c r="GE100" s="644"/>
      <c r="GF100" s="703" t="s">
        <v>504</v>
      </c>
      <c r="GG100" s="644"/>
      <c r="GH100" s="13">
        <v>0</v>
      </c>
      <c r="GI100" s="644"/>
      <c r="GJ100" s="811" t="s">
        <v>465</v>
      </c>
      <c r="GK100" s="644"/>
      <c r="GL100" s="13"/>
      <c r="GM100" s="644"/>
      <c r="GN100" s="13"/>
      <c r="GO100" s="644"/>
      <c r="GP100" s="13"/>
      <c r="GQ100" s="644"/>
      <c r="GR100" s="13"/>
      <c r="GS100" s="644"/>
      <c r="GT100" s="703" t="s">
        <v>2089</v>
      </c>
      <c r="GU100" s="644"/>
      <c r="GV100" s="13"/>
      <c r="GW100" s="644"/>
      <c r="GX100" s="13"/>
      <c r="GY100" s="644"/>
      <c r="GZ100" s="13"/>
      <c r="HA100" s="644"/>
      <c r="HB100" s="13"/>
      <c r="HC100" s="644"/>
      <c r="HD100" s="13">
        <v>52702</v>
      </c>
      <c r="HE100" s="644"/>
      <c r="HF100" s="13"/>
      <c r="HG100" s="644"/>
      <c r="HH100" s="13" t="s">
        <v>465</v>
      </c>
      <c r="HI100" s="644"/>
      <c r="HJ100" s="644"/>
      <c r="HK100" s="644"/>
      <c r="HL100" s="13"/>
      <c r="HM100" s="644"/>
      <c r="HN100" s="13" t="s">
        <v>465</v>
      </c>
      <c r="HO100" s="644"/>
      <c r="HP100" s="13"/>
      <c r="HQ100" s="644"/>
      <c r="HR100" s="13"/>
      <c r="HS100" s="644"/>
      <c r="HT100" s="734" t="s">
        <v>702</v>
      </c>
      <c r="HU100" s="644"/>
      <c r="HV100" s="13"/>
      <c r="HW100" s="644"/>
      <c r="HX100" s="13"/>
      <c r="HY100" s="644"/>
      <c r="HZ100" s="13"/>
      <c r="IA100" s="644"/>
      <c r="IB100" s="644"/>
      <c r="IC100" s="644"/>
      <c r="ID100" s="13"/>
      <c r="IE100" s="644"/>
      <c r="IF100" s="13"/>
      <c r="IG100" s="823"/>
      <c r="IH100" s="13"/>
      <c r="II100" s="644"/>
      <c r="IJ100" s="644"/>
      <c r="IK100" s="644"/>
      <c r="IL100" s="711" t="s">
        <v>465</v>
      </c>
      <c r="IM100" s="644"/>
      <c r="IN100" s="712" t="s">
        <v>465</v>
      </c>
      <c r="IO100" s="644"/>
      <c r="IP100" s="13"/>
      <c r="IQ100" s="644"/>
      <c r="IR100" s="13"/>
      <c r="IS100" s="644"/>
      <c r="IT100" s="13" t="s">
        <v>701</v>
      </c>
      <c r="IU100" s="644"/>
      <c r="IV100" s="13" t="s">
        <v>504</v>
      </c>
      <c r="IW100" s="644"/>
      <c r="IX100" s="710" t="s">
        <v>1104</v>
      </c>
      <c r="IY100" s="644"/>
      <c r="IZ100" s="13" t="s">
        <v>504</v>
      </c>
      <c r="JA100" s="644"/>
      <c r="JB100" s="13"/>
      <c r="JC100" s="644"/>
      <c r="JD100" s="13" t="s">
        <v>465</v>
      </c>
      <c r="JE100" s="644"/>
      <c r="JF100" s="644"/>
      <c r="JG100" s="644"/>
      <c r="JH100" s="13">
        <v>0</v>
      </c>
      <c r="JI100" s="644"/>
      <c r="JJ100" s="644"/>
      <c r="JK100" s="644"/>
      <c r="JL100" s="644"/>
      <c r="JM100" s="644"/>
      <c r="JN100" s="13">
        <v>0</v>
      </c>
      <c r="JO100" s="644"/>
      <c r="JP100" s="644"/>
      <c r="JQ100" s="644"/>
      <c r="JR100" s="713">
        <v>3148</v>
      </c>
      <c r="JS100" s="644"/>
      <c r="JT100" s="13" t="s">
        <v>465</v>
      </c>
      <c r="JU100" s="644"/>
      <c r="JV100" s="13"/>
      <c r="JW100" s="644"/>
      <c r="JX100" s="13" t="s">
        <v>702</v>
      </c>
      <c r="JY100" s="644"/>
    </row>
    <row r="101" spans="1:285" ht="76.5" x14ac:dyDescent="0.2">
      <c r="A101" s="1565"/>
      <c r="B101" s="1567"/>
      <c r="C101" s="1544" t="s">
        <v>64</v>
      </c>
      <c r="D101" s="1547" t="s">
        <v>179</v>
      </c>
      <c r="E101" s="755" t="s">
        <v>171</v>
      </c>
      <c r="F101" s="9" t="s">
        <v>504</v>
      </c>
      <c r="G101" s="823"/>
      <c r="H101" s="9" t="s">
        <v>504</v>
      </c>
      <c r="I101" s="644"/>
      <c r="J101" s="9" t="s">
        <v>504</v>
      </c>
      <c r="K101" s="644"/>
      <c r="L101" s="9" t="s">
        <v>465</v>
      </c>
      <c r="M101" s="644"/>
      <c r="N101" s="757" t="s">
        <v>479</v>
      </c>
      <c r="O101" s="644"/>
      <c r="P101" s="84" t="s">
        <v>504</v>
      </c>
      <c r="Q101" s="644"/>
      <c r="R101" s="9"/>
      <c r="S101" s="644"/>
      <c r="T101" s="644"/>
      <c r="U101" s="644"/>
      <c r="V101" s="644"/>
      <c r="W101" s="644"/>
      <c r="X101" s="644"/>
      <c r="Y101" s="644"/>
      <c r="Z101" s="9" t="s">
        <v>2307</v>
      </c>
      <c r="AA101" s="644"/>
      <c r="AB101" s="5" t="s">
        <v>2307</v>
      </c>
      <c r="AC101" s="644"/>
      <c r="AD101" s="5" t="s">
        <v>479</v>
      </c>
      <c r="AE101" s="644"/>
      <c r="AF101" s="644"/>
      <c r="AG101" s="644"/>
      <c r="AH101" s="644"/>
      <c r="AI101" s="644"/>
      <c r="AJ101" s="84" t="s">
        <v>504</v>
      </c>
      <c r="AK101" s="644"/>
      <c r="AL101" s="9"/>
      <c r="AM101" s="644"/>
      <c r="AN101" s="9" t="s">
        <v>471</v>
      </c>
      <c r="AO101" s="644"/>
      <c r="AP101" s="9" t="s">
        <v>479</v>
      </c>
      <c r="AQ101" s="644"/>
      <c r="AR101" s="9"/>
      <c r="AS101" s="644"/>
      <c r="AT101" s="9"/>
      <c r="AU101" s="644"/>
      <c r="AV101" s="757"/>
      <c r="AW101" s="644"/>
      <c r="AX101" s="9" t="s">
        <v>504</v>
      </c>
      <c r="AY101" s="644"/>
      <c r="AZ101" s="9" t="s">
        <v>504</v>
      </c>
      <c r="BA101" s="644"/>
      <c r="BB101" s="644"/>
      <c r="BC101" s="644"/>
      <c r="BD101" s="5"/>
      <c r="BE101" s="644"/>
      <c r="BF101" s="9"/>
      <c r="BG101" s="644"/>
      <c r="BH101" s="644"/>
      <c r="BI101" s="644"/>
      <c r="BJ101" s="9" t="s">
        <v>504</v>
      </c>
      <c r="BK101" s="644"/>
      <c r="BL101" s="9" t="s">
        <v>504</v>
      </c>
      <c r="BM101" s="644"/>
      <c r="BN101" s="9" t="s">
        <v>504</v>
      </c>
      <c r="BO101" s="644"/>
      <c r="BP101" s="632" t="s">
        <v>500</v>
      </c>
      <c r="BQ101" s="644"/>
      <c r="BR101" s="9" t="s">
        <v>504</v>
      </c>
      <c r="BS101" s="644"/>
      <c r="BT101" s="9" t="s">
        <v>500</v>
      </c>
      <c r="BU101" s="644"/>
      <c r="BV101" s="9" t="s">
        <v>500</v>
      </c>
      <c r="BW101" s="644"/>
      <c r="BX101" s="632" t="s">
        <v>504</v>
      </c>
      <c r="BY101" s="644"/>
      <c r="BZ101" s="632" t="s">
        <v>504</v>
      </c>
      <c r="CA101" s="644"/>
      <c r="CB101" s="9" t="s">
        <v>500</v>
      </c>
      <c r="CC101" s="644"/>
      <c r="CD101" s="644"/>
      <c r="CE101" s="644"/>
      <c r="CF101" s="644"/>
      <c r="CG101" s="644"/>
      <c r="CH101" s="632" t="s">
        <v>500</v>
      </c>
      <c r="CI101" s="9"/>
      <c r="CJ101" s="9" t="s">
        <v>504</v>
      </c>
      <c r="CK101" s="9"/>
      <c r="CL101" s="9" t="s">
        <v>504</v>
      </c>
      <c r="CM101" s="644"/>
      <c r="CN101" s="9"/>
      <c r="CO101" s="644"/>
      <c r="CP101" s="9" t="s">
        <v>504</v>
      </c>
      <c r="CQ101" s="644"/>
      <c r="CR101" s="9" t="s">
        <v>500</v>
      </c>
      <c r="CS101" s="644"/>
      <c r="CT101" s="9" t="s">
        <v>479</v>
      </c>
      <c r="CU101" s="644"/>
      <c r="CV101" s="9" t="s">
        <v>504</v>
      </c>
      <c r="CW101" s="644"/>
      <c r="CX101" s="9" t="s">
        <v>504</v>
      </c>
      <c r="CY101" s="644"/>
      <c r="CZ101" s="9" t="s">
        <v>504</v>
      </c>
      <c r="DA101" s="644"/>
      <c r="DB101" s="9" t="s">
        <v>504</v>
      </c>
      <c r="DC101" s="644"/>
      <c r="DD101" s="5" t="s">
        <v>504</v>
      </c>
      <c r="DE101" s="644"/>
      <c r="DF101" s="644"/>
      <c r="DG101" s="644"/>
      <c r="DH101" s="9" t="s">
        <v>500</v>
      </c>
      <c r="DI101" s="644"/>
      <c r="DJ101" s="758" t="s">
        <v>504</v>
      </c>
      <c r="DK101" s="644"/>
      <c r="DL101" s="644"/>
      <c r="DM101" s="644"/>
      <c r="DN101" s="9" t="s">
        <v>504</v>
      </c>
      <c r="DO101" s="644"/>
      <c r="DP101" s="644"/>
      <c r="DQ101" s="644"/>
      <c r="DR101" s="644"/>
      <c r="DS101" s="644"/>
      <c r="DT101" s="644"/>
      <c r="DU101" s="644"/>
      <c r="DV101" s="9" t="s">
        <v>504</v>
      </c>
      <c r="DW101" s="644"/>
      <c r="DX101" s="9" t="s">
        <v>504</v>
      </c>
      <c r="DY101" s="644"/>
      <c r="DZ101" s="5" t="s">
        <v>504</v>
      </c>
      <c r="EA101" s="644"/>
      <c r="EB101" s="644"/>
      <c r="EC101" s="644"/>
      <c r="ED101" s="644"/>
      <c r="EE101" s="644"/>
      <c r="EF101" s="9" t="s">
        <v>504</v>
      </c>
      <c r="EG101" s="644"/>
      <c r="EH101" s="759" t="s">
        <v>500</v>
      </c>
      <c r="EI101" s="644"/>
      <c r="EJ101" s="644"/>
      <c r="EK101" s="644"/>
      <c r="EL101" s="644"/>
      <c r="EM101" s="644"/>
      <c r="EN101" s="9" t="s">
        <v>500</v>
      </c>
      <c r="EO101" s="644"/>
      <c r="EP101" s="9" t="s">
        <v>504</v>
      </c>
      <c r="EQ101" s="644"/>
      <c r="ER101" s="644"/>
      <c r="ES101" s="644"/>
      <c r="ET101" s="9" t="s">
        <v>504</v>
      </c>
      <c r="EU101" s="644"/>
      <c r="EV101" s="9" t="s">
        <v>504</v>
      </c>
      <c r="EW101" s="644"/>
      <c r="EX101" s="9" t="s">
        <v>504</v>
      </c>
      <c r="EY101" s="644"/>
      <c r="EZ101" s="9" t="s">
        <v>504</v>
      </c>
      <c r="FA101" s="644"/>
      <c r="FB101" s="9" t="s">
        <v>504</v>
      </c>
      <c r="FC101" s="644"/>
      <c r="FD101" s="9" t="s">
        <v>500</v>
      </c>
      <c r="FE101" s="644"/>
      <c r="FF101" s="9" t="s">
        <v>500</v>
      </c>
      <c r="FG101" s="644"/>
      <c r="FH101" s="9" t="s">
        <v>504</v>
      </c>
      <c r="FI101" s="644"/>
      <c r="FJ101" s="9"/>
      <c r="FK101" s="644"/>
      <c r="FL101" s="811" t="s">
        <v>500</v>
      </c>
      <c r="FM101" s="644"/>
      <c r="FN101" s="9" t="s">
        <v>504</v>
      </c>
      <c r="FO101" s="644"/>
      <c r="FP101" s="13" t="s">
        <v>504</v>
      </c>
      <c r="FQ101" s="644"/>
      <c r="FR101" s="644"/>
      <c r="FS101" s="644"/>
      <c r="FT101" s="644"/>
      <c r="FU101" s="644"/>
      <c r="FV101" s="644"/>
      <c r="FW101" s="644"/>
      <c r="FX101" s="5" t="s">
        <v>504</v>
      </c>
      <c r="FY101" s="644"/>
      <c r="FZ101" s="644"/>
      <c r="GA101" s="644"/>
      <c r="GB101" s="9" t="s">
        <v>504</v>
      </c>
      <c r="GC101" s="644"/>
      <c r="GD101" s="13" t="s">
        <v>2499</v>
      </c>
      <c r="GE101" s="644"/>
      <c r="GF101" s="5" t="s">
        <v>504</v>
      </c>
      <c r="GG101" s="644"/>
      <c r="GH101" s="9" t="s">
        <v>504</v>
      </c>
      <c r="GI101" s="644"/>
      <c r="GJ101" s="780" t="s">
        <v>500</v>
      </c>
      <c r="GK101" s="644"/>
      <c r="GL101" s="9" t="s">
        <v>504</v>
      </c>
      <c r="GM101" s="644"/>
      <c r="GN101" s="9" t="s">
        <v>500</v>
      </c>
      <c r="GO101" s="644"/>
      <c r="GP101" s="9" t="s">
        <v>504</v>
      </c>
      <c r="GQ101" s="644"/>
      <c r="GR101" s="9" t="s">
        <v>500</v>
      </c>
      <c r="GS101" s="644"/>
      <c r="GT101" s="5" t="s">
        <v>471</v>
      </c>
      <c r="GU101" s="644"/>
      <c r="GV101" s="9" t="s">
        <v>504</v>
      </c>
      <c r="GW101" s="644"/>
      <c r="GX101" s="9" t="s">
        <v>504</v>
      </c>
      <c r="GY101" s="644"/>
      <c r="GZ101" s="9" t="s">
        <v>504</v>
      </c>
      <c r="HA101" s="644"/>
      <c r="HB101" s="9" t="s">
        <v>500</v>
      </c>
      <c r="HC101" s="644"/>
      <c r="HD101" s="9" t="s">
        <v>1836</v>
      </c>
      <c r="HE101" s="644"/>
      <c r="HF101" s="9"/>
      <c r="HG101" s="644"/>
      <c r="HH101" s="9" t="s">
        <v>504</v>
      </c>
      <c r="HI101" s="644"/>
      <c r="HJ101" s="644"/>
      <c r="HK101" s="644"/>
      <c r="HL101" s="9" t="s">
        <v>504</v>
      </c>
      <c r="HM101" s="644"/>
      <c r="HN101" s="9" t="s">
        <v>500</v>
      </c>
      <c r="HO101" s="644"/>
      <c r="HP101" s="9" t="s">
        <v>504</v>
      </c>
      <c r="HQ101" s="644"/>
      <c r="HR101" s="9" t="s">
        <v>504</v>
      </c>
      <c r="HS101" s="644"/>
      <c r="HT101" s="633" t="s">
        <v>504</v>
      </c>
      <c r="HU101" s="644"/>
      <c r="HV101" s="9" t="s">
        <v>504</v>
      </c>
      <c r="HW101" s="644"/>
      <c r="HX101" s="9" t="s">
        <v>504</v>
      </c>
      <c r="HY101" s="644"/>
      <c r="HZ101" s="9" t="s">
        <v>504</v>
      </c>
      <c r="IA101" s="644"/>
      <c r="IB101" s="644"/>
      <c r="IC101" s="644"/>
      <c r="ID101" s="9" t="s">
        <v>504</v>
      </c>
      <c r="IE101" s="644"/>
      <c r="IF101" s="5" t="s">
        <v>500</v>
      </c>
      <c r="IG101" s="823"/>
      <c r="IH101" s="13" t="s">
        <v>500</v>
      </c>
      <c r="II101" s="644"/>
      <c r="IJ101" s="644"/>
      <c r="IK101" s="644"/>
      <c r="IL101" s="633" t="s">
        <v>504</v>
      </c>
      <c r="IM101" s="644"/>
      <c r="IN101" s="634" t="s">
        <v>504</v>
      </c>
      <c r="IO101" s="644"/>
      <c r="IP101" s="9" t="s">
        <v>504</v>
      </c>
      <c r="IQ101" s="644"/>
      <c r="IR101" s="9" t="s">
        <v>504</v>
      </c>
      <c r="IS101" s="644"/>
      <c r="IT101" s="9" t="s">
        <v>504</v>
      </c>
      <c r="IU101" s="644"/>
      <c r="IV101" s="13" t="s">
        <v>504</v>
      </c>
      <c r="IW101" s="644"/>
      <c r="IX101" s="632" t="s">
        <v>504</v>
      </c>
      <c r="IY101" s="644"/>
      <c r="IZ101" s="9" t="s">
        <v>504</v>
      </c>
      <c r="JA101" s="644"/>
      <c r="JB101" s="9"/>
      <c r="JC101" s="644"/>
      <c r="JD101" s="9" t="s">
        <v>479</v>
      </c>
      <c r="JE101" s="644"/>
      <c r="JF101" s="644"/>
      <c r="JG101" s="644"/>
      <c r="JH101" s="9" t="s">
        <v>500</v>
      </c>
      <c r="JI101" s="644"/>
      <c r="JJ101" s="644"/>
      <c r="JK101" s="644"/>
      <c r="JL101" s="644"/>
      <c r="JM101" s="644"/>
      <c r="JN101" s="9" t="s">
        <v>504</v>
      </c>
      <c r="JO101" s="644"/>
      <c r="JP101" s="644"/>
      <c r="JQ101" s="644"/>
      <c r="JR101" s="20" t="s">
        <v>504</v>
      </c>
      <c r="JS101" s="644"/>
      <c r="JT101" s="9" t="s">
        <v>500</v>
      </c>
      <c r="JU101" s="644"/>
      <c r="JV101" s="9"/>
      <c r="JW101" s="644"/>
      <c r="JX101" s="9" t="s">
        <v>504</v>
      </c>
      <c r="JY101" s="644"/>
    </row>
    <row r="102" spans="1:285" ht="216.75" x14ac:dyDescent="0.2">
      <c r="A102" s="1565"/>
      <c r="B102" s="1567"/>
      <c r="C102" s="1550"/>
      <c r="D102" s="1552"/>
      <c r="E102" s="755" t="s">
        <v>172</v>
      </c>
      <c r="F102" s="9"/>
      <c r="G102" s="823"/>
      <c r="H102" s="9" t="s">
        <v>465</v>
      </c>
      <c r="I102" s="644"/>
      <c r="J102" s="9" t="s">
        <v>465</v>
      </c>
      <c r="K102" s="644"/>
      <c r="L102" s="9" t="s">
        <v>465</v>
      </c>
      <c r="M102" s="644"/>
      <c r="N102" s="757" t="s">
        <v>465</v>
      </c>
      <c r="O102" s="644"/>
      <c r="P102" s="84" t="s">
        <v>465</v>
      </c>
      <c r="Q102" s="644"/>
      <c r="R102" s="9"/>
      <c r="S102" s="644"/>
      <c r="T102" s="644"/>
      <c r="U102" s="644"/>
      <c r="V102" s="644"/>
      <c r="W102" s="644"/>
      <c r="X102" s="644"/>
      <c r="Y102" s="644"/>
      <c r="Z102" s="9" t="s">
        <v>465</v>
      </c>
      <c r="AA102" s="644"/>
      <c r="AB102" s="5" t="s">
        <v>465</v>
      </c>
      <c r="AC102" s="644"/>
      <c r="AD102" s="5" t="s">
        <v>465</v>
      </c>
      <c r="AE102" s="644"/>
      <c r="AF102" s="644"/>
      <c r="AG102" s="644"/>
      <c r="AH102" s="644"/>
      <c r="AI102" s="644"/>
      <c r="AJ102" s="84"/>
      <c r="AK102" s="644"/>
      <c r="AL102" s="9"/>
      <c r="AM102" s="644"/>
      <c r="AN102" s="9" t="s">
        <v>982</v>
      </c>
      <c r="AO102" s="644"/>
      <c r="AP102" s="9"/>
      <c r="AQ102" s="644"/>
      <c r="AR102" s="9"/>
      <c r="AS102" s="644"/>
      <c r="AT102" s="9"/>
      <c r="AU102" s="644"/>
      <c r="AV102" s="757"/>
      <c r="AW102" s="644"/>
      <c r="AX102" s="9"/>
      <c r="AY102" s="644"/>
      <c r="AZ102" s="9"/>
      <c r="BA102" s="644"/>
      <c r="BB102" s="644"/>
      <c r="BC102" s="644"/>
      <c r="BD102" s="5" t="s">
        <v>2380</v>
      </c>
      <c r="BE102" s="644"/>
      <c r="BF102" s="9"/>
      <c r="BG102" s="644"/>
      <c r="BH102" s="644"/>
      <c r="BI102" s="644"/>
      <c r="BJ102" s="9"/>
      <c r="BK102" s="644"/>
      <c r="BL102" s="9"/>
      <c r="BM102" s="644"/>
      <c r="BN102" s="9"/>
      <c r="BO102" s="644"/>
      <c r="BP102" s="9"/>
      <c r="BQ102" s="644"/>
      <c r="BR102" s="9"/>
      <c r="BS102" s="644"/>
      <c r="BT102" s="9" t="s">
        <v>932</v>
      </c>
      <c r="BU102" s="644"/>
      <c r="BV102" s="23" t="s">
        <v>951</v>
      </c>
      <c r="BW102" s="644"/>
      <c r="BX102" s="632"/>
      <c r="BY102" s="644"/>
      <c r="BZ102" s="632"/>
      <c r="CA102" s="644"/>
      <c r="CB102" s="822" t="s">
        <v>911</v>
      </c>
      <c r="CC102" s="644"/>
      <c r="CD102" s="644"/>
      <c r="CE102" s="644"/>
      <c r="CF102" s="644"/>
      <c r="CG102" s="644"/>
      <c r="CH102" s="632" t="s">
        <v>2120</v>
      </c>
      <c r="CI102" s="9"/>
      <c r="CJ102" s="9" t="s">
        <v>465</v>
      </c>
      <c r="CK102" s="9"/>
      <c r="CL102" s="9" t="s">
        <v>504</v>
      </c>
      <c r="CM102" s="644"/>
      <c r="CN102" s="9"/>
      <c r="CO102" s="644"/>
      <c r="CP102" s="9"/>
      <c r="CQ102" s="644"/>
      <c r="CR102" s="9" t="s">
        <v>2455</v>
      </c>
      <c r="CS102" s="644"/>
      <c r="CT102" s="9"/>
      <c r="CU102" s="644"/>
      <c r="CV102" s="9" t="s">
        <v>465</v>
      </c>
      <c r="CW102" s="644"/>
      <c r="CX102" s="9" t="s">
        <v>465</v>
      </c>
      <c r="CY102" s="644"/>
      <c r="CZ102" s="9" t="s">
        <v>465</v>
      </c>
      <c r="DA102" s="644"/>
      <c r="DB102" s="9" t="s">
        <v>465</v>
      </c>
      <c r="DC102" s="644"/>
      <c r="DD102" s="5" t="s">
        <v>465</v>
      </c>
      <c r="DE102" s="644"/>
      <c r="DF102" s="644"/>
      <c r="DG102" s="644"/>
      <c r="DH102" s="9"/>
      <c r="DI102" s="644"/>
      <c r="DJ102" s="758"/>
      <c r="DK102" s="644"/>
      <c r="DL102" s="644"/>
      <c r="DM102" s="644"/>
      <c r="DN102" s="9"/>
      <c r="DO102" s="644"/>
      <c r="DP102" s="644"/>
      <c r="DQ102" s="644"/>
      <c r="DR102" s="644"/>
      <c r="DS102" s="644"/>
      <c r="DT102" s="644"/>
      <c r="DU102" s="644"/>
      <c r="DV102" s="9" t="s">
        <v>465</v>
      </c>
      <c r="DW102" s="644"/>
      <c r="DX102" s="9" t="s">
        <v>465</v>
      </c>
      <c r="DY102" s="644"/>
      <c r="DZ102" s="5" t="s">
        <v>465</v>
      </c>
      <c r="EA102" s="644"/>
      <c r="EB102" s="644"/>
      <c r="EC102" s="644"/>
      <c r="ED102" s="644"/>
      <c r="EE102" s="644"/>
      <c r="EF102" s="9" t="s">
        <v>504</v>
      </c>
      <c r="EG102" s="644"/>
      <c r="EH102" s="759" t="s">
        <v>806</v>
      </c>
      <c r="EI102" s="644"/>
      <c r="EJ102" s="644"/>
      <c r="EK102" s="644"/>
      <c r="EL102" s="644"/>
      <c r="EM102" s="644"/>
      <c r="EN102" s="9" t="s">
        <v>1436</v>
      </c>
      <c r="EO102" s="644"/>
      <c r="EP102" s="9" t="s">
        <v>504</v>
      </c>
      <c r="EQ102" s="644"/>
      <c r="ER102" s="644"/>
      <c r="ES102" s="644"/>
      <c r="ET102" s="9" t="s">
        <v>465</v>
      </c>
      <c r="EU102" s="644"/>
      <c r="EV102" s="9" t="s">
        <v>465</v>
      </c>
      <c r="EW102" s="644"/>
      <c r="EX102" s="9"/>
      <c r="EY102" s="644"/>
      <c r="EZ102" s="9"/>
      <c r="FA102" s="644"/>
      <c r="FB102" s="9"/>
      <c r="FC102" s="644"/>
      <c r="FD102" s="9" t="s">
        <v>1528</v>
      </c>
      <c r="FE102" s="644"/>
      <c r="FF102" s="9" t="s">
        <v>1552</v>
      </c>
      <c r="FG102" s="644"/>
      <c r="FH102" s="9"/>
      <c r="FI102" s="644"/>
      <c r="FJ102" s="9"/>
      <c r="FK102" s="644"/>
      <c r="FL102" s="760" t="s">
        <v>1604</v>
      </c>
      <c r="FM102" s="644"/>
      <c r="FN102" s="9"/>
      <c r="FO102" s="644"/>
      <c r="FP102" s="9"/>
      <c r="FQ102" s="644"/>
      <c r="FR102" s="644"/>
      <c r="FS102" s="644"/>
      <c r="FT102" s="644"/>
      <c r="FU102" s="644"/>
      <c r="FV102" s="644"/>
      <c r="FW102" s="644"/>
      <c r="FX102" s="5" t="s">
        <v>465</v>
      </c>
      <c r="FY102" s="644"/>
      <c r="FZ102" s="644"/>
      <c r="GA102" s="644"/>
      <c r="GB102" s="9"/>
      <c r="GC102" s="644"/>
      <c r="GD102" s="13" t="s">
        <v>2499</v>
      </c>
      <c r="GE102" s="644"/>
      <c r="GF102" s="5" t="s">
        <v>504</v>
      </c>
      <c r="GG102" s="644"/>
      <c r="GH102" s="9" t="s">
        <v>2008</v>
      </c>
      <c r="GI102" s="644"/>
      <c r="GJ102" s="780" t="s">
        <v>1686</v>
      </c>
      <c r="GK102" s="644"/>
      <c r="GL102" s="9"/>
      <c r="GM102" s="644"/>
      <c r="GN102" s="9" t="s">
        <v>1721</v>
      </c>
      <c r="GO102" s="644"/>
      <c r="GP102" s="9"/>
      <c r="GQ102" s="644"/>
      <c r="GR102" s="9" t="s">
        <v>1957</v>
      </c>
      <c r="GS102" s="644"/>
      <c r="GT102" s="5" t="s">
        <v>2090</v>
      </c>
      <c r="GU102" s="644"/>
      <c r="GV102" s="9"/>
      <c r="GW102" s="644"/>
      <c r="GX102" s="9"/>
      <c r="GY102" s="644"/>
      <c r="GZ102" s="9"/>
      <c r="HA102" s="644"/>
      <c r="HB102" s="9" t="s">
        <v>1807</v>
      </c>
      <c r="HC102" s="644"/>
      <c r="HD102" s="9" t="s">
        <v>1835</v>
      </c>
      <c r="HE102" s="644"/>
      <c r="HF102" s="9"/>
      <c r="HG102" s="644"/>
      <c r="HH102" s="9" t="s">
        <v>465</v>
      </c>
      <c r="HI102" s="644"/>
      <c r="HJ102" s="644"/>
      <c r="HK102" s="644"/>
      <c r="HL102" s="9"/>
      <c r="HM102" s="644"/>
      <c r="HN102" s="9" t="s">
        <v>1782</v>
      </c>
      <c r="HO102" s="644"/>
      <c r="HP102" s="9"/>
      <c r="HQ102" s="644"/>
      <c r="HR102" s="9"/>
      <c r="HS102" s="644"/>
      <c r="HT102" s="656" t="s">
        <v>702</v>
      </c>
      <c r="HU102" s="644"/>
      <c r="HV102" s="9"/>
      <c r="HW102" s="644"/>
      <c r="HX102" s="9"/>
      <c r="HY102" s="644"/>
      <c r="HZ102" s="9"/>
      <c r="IA102" s="644"/>
      <c r="IB102" s="644"/>
      <c r="IC102" s="644"/>
      <c r="ID102" s="9"/>
      <c r="IE102" s="644"/>
      <c r="IF102" s="5" t="s">
        <v>1260</v>
      </c>
      <c r="IG102" s="823"/>
      <c r="IH102" s="23" t="s">
        <v>1331</v>
      </c>
      <c r="II102" s="644"/>
      <c r="IJ102" s="644"/>
      <c r="IK102" s="644"/>
      <c r="IL102" s="633" t="s">
        <v>465</v>
      </c>
      <c r="IM102" s="644"/>
      <c r="IN102" s="634" t="s">
        <v>465</v>
      </c>
      <c r="IO102" s="644"/>
      <c r="IP102" s="9"/>
      <c r="IQ102" s="644"/>
      <c r="IR102" s="9"/>
      <c r="IS102" s="644"/>
      <c r="IT102" s="13" t="s">
        <v>701</v>
      </c>
      <c r="IU102" s="644"/>
      <c r="IV102" s="13" t="s">
        <v>504</v>
      </c>
      <c r="IW102" s="644"/>
      <c r="IX102" s="632" t="s">
        <v>1104</v>
      </c>
      <c r="IY102" s="644"/>
      <c r="IZ102" s="9" t="s">
        <v>504</v>
      </c>
      <c r="JA102" s="644"/>
      <c r="JB102" s="9"/>
      <c r="JC102" s="644"/>
      <c r="JD102" s="9" t="s">
        <v>465</v>
      </c>
      <c r="JE102" s="644"/>
      <c r="JF102" s="644"/>
      <c r="JG102" s="644"/>
      <c r="JH102" s="9" t="s">
        <v>809</v>
      </c>
      <c r="JI102" s="644"/>
      <c r="JJ102" s="644"/>
      <c r="JK102" s="644"/>
      <c r="JL102" s="644"/>
      <c r="JM102" s="644"/>
      <c r="JN102" s="9" t="s">
        <v>504</v>
      </c>
      <c r="JO102" s="644"/>
      <c r="JP102" s="644"/>
      <c r="JQ102" s="644"/>
      <c r="JR102" s="20"/>
      <c r="JS102" s="644"/>
      <c r="JT102" s="9" t="s">
        <v>1132</v>
      </c>
      <c r="JU102" s="644"/>
      <c r="JV102" s="9"/>
      <c r="JW102" s="644"/>
      <c r="JX102" s="9" t="s">
        <v>702</v>
      </c>
      <c r="JY102" s="644"/>
    </row>
    <row r="103" spans="1:285" ht="39" thickBot="1" x14ac:dyDescent="0.25">
      <c r="A103" s="1565"/>
      <c r="B103" s="1567"/>
      <c r="C103" s="1551"/>
      <c r="D103" s="1560"/>
      <c r="E103" s="755" t="s">
        <v>174</v>
      </c>
      <c r="F103" s="13"/>
      <c r="G103" s="823"/>
      <c r="H103" s="13" t="s">
        <v>465</v>
      </c>
      <c r="I103" s="644"/>
      <c r="J103" s="13" t="s">
        <v>465</v>
      </c>
      <c r="K103" s="644"/>
      <c r="L103" s="9" t="s">
        <v>465</v>
      </c>
      <c r="M103" s="644"/>
      <c r="N103" s="808" t="s">
        <v>465</v>
      </c>
      <c r="O103" s="644"/>
      <c r="P103" s="709" t="s">
        <v>465</v>
      </c>
      <c r="Q103" s="644"/>
      <c r="R103" s="13"/>
      <c r="S103" s="644"/>
      <c r="T103" s="644"/>
      <c r="U103" s="644"/>
      <c r="V103" s="644"/>
      <c r="W103" s="644"/>
      <c r="X103" s="644"/>
      <c r="Y103" s="644"/>
      <c r="Z103" s="13" t="s">
        <v>465</v>
      </c>
      <c r="AA103" s="644"/>
      <c r="AB103" s="703" t="s">
        <v>465</v>
      </c>
      <c r="AC103" s="644"/>
      <c r="AD103" s="5" t="s">
        <v>465</v>
      </c>
      <c r="AE103" s="644"/>
      <c r="AF103" s="644"/>
      <c r="AG103" s="644"/>
      <c r="AH103" s="644"/>
      <c r="AI103" s="644"/>
      <c r="AJ103" s="709"/>
      <c r="AK103" s="644"/>
      <c r="AL103" s="13"/>
      <c r="AM103" s="644"/>
      <c r="AN103" s="13">
        <v>20440</v>
      </c>
      <c r="AO103" s="644"/>
      <c r="AP103" s="13"/>
      <c r="AQ103" s="644"/>
      <c r="AR103" s="13"/>
      <c r="AS103" s="644"/>
      <c r="AT103" s="13"/>
      <c r="AU103" s="644"/>
      <c r="AV103" s="808"/>
      <c r="AW103" s="644"/>
      <c r="AX103" s="13"/>
      <c r="AY103" s="644"/>
      <c r="AZ103" s="13"/>
      <c r="BA103" s="644"/>
      <c r="BB103" s="644"/>
      <c r="BC103" s="644"/>
      <c r="BD103" s="5"/>
      <c r="BE103" s="644"/>
      <c r="BF103" s="13"/>
      <c r="BG103" s="644"/>
      <c r="BH103" s="644"/>
      <c r="BI103" s="644"/>
      <c r="BJ103" s="13"/>
      <c r="BK103" s="644"/>
      <c r="BL103" s="13"/>
      <c r="BM103" s="644"/>
      <c r="BN103" s="13"/>
      <c r="BO103" s="644"/>
      <c r="BP103" s="13"/>
      <c r="BQ103" s="644"/>
      <c r="BR103" s="13"/>
      <c r="BS103" s="644"/>
      <c r="BT103" s="13">
        <v>414</v>
      </c>
      <c r="BU103" s="644"/>
      <c r="BV103" s="13" t="s">
        <v>952</v>
      </c>
      <c r="BW103" s="644"/>
      <c r="BX103" s="710"/>
      <c r="BY103" s="644"/>
      <c r="BZ103" s="710"/>
      <c r="CA103" s="644"/>
      <c r="CB103" s="13"/>
      <c r="CC103" s="644"/>
      <c r="CD103" s="644"/>
      <c r="CE103" s="644"/>
      <c r="CF103" s="644"/>
      <c r="CG103" s="644"/>
      <c r="CH103" s="710">
        <v>1621</v>
      </c>
      <c r="CI103" s="13"/>
      <c r="CJ103" s="13" t="s">
        <v>465</v>
      </c>
      <c r="CK103" s="13"/>
      <c r="CL103" s="13" t="s">
        <v>504</v>
      </c>
      <c r="CM103" s="644"/>
      <c r="CN103" s="13"/>
      <c r="CO103" s="644"/>
      <c r="CP103" s="13"/>
      <c r="CQ103" s="644"/>
      <c r="CR103" s="13"/>
      <c r="CS103" s="644"/>
      <c r="CT103" s="13"/>
      <c r="CU103" s="644"/>
      <c r="CV103" s="13" t="s">
        <v>465</v>
      </c>
      <c r="CW103" s="644"/>
      <c r="CX103" s="13" t="s">
        <v>465</v>
      </c>
      <c r="CY103" s="644"/>
      <c r="CZ103" s="13" t="s">
        <v>465</v>
      </c>
      <c r="DA103" s="644"/>
      <c r="DB103" s="13" t="s">
        <v>465</v>
      </c>
      <c r="DC103" s="644"/>
      <c r="DD103" s="703" t="s">
        <v>465</v>
      </c>
      <c r="DE103" s="644"/>
      <c r="DF103" s="644"/>
      <c r="DG103" s="644"/>
      <c r="DH103" s="13"/>
      <c r="DI103" s="644"/>
      <c r="DJ103" s="809"/>
      <c r="DK103" s="644"/>
      <c r="DL103" s="644"/>
      <c r="DM103" s="644"/>
      <c r="DN103" s="13"/>
      <c r="DO103" s="644"/>
      <c r="DP103" s="644"/>
      <c r="DQ103" s="644"/>
      <c r="DR103" s="644"/>
      <c r="DS103" s="644"/>
      <c r="DT103" s="644"/>
      <c r="DU103" s="644"/>
      <c r="DV103" s="13" t="s">
        <v>465</v>
      </c>
      <c r="DW103" s="644"/>
      <c r="DX103" s="13" t="s">
        <v>465</v>
      </c>
      <c r="DY103" s="644"/>
      <c r="DZ103" s="703" t="s">
        <v>465</v>
      </c>
      <c r="EA103" s="644"/>
      <c r="EB103" s="644"/>
      <c r="EC103" s="644"/>
      <c r="ED103" s="644"/>
      <c r="EE103" s="644"/>
      <c r="EF103" s="13" t="s">
        <v>504</v>
      </c>
      <c r="EG103" s="644"/>
      <c r="EH103" s="810" t="s">
        <v>806</v>
      </c>
      <c r="EI103" s="644"/>
      <c r="EJ103" s="644"/>
      <c r="EK103" s="644"/>
      <c r="EL103" s="644"/>
      <c r="EM103" s="644"/>
      <c r="EN103" s="13">
        <v>648</v>
      </c>
      <c r="EO103" s="644"/>
      <c r="EP103" s="13" t="s">
        <v>504</v>
      </c>
      <c r="EQ103" s="644"/>
      <c r="ER103" s="644"/>
      <c r="ES103" s="644"/>
      <c r="ET103" s="13" t="s">
        <v>465</v>
      </c>
      <c r="EU103" s="644"/>
      <c r="EV103" s="13" t="s">
        <v>465</v>
      </c>
      <c r="EW103" s="644"/>
      <c r="EX103" s="13"/>
      <c r="EY103" s="644"/>
      <c r="EZ103" s="13"/>
      <c r="FA103" s="644"/>
      <c r="FB103" s="13"/>
      <c r="FC103" s="644"/>
      <c r="FD103" s="13">
        <v>0</v>
      </c>
      <c r="FE103" s="644"/>
      <c r="FF103" s="13">
        <v>8193</v>
      </c>
      <c r="FG103" s="644"/>
      <c r="FH103" s="13"/>
      <c r="FI103" s="644"/>
      <c r="FJ103" s="13"/>
      <c r="FK103" s="644"/>
      <c r="FL103" s="811">
        <v>700</v>
      </c>
      <c r="FM103" s="644"/>
      <c r="FN103" s="13"/>
      <c r="FO103" s="644"/>
      <c r="FP103" s="13"/>
      <c r="FQ103" s="644"/>
      <c r="FR103" s="644"/>
      <c r="FS103" s="644"/>
      <c r="FT103" s="644"/>
      <c r="FU103" s="644"/>
      <c r="FV103" s="644"/>
      <c r="FW103" s="644"/>
      <c r="FX103" s="703" t="s">
        <v>465</v>
      </c>
      <c r="FY103" s="644"/>
      <c r="FZ103" s="644"/>
      <c r="GA103" s="644"/>
      <c r="GB103" s="13"/>
      <c r="GC103" s="644"/>
      <c r="GD103" s="13" t="s">
        <v>2499</v>
      </c>
      <c r="GE103" s="644"/>
      <c r="GF103" s="703" t="s">
        <v>504</v>
      </c>
      <c r="GG103" s="644"/>
      <c r="GH103" s="13">
        <v>0</v>
      </c>
      <c r="GI103" s="644"/>
      <c r="GJ103" s="811">
        <v>5378</v>
      </c>
      <c r="GK103" s="644"/>
      <c r="GL103" s="13"/>
      <c r="GM103" s="644"/>
      <c r="GN103" s="14">
        <v>4430</v>
      </c>
      <c r="GO103" s="644"/>
      <c r="GP103" s="13"/>
      <c r="GQ103" s="644"/>
      <c r="GR103" s="13">
        <v>354</v>
      </c>
      <c r="GS103" s="644"/>
      <c r="GT103" s="703">
        <v>397</v>
      </c>
      <c r="GU103" s="644"/>
      <c r="GV103" s="13"/>
      <c r="GW103" s="644"/>
      <c r="GX103" s="13"/>
      <c r="GY103" s="644"/>
      <c r="GZ103" s="13"/>
      <c r="HA103" s="644"/>
      <c r="HB103" s="13"/>
      <c r="HC103" s="644"/>
      <c r="HD103" s="13">
        <v>261198</v>
      </c>
      <c r="HE103" s="644"/>
      <c r="HF103" s="13"/>
      <c r="HG103" s="644"/>
      <c r="HH103" s="13" t="s">
        <v>465</v>
      </c>
      <c r="HI103" s="644"/>
      <c r="HJ103" s="644"/>
      <c r="HK103" s="644"/>
      <c r="HL103" s="13"/>
      <c r="HM103" s="644"/>
      <c r="HN103" s="13">
        <v>294</v>
      </c>
      <c r="HO103" s="644"/>
      <c r="HP103" s="13"/>
      <c r="HQ103" s="644"/>
      <c r="HR103" s="13"/>
      <c r="HS103" s="644"/>
      <c r="HT103" s="734" t="s">
        <v>702</v>
      </c>
      <c r="HU103" s="644"/>
      <c r="HV103" s="13"/>
      <c r="HW103" s="644"/>
      <c r="HX103" s="13"/>
      <c r="HY103" s="644"/>
      <c r="HZ103" s="13"/>
      <c r="IA103" s="644"/>
      <c r="IB103" s="644"/>
      <c r="IC103" s="644"/>
      <c r="ID103" s="13"/>
      <c r="IE103" s="644"/>
      <c r="IF103" s="703">
        <v>836</v>
      </c>
      <c r="IG103" s="823"/>
      <c r="IH103" s="13">
        <v>1133</v>
      </c>
      <c r="II103" s="644"/>
      <c r="IJ103" s="644"/>
      <c r="IK103" s="644"/>
      <c r="IL103" s="711" t="s">
        <v>465</v>
      </c>
      <c r="IM103" s="644"/>
      <c r="IN103" s="712" t="s">
        <v>465</v>
      </c>
      <c r="IO103" s="644"/>
      <c r="IP103" s="13"/>
      <c r="IQ103" s="644"/>
      <c r="IR103" s="13"/>
      <c r="IS103" s="644"/>
      <c r="IT103" s="13" t="s">
        <v>701</v>
      </c>
      <c r="IU103" s="644"/>
      <c r="IV103" s="13" t="s">
        <v>504</v>
      </c>
      <c r="IW103" s="644"/>
      <c r="IX103" s="710" t="s">
        <v>1104</v>
      </c>
      <c r="IY103" s="644"/>
      <c r="IZ103" s="13" t="s">
        <v>504</v>
      </c>
      <c r="JA103" s="644"/>
      <c r="JB103" s="13"/>
      <c r="JC103" s="644"/>
      <c r="JD103" s="13" t="s">
        <v>465</v>
      </c>
      <c r="JE103" s="644"/>
      <c r="JF103" s="644"/>
      <c r="JG103" s="644"/>
      <c r="JH103" s="13" t="s">
        <v>806</v>
      </c>
      <c r="JI103" s="644"/>
      <c r="JJ103" s="644"/>
      <c r="JK103" s="644"/>
      <c r="JL103" s="644"/>
      <c r="JM103" s="644"/>
      <c r="JN103" s="13">
        <v>0</v>
      </c>
      <c r="JO103" s="644"/>
      <c r="JP103" s="644"/>
      <c r="JQ103" s="644"/>
      <c r="JR103" s="713"/>
      <c r="JS103" s="644"/>
      <c r="JT103" s="13">
        <v>36</v>
      </c>
      <c r="JU103" s="644"/>
      <c r="JV103" s="13"/>
      <c r="JW103" s="644"/>
      <c r="JX103" s="13" t="s">
        <v>702</v>
      </c>
      <c r="JY103" s="644"/>
    </row>
    <row r="104" spans="1:285" ht="25.5" x14ac:dyDescent="0.2">
      <c r="A104" s="1565"/>
      <c r="B104" s="1567"/>
      <c r="C104" s="1544" t="s">
        <v>237</v>
      </c>
      <c r="D104" s="1547" t="s">
        <v>280</v>
      </c>
      <c r="E104" s="755" t="s">
        <v>171</v>
      </c>
      <c r="F104" s="9" t="s">
        <v>500</v>
      </c>
      <c r="G104" s="823"/>
      <c r="H104" s="9" t="s">
        <v>504</v>
      </c>
      <c r="I104" s="644"/>
      <c r="J104" s="9" t="s">
        <v>504</v>
      </c>
      <c r="K104" s="644"/>
      <c r="L104" s="9" t="s">
        <v>465</v>
      </c>
      <c r="M104" s="644"/>
      <c r="N104" s="757" t="s">
        <v>479</v>
      </c>
      <c r="O104" s="644"/>
      <c r="P104" s="84" t="s">
        <v>504</v>
      </c>
      <c r="Q104" s="644"/>
      <c r="R104" s="9"/>
      <c r="S104" s="644"/>
      <c r="T104" s="644"/>
      <c r="U104" s="644"/>
      <c r="V104" s="644"/>
      <c r="W104" s="644"/>
      <c r="X104" s="644"/>
      <c r="Y104" s="644"/>
      <c r="Z104" s="9" t="s">
        <v>2307</v>
      </c>
      <c r="AA104" s="644"/>
      <c r="AB104" s="5" t="s">
        <v>2307</v>
      </c>
      <c r="AC104" s="644"/>
      <c r="AD104" s="5" t="s">
        <v>479</v>
      </c>
      <c r="AE104" s="644"/>
      <c r="AF104" s="644"/>
      <c r="AG104" s="644"/>
      <c r="AH104" s="644"/>
      <c r="AI104" s="644"/>
      <c r="AJ104" s="84" t="s">
        <v>504</v>
      </c>
      <c r="AK104" s="644"/>
      <c r="AL104" s="9"/>
      <c r="AM104" s="644"/>
      <c r="AN104" s="9"/>
      <c r="AO104" s="644"/>
      <c r="AP104" s="9" t="s">
        <v>479</v>
      </c>
      <c r="AQ104" s="644"/>
      <c r="AR104" s="9"/>
      <c r="AS104" s="644"/>
      <c r="AT104" s="9"/>
      <c r="AU104" s="644"/>
      <c r="AV104" s="757"/>
      <c r="AW104" s="644"/>
      <c r="AX104" s="9" t="s">
        <v>504</v>
      </c>
      <c r="AY104" s="644"/>
      <c r="AZ104" s="9" t="s">
        <v>504</v>
      </c>
      <c r="BA104" s="644"/>
      <c r="BB104" s="644"/>
      <c r="BC104" s="644"/>
      <c r="BD104" s="5" t="s">
        <v>504</v>
      </c>
      <c r="BE104" s="644"/>
      <c r="BF104" s="9"/>
      <c r="BG104" s="644"/>
      <c r="BH104" s="644"/>
      <c r="BI104" s="644"/>
      <c r="BJ104" s="9" t="s">
        <v>504</v>
      </c>
      <c r="BK104" s="644"/>
      <c r="BL104" s="9" t="s">
        <v>504</v>
      </c>
      <c r="BM104" s="644"/>
      <c r="BN104" s="9" t="s">
        <v>504</v>
      </c>
      <c r="BO104" s="644"/>
      <c r="BP104" s="9"/>
      <c r="BQ104" s="644"/>
      <c r="BR104" s="9" t="s">
        <v>504</v>
      </c>
      <c r="BS104" s="644"/>
      <c r="BT104" s="9" t="s">
        <v>500</v>
      </c>
      <c r="BU104" s="644"/>
      <c r="BV104" s="9" t="s">
        <v>504</v>
      </c>
      <c r="BW104" s="644"/>
      <c r="BX104" s="632" t="s">
        <v>504</v>
      </c>
      <c r="BY104" s="644"/>
      <c r="BZ104" s="632" t="s">
        <v>504</v>
      </c>
      <c r="CA104" s="644"/>
      <c r="CB104" s="9" t="s">
        <v>500</v>
      </c>
      <c r="CC104" s="644"/>
      <c r="CD104" s="644"/>
      <c r="CE104" s="644"/>
      <c r="CF104" s="644"/>
      <c r="CG104" s="644"/>
      <c r="CH104" s="632" t="s">
        <v>504</v>
      </c>
      <c r="CI104" s="9"/>
      <c r="CJ104" s="9" t="s">
        <v>504</v>
      </c>
      <c r="CK104" s="9"/>
      <c r="CL104" s="9" t="s">
        <v>504</v>
      </c>
      <c r="CM104" s="644"/>
      <c r="CN104" s="9"/>
      <c r="CO104" s="644"/>
      <c r="CP104" s="9" t="s">
        <v>504</v>
      </c>
      <c r="CQ104" s="644"/>
      <c r="CR104" s="9" t="s">
        <v>504</v>
      </c>
      <c r="CS104" s="644"/>
      <c r="CT104" s="9" t="s">
        <v>479</v>
      </c>
      <c r="CU104" s="644"/>
      <c r="CV104" s="9" t="s">
        <v>504</v>
      </c>
      <c r="CW104" s="644"/>
      <c r="CX104" s="9" t="s">
        <v>504</v>
      </c>
      <c r="CY104" s="644"/>
      <c r="CZ104" s="9" t="s">
        <v>504</v>
      </c>
      <c r="DA104" s="644"/>
      <c r="DB104" s="9" t="s">
        <v>504</v>
      </c>
      <c r="DC104" s="644"/>
      <c r="DD104" s="5" t="s">
        <v>504</v>
      </c>
      <c r="DE104" s="644"/>
      <c r="DF104" s="644"/>
      <c r="DG104" s="644"/>
      <c r="DH104" s="9"/>
      <c r="DI104" s="644"/>
      <c r="DJ104" s="758" t="s">
        <v>504</v>
      </c>
      <c r="DK104" s="644"/>
      <c r="DL104" s="644"/>
      <c r="DM104" s="644"/>
      <c r="DN104" s="9" t="s">
        <v>504</v>
      </c>
      <c r="DO104" s="644"/>
      <c r="DP104" s="644"/>
      <c r="DQ104" s="644"/>
      <c r="DR104" s="644"/>
      <c r="DS104" s="644"/>
      <c r="DT104" s="644"/>
      <c r="DU104" s="644"/>
      <c r="DV104" s="9" t="s">
        <v>504</v>
      </c>
      <c r="DW104" s="644"/>
      <c r="DX104" s="9" t="s">
        <v>504</v>
      </c>
      <c r="DY104" s="644"/>
      <c r="DZ104" s="5" t="s">
        <v>504</v>
      </c>
      <c r="EA104" s="644"/>
      <c r="EB104" s="644"/>
      <c r="EC104" s="644"/>
      <c r="ED104" s="644"/>
      <c r="EE104" s="644"/>
      <c r="EF104" s="9" t="s">
        <v>504</v>
      </c>
      <c r="EG104" s="644"/>
      <c r="EH104" s="759" t="s">
        <v>500</v>
      </c>
      <c r="EI104" s="644"/>
      <c r="EJ104" s="644"/>
      <c r="EK104" s="644"/>
      <c r="EL104" s="644"/>
      <c r="EM104" s="644"/>
      <c r="EN104" s="9" t="s">
        <v>504</v>
      </c>
      <c r="EO104" s="644"/>
      <c r="EP104" s="9" t="s">
        <v>504</v>
      </c>
      <c r="EQ104" s="644"/>
      <c r="ER104" s="644"/>
      <c r="ES104" s="644"/>
      <c r="ET104" s="9" t="s">
        <v>504</v>
      </c>
      <c r="EU104" s="644"/>
      <c r="EV104" s="9" t="s">
        <v>504</v>
      </c>
      <c r="EW104" s="644"/>
      <c r="EX104" s="9" t="s">
        <v>504</v>
      </c>
      <c r="EY104" s="644"/>
      <c r="EZ104" s="9" t="s">
        <v>504</v>
      </c>
      <c r="FA104" s="644"/>
      <c r="FB104" s="9" t="s">
        <v>504</v>
      </c>
      <c r="FC104" s="644"/>
      <c r="FD104" s="9" t="s">
        <v>504</v>
      </c>
      <c r="FE104" s="644"/>
      <c r="FF104" s="9" t="s">
        <v>504</v>
      </c>
      <c r="FG104" s="644"/>
      <c r="FH104" s="9" t="s">
        <v>504</v>
      </c>
      <c r="FI104" s="644"/>
      <c r="FJ104" s="9"/>
      <c r="FK104" s="644"/>
      <c r="FL104" s="811" t="s">
        <v>504</v>
      </c>
      <c r="FM104" s="644"/>
      <c r="FN104" s="9" t="s">
        <v>504</v>
      </c>
      <c r="FO104" s="644"/>
      <c r="FP104" s="9" t="s">
        <v>504</v>
      </c>
      <c r="FQ104" s="644"/>
      <c r="FR104" s="644"/>
      <c r="FS104" s="644"/>
      <c r="FT104" s="644"/>
      <c r="FU104" s="644"/>
      <c r="FV104" s="644"/>
      <c r="FW104" s="644"/>
      <c r="FX104" s="5" t="s">
        <v>504</v>
      </c>
      <c r="FY104" s="644"/>
      <c r="FZ104" s="644"/>
      <c r="GA104" s="644"/>
      <c r="GB104" s="9" t="s">
        <v>504</v>
      </c>
      <c r="GC104" s="644"/>
      <c r="GD104" s="13" t="s">
        <v>2499</v>
      </c>
      <c r="GE104" s="644"/>
      <c r="GF104" s="5" t="s">
        <v>504</v>
      </c>
      <c r="GG104" s="644"/>
      <c r="GH104" s="9" t="s">
        <v>504</v>
      </c>
      <c r="GI104" s="644"/>
      <c r="GJ104" s="780" t="s">
        <v>500</v>
      </c>
      <c r="GK104" s="644"/>
      <c r="GL104" s="9" t="s">
        <v>504</v>
      </c>
      <c r="GM104" s="644"/>
      <c r="GN104" s="9" t="s">
        <v>504</v>
      </c>
      <c r="GO104" s="644"/>
      <c r="GP104" s="9" t="s">
        <v>504</v>
      </c>
      <c r="GQ104" s="644"/>
      <c r="GR104" s="9"/>
      <c r="GS104" s="644"/>
      <c r="GT104" s="5" t="s">
        <v>471</v>
      </c>
      <c r="GU104" s="644"/>
      <c r="GV104" s="9" t="s">
        <v>504</v>
      </c>
      <c r="GW104" s="644"/>
      <c r="GX104" s="9" t="s">
        <v>504</v>
      </c>
      <c r="GY104" s="644"/>
      <c r="GZ104" s="9" t="s">
        <v>504</v>
      </c>
      <c r="HA104" s="644"/>
      <c r="HB104" s="9" t="s">
        <v>504</v>
      </c>
      <c r="HC104" s="644"/>
      <c r="HD104" s="1542" t="s">
        <v>1837</v>
      </c>
      <c r="HE104" s="644"/>
      <c r="HF104" s="9"/>
      <c r="HG104" s="644"/>
      <c r="HH104" s="9" t="s">
        <v>504</v>
      </c>
      <c r="HI104" s="644"/>
      <c r="HJ104" s="644"/>
      <c r="HK104" s="644"/>
      <c r="HL104" s="9" t="s">
        <v>504</v>
      </c>
      <c r="HM104" s="644"/>
      <c r="HN104" s="13" t="s">
        <v>465</v>
      </c>
      <c r="HO104" s="644"/>
      <c r="HP104" s="9" t="s">
        <v>504</v>
      </c>
      <c r="HQ104" s="644"/>
      <c r="HR104" s="9" t="s">
        <v>504</v>
      </c>
      <c r="HS104" s="644"/>
      <c r="HT104" s="633" t="s">
        <v>504</v>
      </c>
      <c r="HU104" s="644"/>
      <c r="HV104" s="9" t="s">
        <v>504</v>
      </c>
      <c r="HW104" s="644"/>
      <c r="HX104" s="9" t="s">
        <v>504</v>
      </c>
      <c r="HY104" s="644"/>
      <c r="HZ104" s="9" t="s">
        <v>504</v>
      </c>
      <c r="IA104" s="644"/>
      <c r="IB104" s="644"/>
      <c r="IC104" s="644"/>
      <c r="ID104" s="9" t="s">
        <v>504</v>
      </c>
      <c r="IE104" s="644"/>
      <c r="IF104" s="9" t="s">
        <v>504</v>
      </c>
      <c r="IG104" s="823"/>
      <c r="IH104" s="9" t="s">
        <v>504</v>
      </c>
      <c r="II104" s="644"/>
      <c r="IJ104" s="644"/>
      <c r="IK104" s="644"/>
      <c r="IL104" s="633" t="s">
        <v>504</v>
      </c>
      <c r="IM104" s="644"/>
      <c r="IN104" s="634" t="s">
        <v>504</v>
      </c>
      <c r="IO104" s="644"/>
      <c r="IP104" s="9" t="s">
        <v>504</v>
      </c>
      <c r="IQ104" s="644"/>
      <c r="IR104" s="9" t="s">
        <v>504</v>
      </c>
      <c r="IS104" s="644"/>
      <c r="IT104" s="9" t="s">
        <v>504</v>
      </c>
      <c r="IU104" s="644"/>
      <c r="IV104" s="13" t="s">
        <v>504</v>
      </c>
      <c r="IW104" s="644"/>
      <c r="IX104" s="632" t="s">
        <v>504</v>
      </c>
      <c r="IY104" s="644"/>
      <c r="IZ104" s="9" t="s">
        <v>504</v>
      </c>
      <c r="JA104" s="644"/>
      <c r="JB104" s="9"/>
      <c r="JC104" s="644"/>
      <c r="JD104" s="9" t="s">
        <v>479</v>
      </c>
      <c r="JE104" s="644"/>
      <c r="JF104" s="644"/>
      <c r="JG104" s="644"/>
      <c r="JH104" s="9"/>
      <c r="JI104" s="644"/>
      <c r="JJ104" s="644"/>
      <c r="JK104" s="644"/>
      <c r="JL104" s="644"/>
      <c r="JM104" s="644"/>
      <c r="JN104" s="9" t="s">
        <v>504</v>
      </c>
      <c r="JO104" s="644"/>
      <c r="JP104" s="644"/>
      <c r="JQ104" s="644"/>
      <c r="JR104" s="20" t="s">
        <v>504</v>
      </c>
      <c r="JS104" s="644"/>
      <c r="JT104" s="9" t="s">
        <v>504</v>
      </c>
      <c r="JU104" s="644"/>
      <c r="JV104" s="9"/>
      <c r="JW104" s="644"/>
      <c r="JX104" s="9" t="s">
        <v>500</v>
      </c>
      <c r="JY104" s="644"/>
    </row>
    <row r="105" spans="1:285" ht="114.75" x14ac:dyDescent="0.2">
      <c r="A105" s="1565"/>
      <c r="B105" s="1567"/>
      <c r="C105" s="1550"/>
      <c r="D105" s="1552"/>
      <c r="E105" s="755" t="s">
        <v>172</v>
      </c>
      <c r="F105" s="9" t="s">
        <v>1655</v>
      </c>
      <c r="G105" s="823"/>
      <c r="H105" s="9" t="s">
        <v>465</v>
      </c>
      <c r="I105" s="644"/>
      <c r="J105" s="9" t="s">
        <v>465</v>
      </c>
      <c r="K105" s="644"/>
      <c r="L105" s="9" t="s">
        <v>465</v>
      </c>
      <c r="M105" s="644"/>
      <c r="N105" s="757" t="s">
        <v>465</v>
      </c>
      <c r="O105" s="644"/>
      <c r="P105" s="84" t="s">
        <v>465</v>
      </c>
      <c r="Q105" s="644"/>
      <c r="R105" s="9"/>
      <c r="S105" s="644"/>
      <c r="T105" s="644"/>
      <c r="U105" s="644"/>
      <c r="V105" s="644"/>
      <c r="W105" s="644"/>
      <c r="X105" s="644"/>
      <c r="Y105" s="644"/>
      <c r="Z105" s="9" t="s">
        <v>465</v>
      </c>
      <c r="AA105" s="644"/>
      <c r="AB105" s="5" t="s">
        <v>465</v>
      </c>
      <c r="AC105" s="644"/>
      <c r="AD105" s="5" t="s">
        <v>465</v>
      </c>
      <c r="AE105" s="644"/>
      <c r="AF105" s="644"/>
      <c r="AG105" s="644"/>
      <c r="AH105" s="644"/>
      <c r="AI105" s="644"/>
      <c r="AJ105" s="84"/>
      <c r="AK105" s="644"/>
      <c r="AL105" s="9"/>
      <c r="AM105" s="644"/>
      <c r="AN105" s="9"/>
      <c r="AO105" s="644"/>
      <c r="AP105" s="9"/>
      <c r="AQ105" s="644"/>
      <c r="AR105" s="9"/>
      <c r="AS105" s="644"/>
      <c r="AT105" s="9"/>
      <c r="AU105" s="644"/>
      <c r="AV105" s="757"/>
      <c r="AW105" s="644"/>
      <c r="AX105" s="9"/>
      <c r="AY105" s="644"/>
      <c r="AZ105" s="9"/>
      <c r="BA105" s="644"/>
      <c r="BB105" s="644"/>
      <c r="BC105" s="644"/>
      <c r="BD105" s="5"/>
      <c r="BE105" s="644"/>
      <c r="BF105" s="9"/>
      <c r="BG105" s="644"/>
      <c r="BH105" s="644"/>
      <c r="BI105" s="644"/>
      <c r="BJ105" s="9"/>
      <c r="BK105" s="644"/>
      <c r="BL105" s="9"/>
      <c r="BM105" s="644"/>
      <c r="BN105" s="9"/>
      <c r="BO105" s="644"/>
      <c r="BP105" s="9"/>
      <c r="BQ105" s="644"/>
      <c r="BR105" s="9"/>
      <c r="BS105" s="644"/>
      <c r="BT105" s="9" t="s">
        <v>933</v>
      </c>
      <c r="BU105" s="644"/>
      <c r="BV105" s="9"/>
      <c r="BW105" s="644"/>
      <c r="BX105" s="632"/>
      <c r="BY105" s="644"/>
      <c r="BZ105" s="632"/>
      <c r="CA105" s="644"/>
      <c r="CB105" s="822" t="s">
        <v>911</v>
      </c>
      <c r="CC105" s="644"/>
      <c r="CD105" s="644"/>
      <c r="CE105" s="644"/>
      <c r="CF105" s="644"/>
      <c r="CG105" s="644"/>
      <c r="CH105" s="632" t="s">
        <v>465</v>
      </c>
      <c r="CI105" s="9"/>
      <c r="CJ105" s="9" t="s">
        <v>465</v>
      </c>
      <c r="CK105" s="9"/>
      <c r="CL105" s="9" t="s">
        <v>504</v>
      </c>
      <c r="CM105" s="644"/>
      <c r="CN105" s="9"/>
      <c r="CO105" s="644"/>
      <c r="CP105" s="9"/>
      <c r="CQ105" s="644"/>
      <c r="CR105" s="9"/>
      <c r="CS105" s="644"/>
      <c r="CT105" s="9"/>
      <c r="CU105" s="644"/>
      <c r="CV105" s="9" t="s">
        <v>465</v>
      </c>
      <c r="CW105" s="644"/>
      <c r="CX105" s="9" t="s">
        <v>465</v>
      </c>
      <c r="CY105" s="644"/>
      <c r="CZ105" s="9" t="s">
        <v>465</v>
      </c>
      <c r="DA105" s="644"/>
      <c r="DB105" s="9" t="s">
        <v>465</v>
      </c>
      <c r="DC105" s="644"/>
      <c r="DD105" s="5" t="s">
        <v>465</v>
      </c>
      <c r="DE105" s="644"/>
      <c r="DF105" s="644"/>
      <c r="DG105" s="644"/>
      <c r="DH105" s="9"/>
      <c r="DI105" s="644"/>
      <c r="DJ105" s="758"/>
      <c r="DK105" s="644"/>
      <c r="DL105" s="644"/>
      <c r="DM105" s="644"/>
      <c r="DN105" s="9"/>
      <c r="DO105" s="644"/>
      <c r="DP105" s="644"/>
      <c r="DQ105" s="644"/>
      <c r="DR105" s="644"/>
      <c r="DS105" s="644"/>
      <c r="DT105" s="644"/>
      <c r="DU105" s="644"/>
      <c r="DV105" s="9" t="s">
        <v>465</v>
      </c>
      <c r="DW105" s="644"/>
      <c r="DX105" s="9" t="s">
        <v>465</v>
      </c>
      <c r="DY105" s="644"/>
      <c r="DZ105" s="5" t="s">
        <v>465</v>
      </c>
      <c r="EA105" s="644"/>
      <c r="EB105" s="644"/>
      <c r="EC105" s="644"/>
      <c r="ED105" s="644"/>
      <c r="EE105" s="644"/>
      <c r="EF105" s="9" t="s">
        <v>504</v>
      </c>
      <c r="EG105" s="644"/>
      <c r="EH105" s="759" t="s">
        <v>2060</v>
      </c>
      <c r="EI105" s="644"/>
      <c r="EJ105" s="644"/>
      <c r="EK105" s="644"/>
      <c r="EL105" s="644"/>
      <c r="EM105" s="644"/>
      <c r="EN105" s="9"/>
      <c r="EO105" s="644"/>
      <c r="EP105" s="9" t="s">
        <v>504</v>
      </c>
      <c r="EQ105" s="644"/>
      <c r="ER105" s="644"/>
      <c r="ES105" s="644"/>
      <c r="ET105" s="9" t="s">
        <v>465</v>
      </c>
      <c r="EU105" s="644"/>
      <c r="EV105" s="9" t="s">
        <v>465</v>
      </c>
      <c r="EW105" s="644"/>
      <c r="EX105" s="9"/>
      <c r="EY105" s="644"/>
      <c r="EZ105" s="9"/>
      <c r="FA105" s="644"/>
      <c r="FB105" s="9"/>
      <c r="FC105" s="644"/>
      <c r="FD105" s="9" t="s">
        <v>465</v>
      </c>
      <c r="FE105" s="644"/>
      <c r="FF105" s="9" t="s">
        <v>465</v>
      </c>
      <c r="FG105" s="644"/>
      <c r="FH105" s="9"/>
      <c r="FI105" s="644"/>
      <c r="FJ105" s="9"/>
      <c r="FK105" s="644"/>
      <c r="FL105" s="811" t="s">
        <v>504</v>
      </c>
      <c r="FM105" s="644"/>
      <c r="FN105" s="9"/>
      <c r="FO105" s="644"/>
      <c r="FP105" s="9"/>
      <c r="FQ105" s="644"/>
      <c r="FR105" s="644"/>
      <c r="FS105" s="644"/>
      <c r="FT105" s="644"/>
      <c r="FU105" s="644"/>
      <c r="FV105" s="644"/>
      <c r="FW105" s="644"/>
      <c r="FX105" s="5" t="s">
        <v>465</v>
      </c>
      <c r="FY105" s="644"/>
      <c r="FZ105" s="644"/>
      <c r="GA105" s="644"/>
      <c r="GB105" s="9"/>
      <c r="GC105" s="644"/>
      <c r="GD105" s="13" t="s">
        <v>2499</v>
      </c>
      <c r="GE105" s="644"/>
      <c r="GF105" s="5" t="s">
        <v>504</v>
      </c>
      <c r="GG105" s="644"/>
      <c r="GH105" s="9" t="s">
        <v>2008</v>
      </c>
      <c r="GI105" s="644"/>
      <c r="GJ105" s="780" t="s">
        <v>1687</v>
      </c>
      <c r="GK105" s="644"/>
      <c r="GL105" s="9"/>
      <c r="GM105" s="644"/>
      <c r="GN105" s="9"/>
      <c r="GO105" s="644"/>
      <c r="GP105" s="9"/>
      <c r="GQ105" s="644"/>
      <c r="GR105" s="9"/>
      <c r="GS105" s="644"/>
      <c r="GT105" s="5" t="s">
        <v>823</v>
      </c>
      <c r="GU105" s="644"/>
      <c r="GV105" s="9"/>
      <c r="GW105" s="644"/>
      <c r="GX105" s="9"/>
      <c r="GY105" s="644"/>
      <c r="GZ105" s="9"/>
      <c r="HA105" s="644"/>
      <c r="HB105" s="9"/>
      <c r="HC105" s="644"/>
      <c r="HD105" s="1542"/>
      <c r="HE105" s="644"/>
      <c r="HF105" s="9"/>
      <c r="HG105" s="644"/>
      <c r="HH105" s="9" t="s">
        <v>465</v>
      </c>
      <c r="HI105" s="644"/>
      <c r="HJ105" s="644"/>
      <c r="HK105" s="644"/>
      <c r="HL105" s="9"/>
      <c r="HM105" s="644"/>
      <c r="HN105" s="13" t="s">
        <v>465</v>
      </c>
      <c r="HO105" s="644"/>
      <c r="HP105" s="9"/>
      <c r="HQ105" s="644"/>
      <c r="HR105" s="9"/>
      <c r="HS105" s="644"/>
      <c r="HT105" s="656" t="s">
        <v>702</v>
      </c>
      <c r="HU105" s="644"/>
      <c r="HV105" s="9"/>
      <c r="HW105" s="644"/>
      <c r="HX105" s="9"/>
      <c r="HY105" s="644"/>
      <c r="HZ105" s="9"/>
      <c r="IA105" s="644"/>
      <c r="IB105" s="644"/>
      <c r="IC105" s="644"/>
      <c r="ID105" s="9"/>
      <c r="IE105" s="644"/>
      <c r="IF105" s="9"/>
      <c r="IG105" s="823"/>
      <c r="IH105" s="9"/>
      <c r="II105" s="644"/>
      <c r="IJ105" s="644"/>
      <c r="IK105" s="644"/>
      <c r="IL105" s="633" t="s">
        <v>465</v>
      </c>
      <c r="IM105" s="644"/>
      <c r="IN105" s="634" t="s">
        <v>465</v>
      </c>
      <c r="IO105" s="644"/>
      <c r="IP105" s="9"/>
      <c r="IQ105" s="644"/>
      <c r="IR105" s="9"/>
      <c r="IS105" s="644"/>
      <c r="IT105" s="9" t="s">
        <v>701</v>
      </c>
      <c r="IU105" s="644"/>
      <c r="IV105" s="13" t="s">
        <v>504</v>
      </c>
      <c r="IW105" s="644"/>
      <c r="IX105" s="632" t="s">
        <v>1104</v>
      </c>
      <c r="IY105" s="644"/>
      <c r="IZ105" s="9" t="s">
        <v>504</v>
      </c>
      <c r="JA105" s="644"/>
      <c r="JB105" s="9"/>
      <c r="JC105" s="644"/>
      <c r="JD105" s="9" t="s">
        <v>465</v>
      </c>
      <c r="JE105" s="644"/>
      <c r="JF105" s="644"/>
      <c r="JG105" s="644"/>
      <c r="JH105" s="9"/>
      <c r="JI105" s="644"/>
      <c r="JJ105" s="644"/>
      <c r="JK105" s="644"/>
      <c r="JL105" s="644"/>
      <c r="JM105" s="644"/>
      <c r="JN105" s="9" t="s">
        <v>504</v>
      </c>
      <c r="JO105" s="644"/>
      <c r="JP105" s="644"/>
      <c r="JQ105" s="644"/>
      <c r="JR105" s="20"/>
      <c r="JS105" s="644"/>
      <c r="JT105" s="9" t="s">
        <v>465</v>
      </c>
      <c r="JU105" s="644"/>
      <c r="JV105" s="9"/>
      <c r="JW105" s="644"/>
      <c r="JX105" s="9" t="s">
        <v>719</v>
      </c>
      <c r="JY105" s="644"/>
    </row>
    <row r="106" spans="1:285" ht="26.25" thickBot="1" x14ac:dyDescent="0.25">
      <c r="A106" s="1565"/>
      <c r="B106" s="1567"/>
      <c r="C106" s="1551"/>
      <c r="D106" s="1560"/>
      <c r="E106" s="755" t="s">
        <v>174</v>
      </c>
      <c r="F106" s="13">
        <v>82</v>
      </c>
      <c r="G106" s="823"/>
      <c r="H106" s="13" t="s">
        <v>465</v>
      </c>
      <c r="I106" s="644"/>
      <c r="J106" s="13" t="s">
        <v>465</v>
      </c>
      <c r="K106" s="644"/>
      <c r="L106" s="9" t="s">
        <v>465</v>
      </c>
      <c r="M106" s="644"/>
      <c r="N106" s="808" t="s">
        <v>465</v>
      </c>
      <c r="O106" s="644"/>
      <c r="P106" s="709" t="s">
        <v>465</v>
      </c>
      <c r="Q106" s="644"/>
      <c r="R106" s="13"/>
      <c r="S106" s="644"/>
      <c r="T106" s="644"/>
      <c r="U106" s="644"/>
      <c r="V106" s="644"/>
      <c r="W106" s="644"/>
      <c r="X106" s="644"/>
      <c r="Y106" s="644"/>
      <c r="Z106" s="13" t="s">
        <v>465</v>
      </c>
      <c r="AA106" s="644"/>
      <c r="AB106" s="703" t="s">
        <v>465</v>
      </c>
      <c r="AC106" s="644"/>
      <c r="AD106" s="5" t="s">
        <v>465</v>
      </c>
      <c r="AE106" s="644"/>
      <c r="AF106" s="644"/>
      <c r="AG106" s="644"/>
      <c r="AH106" s="644"/>
      <c r="AI106" s="644"/>
      <c r="AJ106" s="709"/>
      <c r="AK106" s="644"/>
      <c r="AL106" s="13"/>
      <c r="AM106" s="644"/>
      <c r="AN106" s="13"/>
      <c r="AO106" s="644"/>
      <c r="AP106" s="13"/>
      <c r="AQ106" s="644"/>
      <c r="AR106" s="13"/>
      <c r="AS106" s="644"/>
      <c r="AT106" s="13"/>
      <c r="AU106" s="644"/>
      <c r="AV106" s="808"/>
      <c r="AW106" s="644"/>
      <c r="AX106" s="13"/>
      <c r="AY106" s="644"/>
      <c r="AZ106" s="13"/>
      <c r="BA106" s="644"/>
      <c r="BB106" s="644"/>
      <c r="BC106" s="644"/>
      <c r="BD106" s="5" t="s">
        <v>465</v>
      </c>
      <c r="BE106" s="644"/>
      <c r="BF106" s="13"/>
      <c r="BG106" s="644"/>
      <c r="BH106" s="644"/>
      <c r="BI106" s="644"/>
      <c r="BJ106" s="13"/>
      <c r="BK106" s="644"/>
      <c r="BL106" s="13"/>
      <c r="BM106" s="644"/>
      <c r="BN106" s="13"/>
      <c r="BO106" s="644"/>
      <c r="BP106" s="13"/>
      <c r="BQ106" s="644"/>
      <c r="BR106" s="13"/>
      <c r="BS106" s="644"/>
      <c r="BT106" s="13">
        <v>35</v>
      </c>
      <c r="BU106" s="644"/>
      <c r="BV106" s="13"/>
      <c r="BW106" s="644"/>
      <c r="BX106" s="710"/>
      <c r="BY106" s="644"/>
      <c r="BZ106" s="710"/>
      <c r="CA106" s="644"/>
      <c r="CB106" s="13"/>
      <c r="CC106" s="644"/>
      <c r="CD106" s="644"/>
      <c r="CE106" s="644"/>
      <c r="CF106" s="644"/>
      <c r="CG106" s="644"/>
      <c r="CH106" s="710" t="s">
        <v>465</v>
      </c>
      <c r="CI106" s="13"/>
      <c r="CJ106" s="13" t="s">
        <v>465</v>
      </c>
      <c r="CK106" s="13"/>
      <c r="CL106" s="13" t="s">
        <v>504</v>
      </c>
      <c r="CM106" s="644"/>
      <c r="CN106" s="13"/>
      <c r="CO106" s="644"/>
      <c r="CP106" s="13"/>
      <c r="CQ106" s="644"/>
      <c r="CR106" s="13"/>
      <c r="CS106" s="644"/>
      <c r="CT106" s="13"/>
      <c r="CU106" s="644"/>
      <c r="CV106" s="13" t="s">
        <v>465</v>
      </c>
      <c r="CW106" s="644"/>
      <c r="CX106" s="13" t="s">
        <v>465</v>
      </c>
      <c r="CY106" s="644"/>
      <c r="CZ106" s="13" t="s">
        <v>465</v>
      </c>
      <c r="DA106" s="644"/>
      <c r="DB106" s="13" t="s">
        <v>465</v>
      </c>
      <c r="DC106" s="644"/>
      <c r="DD106" s="703" t="s">
        <v>465</v>
      </c>
      <c r="DE106" s="644"/>
      <c r="DF106" s="644"/>
      <c r="DG106" s="644"/>
      <c r="DH106" s="13"/>
      <c r="DI106" s="644"/>
      <c r="DJ106" s="809"/>
      <c r="DK106" s="644"/>
      <c r="DL106" s="644"/>
      <c r="DM106" s="644"/>
      <c r="DN106" s="13"/>
      <c r="DO106" s="644"/>
      <c r="DP106" s="644"/>
      <c r="DQ106" s="644"/>
      <c r="DR106" s="644"/>
      <c r="DS106" s="644"/>
      <c r="DT106" s="644"/>
      <c r="DU106" s="644"/>
      <c r="DV106" s="13" t="s">
        <v>465</v>
      </c>
      <c r="DW106" s="644"/>
      <c r="DX106" s="13" t="s">
        <v>465</v>
      </c>
      <c r="DY106" s="644"/>
      <c r="DZ106" s="703" t="s">
        <v>465</v>
      </c>
      <c r="EA106" s="644"/>
      <c r="EB106" s="644"/>
      <c r="EC106" s="644"/>
      <c r="ED106" s="644"/>
      <c r="EE106" s="644"/>
      <c r="EF106" s="13" t="s">
        <v>504</v>
      </c>
      <c r="EG106" s="644"/>
      <c r="EH106" s="810" t="s">
        <v>806</v>
      </c>
      <c r="EI106" s="644"/>
      <c r="EJ106" s="644"/>
      <c r="EK106" s="644"/>
      <c r="EL106" s="644"/>
      <c r="EM106" s="644"/>
      <c r="EN106" s="13"/>
      <c r="EO106" s="644"/>
      <c r="EP106" s="13" t="s">
        <v>504</v>
      </c>
      <c r="EQ106" s="644"/>
      <c r="ER106" s="644"/>
      <c r="ES106" s="644"/>
      <c r="ET106" s="13" t="s">
        <v>465</v>
      </c>
      <c r="EU106" s="644"/>
      <c r="EV106" s="13" t="s">
        <v>465</v>
      </c>
      <c r="EW106" s="644"/>
      <c r="EX106" s="13"/>
      <c r="EY106" s="644"/>
      <c r="EZ106" s="13"/>
      <c r="FA106" s="644"/>
      <c r="FB106" s="13"/>
      <c r="FC106" s="644"/>
      <c r="FD106" s="13" t="s">
        <v>465</v>
      </c>
      <c r="FE106" s="644"/>
      <c r="FF106" s="13" t="s">
        <v>465</v>
      </c>
      <c r="FG106" s="644"/>
      <c r="FH106" s="13"/>
      <c r="FI106" s="644"/>
      <c r="FJ106" s="13"/>
      <c r="FK106" s="644"/>
      <c r="FL106" s="811">
        <v>0</v>
      </c>
      <c r="FM106" s="644"/>
      <c r="FN106" s="13"/>
      <c r="FO106" s="644"/>
      <c r="FP106" s="13"/>
      <c r="FQ106" s="644"/>
      <c r="FR106" s="644"/>
      <c r="FS106" s="644"/>
      <c r="FT106" s="644"/>
      <c r="FU106" s="644"/>
      <c r="FV106" s="644"/>
      <c r="FW106" s="644"/>
      <c r="FX106" s="703" t="s">
        <v>465</v>
      </c>
      <c r="FY106" s="644"/>
      <c r="FZ106" s="644"/>
      <c r="GA106" s="644"/>
      <c r="GB106" s="13"/>
      <c r="GC106" s="644"/>
      <c r="GD106" s="13" t="s">
        <v>2499</v>
      </c>
      <c r="GE106" s="644"/>
      <c r="GF106" s="703" t="s">
        <v>504</v>
      </c>
      <c r="GG106" s="644"/>
      <c r="GH106" s="13">
        <v>0</v>
      </c>
      <c r="GI106" s="644"/>
      <c r="GJ106" s="811">
        <v>851</v>
      </c>
      <c r="GK106" s="644"/>
      <c r="GL106" s="13"/>
      <c r="GM106" s="644"/>
      <c r="GN106" s="13"/>
      <c r="GO106" s="644"/>
      <c r="GP106" s="13"/>
      <c r="GQ106" s="644"/>
      <c r="GR106" s="13"/>
      <c r="GS106" s="644"/>
      <c r="GT106" s="703" t="s">
        <v>2091</v>
      </c>
      <c r="GU106" s="644"/>
      <c r="GV106" s="13"/>
      <c r="GW106" s="644"/>
      <c r="GX106" s="13"/>
      <c r="GY106" s="644"/>
      <c r="GZ106" s="13"/>
      <c r="HA106" s="644"/>
      <c r="HB106" s="13"/>
      <c r="HC106" s="644"/>
      <c r="HD106" s="1542"/>
      <c r="HE106" s="644"/>
      <c r="HF106" s="13"/>
      <c r="HG106" s="644"/>
      <c r="HH106" s="13" t="s">
        <v>465</v>
      </c>
      <c r="HI106" s="644"/>
      <c r="HJ106" s="644"/>
      <c r="HK106" s="644"/>
      <c r="HL106" s="13"/>
      <c r="HM106" s="644"/>
      <c r="HN106" s="13" t="s">
        <v>465</v>
      </c>
      <c r="HO106" s="644"/>
      <c r="HP106" s="13"/>
      <c r="HQ106" s="644"/>
      <c r="HR106" s="13"/>
      <c r="HS106" s="644"/>
      <c r="HT106" s="734" t="s">
        <v>702</v>
      </c>
      <c r="HU106" s="644"/>
      <c r="HV106" s="13"/>
      <c r="HW106" s="644"/>
      <c r="HX106" s="13"/>
      <c r="HY106" s="644"/>
      <c r="HZ106" s="13"/>
      <c r="IA106" s="644"/>
      <c r="IB106" s="644"/>
      <c r="IC106" s="644"/>
      <c r="ID106" s="13"/>
      <c r="IE106" s="644"/>
      <c r="IF106" s="13"/>
      <c r="IG106" s="823"/>
      <c r="IH106" s="13"/>
      <c r="II106" s="644"/>
      <c r="IJ106" s="644"/>
      <c r="IK106" s="644"/>
      <c r="IL106" s="711" t="s">
        <v>465</v>
      </c>
      <c r="IM106" s="644"/>
      <c r="IN106" s="712" t="s">
        <v>465</v>
      </c>
      <c r="IO106" s="644"/>
      <c r="IP106" s="13"/>
      <c r="IQ106" s="644"/>
      <c r="IR106" s="13"/>
      <c r="IS106" s="644"/>
      <c r="IT106" s="13" t="s">
        <v>701</v>
      </c>
      <c r="IU106" s="644"/>
      <c r="IV106" s="13" t="s">
        <v>504</v>
      </c>
      <c r="IW106" s="644"/>
      <c r="IX106" s="710" t="s">
        <v>1104</v>
      </c>
      <c r="IY106" s="644"/>
      <c r="IZ106" s="13" t="s">
        <v>504</v>
      </c>
      <c r="JA106" s="644"/>
      <c r="JB106" s="13"/>
      <c r="JC106" s="644"/>
      <c r="JD106" s="13" t="s">
        <v>465</v>
      </c>
      <c r="JE106" s="644"/>
      <c r="JF106" s="644"/>
      <c r="JG106" s="644"/>
      <c r="JH106" s="13"/>
      <c r="JI106" s="644"/>
      <c r="JJ106" s="644"/>
      <c r="JK106" s="644"/>
      <c r="JL106" s="644"/>
      <c r="JM106" s="644"/>
      <c r="JN106" s="13">
        <v>0</v>
      </c>
      <c r="JO106" s="644"/>
      <c r="JP106" s="644"/>
      <c r="JQ106" s="644"/>
      <c r="JR106" s="713"/>
      <c r="JS106" s="644"/>
      <c r="JT106" s="13" t="s">
        <v>465</v>
      </c>
      <c r="JU106" s="644"/>
      <c r="JV106" s="13"/>
      <c r="JW106" s="644"/>
      <c r="JX106" s="13">
        <v>18168</v>
      </c>
      <c r="JY106" s="644"/>
    </row>
    <row r="107" spans="1:285" ht="23.25" customHeight="1" x14ac:dyDescent="0.2">
      <c r="A107" s="1565"/>
      <c r="B107" s="1567"/>
      <c r="C107" s="1544" t="s">
        <v>238</v>
      </c>
      <c r="D107" s="1561" t="s">
        <v>145</v>
      </c>
      <c r="E107" s="755" t="s">
        <v>171</v>
      </c>
      <c r="F107" s="9" t="s">
        <v>504</v>
      </c>
      <c r="G107" s="823"/>
      <c r="H107" s="9" t="s">
        <v>504</v>
      </c>
      <c r="I107" s="644"/>
      <c r="J107" s="9" t="s">
        <v>465</v>
      </c>
      <c r="K107" s="644"/>
      <c r="L107" s="9" t="s">
        <v>465</v>
      </c>
      <c r="M107" s="644"/>
      <c r="N107" s="757" t="s">
        <v>479</v>
      </c>
      <c r="O107" s="644"/>
      <c r="P107" s="84" t="s">
        <v>500</v>
      </c>
      <c r="Q107" s="644"/>
      <c r="R107" s="9"/>
      <c r="S107" s="644"/>
      <c r="T107" s="644"/>
      <c r="U107" s="644"/>
      <c r="V107" s="644"/>
      <c r="W107" s="644"/>
      <c r="X107" s="644"/>
      <c r="Y107" s="644"/>
      <c r="Z107" s="9" t="s">
        <v>2307</v>
      </c>
      <c r="AA107" s="644"/>
      <c r="AB107" s="5" t="s">
        <v>2307</v>
      </c>
      <c r="AC107" s="644"/>
      <c r="AD107" s="5" t="s">
        <v>479</v>
      </c>
      <c r="AE107" s="644"/>
      <c r="AF107" s="644"/>
      <c r="AG107" s="644"/>
      <c r="AH107" s="644"/>
      <c r="AI107" s="644"/>
      <c r="AJ107" s="84" t="s">
        <v>504</v>
      </c>
      <c r="AK107" s="644"/>
      <c r="AL107" s="9"/>
      <c r="AM107" s="644"/>
      <c r="AN107" s="9"/>
      <c r="AO107" s="644"/>
      <c r="AP107" s="5" t="s">
        <v>471</v>
      </c>
      <c r="AQ107" s="644"/>
      <c r="AR107" s="9"/>
      <c r="AS107" s="644"/>
      <c r="AT107" s="9"/>
      <c r="AU107" s="644"/>
      <c r="AV107" s="757"/>
      <c r="AW107" s="644"/>
      <c r="AX107" s="9" t="s">
        <v>500</v>
      </c>
      <c r="AY107" s="644"/>
      <c r="AZ107" s="5" t="s">
        <v>500</v>
      </c>
      <c r="BA107" s="644"/>
      <c r="BB107" s="644"/>
      <c r="BC107" s="644"/>
      <c r="BD107" s="5" t="s">
        <v>504</v>
      </c>
      <c r="BE107" s="644"/>
      <c r="BF107" s="9"/>
      <c r="BG107" s="644"/>
      <c r="BH107" s="644"/>
      <c r="BI107" s="644"/>
      <c r="BJ107" s="9" t="s">
        <v>504</v>
      </c>
      <c r="BK107" s="644"/>
      <c r="BL107" s="9"/>
      <c r="BM107" s="644"/>
      <c r="BN107" s="9" t="s">
        <v>504</v>
      </c>
      <c r="BO107" s="644"/>
      <c r="BP107" s="9"/>
      <c r="BQ107" s="644"/>
      <c r="BR107" s="9" t="s">
        <v>504</v>
      </c>
      <c r="BS107" s="644"/>
      <c r="BT107" s="9" t="s">
        <v>500</v>
      </c>
      <c r="BU107" s="644"/>
      <c r="BV107" s="9" t="s">
        <v>500</v>
      </c>
      <c r="BW107" s="644"/>
      <c r="BX107" s="632" t="s">
        <v>504</v>
      </c>
      <c r="BY107" s="644"/>
      <c r="BZ107" s="632"/>
      <c r="CA107" s="644"/>
      <c r="CB107" s="9" t="s">
        <v>504</v>
      </c>
      <c r="CC107" s="644"/>
      <c r="CD107" s="644"/>
      <c r="CE107" s="644"/>
      <c r="CF107" s="644"/>
      <c r="CG107" s="644"/>
      <c r="CH107" s="632" t="s">
        <v>504</v>
      </c>
      <c r="CI107" s="9"/>
      <c r="CJ107" s="9" t="s">
        <v>504</v>
      </c>
      <c r="CK107" s="9"/>
      <c r="CL107" s="9" t="s">
        <v>504</v>
      </c>
      <c r="CM107" s="644"/>
      <c r="CN107" s="9" t="s">
        <v>500</v>
      </c>
      <c r="CO107" s="644"/>
      <c r="CP107" s="9" t="s">
        <v>504</v>
      </c>
      <c r="CQ107" s="644"/>
      <c r="CR107" s="9"/>
      <c r="CS107" s="644"/>
      <c r="CT107" s="9" t="s">
        <v>479</v>
      </c>
      <c r="CU107" s="644"/>
      <c r="CV107" s="9" t="s">
        <v>504</v>
      </c>
      <c r="CW107" s="644"/>
      <c r="CX107" s="9" t="s">
        <v>504</v>
      </c>
      <c r="CY107" s="644"/>
      <c r="CZ107" s="9" t="s">
        <v>504</v>
      </c>
      <c r="DA107" s="644"/>
      <c r="DB107" s="9" t="s">
        <v>504</v>
      </c>
      <c r="DC107" s="644"/>
      <c r="DD107" s="5" t="s">
        <v>504</v>
      </c>
      <c r="DE107" s="644"/>
      <c r="DF107" s="644"/>
      <c r="DG107" s="644"/>
      <c r="DH107" s="9"/>
      <c r="DI107" s="644"/>
      <c r="DJ107" s="758" t="s">
        <v>504</v>
      </c>
      <c r="DK107" s="644"/>
      <c r="DL107" s="644"/>
      <c r="DM107" s="644"/>
      <c r="DN107" s="9" t="s">
        <v>504</v>
      </c>
      <c r="DO107" s="644"/>
      <c r="DP107" s="644"/>
      <c r="DQ107" s="644"/>
      <c r="DR107" s="644"/>
      <c r="DS107" s="644"/>
      <c r="DT107" s="644"/>
      <c r="DU107" s="644"/>
      <c r="DV107" s="9" t="s">
        <v>504</v>
      </c>
      <c r="DW107" s="644"/>
      <c r="DX107" s="9" t="s">
        <v>504</v>
      </c>
      <c r="DY107" s="644"/>
      <c r="DZ107" s="5" t="s">
        <v>504</v>
      </c>
      <c r="EA107" s="644"/>
      <c r="EB107" s="644"/>
      <c r="EC107" s="644"/>
      <c r="ED107" s="644"/>
      <c r="EE107" s="644"/>
      <c r="EF107" s="9" t="s">
        <v>504</v>
      </c>
      <c r="EG107" s="644"/>
      <c r="EH107" s="759" t="s">
        <v>500</v>
      </c>
      <c r="EI107" s="644"/>
      <c r="EJ107" s="644"/>
      <c r="EK107" s="644"/>
      <c r="EL107" s="644"/>
      <c r="EM107" s="644"/>
      <c r="EN107" s="9" t="s">
        <v>504</v>
      </c>
      <c r="EO107" s="644"/>
      <c r="EP107" s="9" t="s">
        <v>504</v>
      </c>
      <c r="EQ107" s="644"/>
      <c r="ER107" s="644"/>
      <c r="ES107" s="644"/>
      <c r="ET107" s="9" t="s">
        <v>500</v>
      </c>
      <c r="EU107" s="644"/>
      <c r="EV107" s="9" t="s">
        <v>504</v>
      </c>
      <c r="EW107" s="644"/>
      <c r="EX107" s="9" t="s">
        <v>504</v>
      </c>
      <c r="EY107" s="644"/>
      <c r="EZ107" s="9" t="s">
        <v>500</v>
      </c>
      <c r="FA107" s="644"/>
      <c r="FB107" s="9" t="s">
        <v>500</v>
      </c>
      <c r="FC107" s="644"/>
      <c r="FD107" s="9" t="s">
        <v>504</v>
      </c>
      <c r="FE107" s="644"/>
      <c r="FF107" s="9" t="s">
        <v>504</v>
      </c>
      <c r="FG107" s="644"/>
      <c r="FH107" s="9" t="s">
        <v>504</v>
      </c>
      <c r="FI107" s="644"/>
      <c r="FJ107" s="632" t="s">
        <v>500</v>
      </c>
      <c r="FK107" s="644"/>
      <c r="FL107" s="811" t="s">
        <v>504</v>
      </c>
      <c r="FM107" s="644"/>
      <c r="FN107" s="9" t="s">
        <v>500</v>
      </c>
      <c r="FO107" s="644"/>
      <c r="FP107" s="9" t="s">
        <v>504</v>
      </c>
      <c r="FQ107" s="644"/>
      <c r="FR107" s="644"/>
      <c r="FS107" s="644"/>
      <c r="FT107" s="644"/>
      <c r="FU107" s="644"/>
      <c r="FV107" s="644"/>
      <c r="FW107" s="644"/>
      <c r="FX107" s="5" t="s">
        <v>500</v>
      </c>
      <c r="FY107" s="644"/>
      <c r="FZ107" s="644"/>
      <c r="GA107" s="644"/>
      <c r="GB107" s="9" t="s">
        <v>504</v>
      </c>
      <c r="GC107" s="644"/>
      <c r="GD107" s="13" t="s">
        <v>2499</v>
      </c>
      <c r="GE107" s="644"/>
      <c r="GF107" s="5" t="s">
        <v>504</v>
      </c>
      <c r="GG107" s="644"/>
      <c r="GH107" s="9" t="s">
        <v>504</v>
      </c>
      <c r="GI107" s="644"/>
      <c r="GJ107" s="780" t="s">
        <v>471</v>
      </c>
      <c r="GK107" s="644"/>
      <c r="GL107" s="9" t="s">
        <v>504</v>
      </c>
      <c r="GM107" s="644"/>
      <c r="GN107" s="9" t="s">
        <v>504</v>
      </c>
      <c r="GO107" s="644"/>
      <c r="GP107" s="9"/>
      <c r="GQ107" s="644"/>
      <c r="GR107" s="9"/>
      <c r="GS107" s="644"/>
      <c r="GT107" s="5" t="s">
        <v>471</v>
      </c>
      <c r="GU107" s="644"/>
      <c r="GV107" s="9"/>
      <c r="GW107" s="644"/>
      <c r="GX107" s="9"/>
      <c r="GY107" s="644"/>
      <c r="GZ107" s="9"/>
      <c r="HA107" s="644"/>
      <c r="HB107" s="9" t="s">
        <v>504</v>
      </c>
      <c r="HC107" s="644"/>
      <c r="HD107" s="9" t="s">
        <v>500</v>
      </c>
      <c r="HE107" s="644"/>
      <c r="HF107" s="9"/>
      <c r="HG107" s="644"/>
      <c r="HH107" s="9" t="s">
        <v>504</v>
      </c>
      <c r="HI107" s="644"/>
      <c r="HJ107" s="644"/>
      <c r="HK107" s="644"/>
      <c r="HL107" s="9" t="s">
        <v>500</v>
      </c>
      <c r="HM107" s="644"/>
      <c r="HN107" s="13" t="s">
        <v>465</v>
      </c>
      <c r="HO107" s="644"/>
      <c r="HP107" s="9" t="s">
        <v>504</v>
      </c>
      <c r="HQ107" s="644"/>
      <c r="HR107" s="9" t="s">
        <v>504</v>
      </c>
      <c r="HS107" s="644"/>
      <c r="HT107" s="633" t="s">
        <v>504</v>
      </c>
      <c r="HU107" s="644"/>
      <c r="HV107" s="9" t="s">
        <v>504</v>
      </c>
      <c r="HW107" s="644"/>
      <c r="HX107" s="9" t="s">
        <v>504</v>
      </c>
      <c r="HY107" s="644"/>
      <c r="HZ107" s="9" t="s">
        <v>504</v>
      </c>
      <c r="IA107" s="644"/>
      <c r="IB107" s="644"/>
      <c r="IC107" s="644"/>
      <c r="ID107" s="5" t="s">
        <v>500</v>
      </c>
      <c r="IE107" s="644"/>
      <c r="IF107" s="9" t="s">
        <v>504</v>
      </c>
      <c r="IG107" s="823"/>
      <c r="IH107" s="9" t="s">
        <v>504</v>
      </c>
      <c r="II107" s="644"/>
      <c r="IJ107" s="644"/>
      <c r="IK107" s="644"/>
      <c r="IL107" s="633" t="s">
        <v>504</v>
      </c>
      <c r="IM107" s="644"/>
      <c r="IN107" s="634" t="s">
        <v>504</v>
      </c>
      <c r="IO107" s="644"/>
      <c r="IP107" s="9" t="s">
        <v>504</v>
      </c>
      <c r="IQ107" s="644"/>
      <c r="IR107" s="9" t="s">
        <v>500</v>
      </c>
      <c r="IS107" s="644"/>
      <c r="IT107" s="9" t="s">
        <v>504</v>
      </c>
      <c r="IU107" s="644"/>
      <c r="IV107" s="13" t="s">
        <v>504</v>
      </c>
      <c r="IW107" s="644"/>
      <c r="IX107" s="632"/>
      <c r="IY107" s="644"/>
      <c r="IZ107" s="9" t="s">
        <v>504</v>
      </c>
      <c r="JA107" s="644"/>
      <c r="JB107" s="9"/>
      <c r="JC107" s="644"/>
      <c r="JD107" s="9" t="s">
        <v>479</v>
      </c>
      <c r="JE107" s="644"/>
      <c r="JF107" s="644"/>
      <c r="JG107" s="644"/>
      <c r="JH107" s="9"/>
      <c r="JI107" s="644"/>
      <c r="JJ107" s="644"/>
      <c r="JK107" s="644"/>
      <c r="JL107" s="644"/>
      <c r="JM107" s="644"/>
      <c r="JN107" s="9" t="s">
        <v>500</v>
      </c>
      <c r="JO107" s="644"/>
      <c r="JP107" s="644"/>
      <c r="JQ107" s="644"/>
      <c r="JR107" s="20" t="s">
        <v>504</v>
      </c>
      <c r="JS107" s="644"/>
      <c r="JT107" s="9" t="s">
        <v>465</v>
      </c>
      <c r="JU107" s="644"/>
      <c r="JV107" s="9"/>
      <c r="JW107" s="644"/>
      <c r="JX107" s="9" t="s">
        <v>702</v>
      </c>
      <c r="JY107" s="644"/>
    </row>
    <row r="108" spans="1:285" ht="28.5" customHeight="1" x14ac:dyDescent="0.2">
      <c r="A108" s="1565"/>
      <c r="B108" s="1567"/>
      <c r="C108" s="1550"/>
      <c r="D108" s="1562"/>
      <c r="E108" s="755" t="s">
        <v>172</v>
      </c>
      <c r="F108" s="9"/>
      <c r="G108" s="823"/>
      <c r="H108" s="9" t="s">
        <v>465</v>
      </c>
      <c r="I108" s="644"/>
      <c r="J108" s="9" t="s">
        <v>465</v>
      </c>
      <c r="K108" s="644"/>
      <c r="L108" s="9" t="s">
        <v>465</v>
      </c>
      <c r="M108" s="644"/>
      <c r="N108" s="757" t="s">
        <v>465</v>
      </c>
      <c r="O108" s="644"/>
      <c r="P108" s="84" t="s">
        <v>505</v>
      </c>
      <c r="Q108" s="644"/>
      <c r="R108" s="9"/>
      <c r="S108" s="644"/>
      <c r="T108" s="644"/>
      <c r="U108" s="644"/>
      <c r="V108" s="644"/>
      <c r="W108" s="644"/>
      <c r="X108" s="644"/>
      <c r="Y108" s="644"/>
      <c r="Z108" s="9" t="s">
        <v>465</v>
      </c>
      <c r="AA108" s="644"/>
      <c r="AB108" s="5" t="s">
        <v>465</v>
      </c>
      <c r="AC108" s="644"/>
      <c r="AD108" s="5" t="s">
        <v>465</v>
      </c>
      <c r="AE108" s="644"/>
      <c r="AF108" s="644"/>
      <c r="AG108" s="644"/>
      <c r="AH108" s="644"/>
      <c r="AI108" s="644"/>
      <c r="AJ108" s="84"/>
      <c r="AK108" s="644"/>
      <c r="AL108" s="9"/>
      <c r="AM108" s="644"/>
      <c r="AN108" s="9"/>
      <c r="AO108" s="644"/>
      <c r="AP108" s="5" t="s">
        <v>1000</v>
      </c>
      <c r="AQ108" s="644"/>
      <c r="AR108" s="9"/>
      <c r="AS108" s="644"/>
      <c r="AT108" s="9"/>
      <c r="AU108" s="644"/>
      <c r="AV108" s="757"/>
      <c r="AW108" s="644"/>
      <c r="AX108" s="9" t="s">
        <v>544</v>
      </c>
      <c r="AY108" s="644"/>
      <c r="AZ108" s="5" t="s">
        <v>561</v>
      </c>
      <c r="BA108" s="644"/>
      <c r="BB108" s="644"/>
      <c r="BC108" s="644"/>
      <c r="BD108" s="5" t="s">
        <v>465</v>
      </c>
      <c r="BE108" s="644"/>
      <c r="BF108" s="9"/>
      <c r="BG108" s="644"/>
      <c r="BH108" s="644"/>
      <c r="BI108" s="644"/>
      <c r="BJ108" s="9"/>
      <c r="BK108" s="644"/>
      <c r="BL108" s="9"/>
      <c r="BM108" s="644"/>
      <c r="BN108" s="9"/>
      <c r="BO108" s="644"/>
      <c r="BP108" s="9"/>
      <c r="BQ108" s="644"/>
      <c r="BR108" s="9"/>
      <c r="BS108" s="644"/>
      <c r="BT108" s="9" t="s">
        <v>934</v>
      </c>
      <c r="BU108" s="644"/>
      <c r="BV108" s="9" t="s">
        <v>953</v>
      </c>
      <c r="BW108" s="644"/>
      <c r="BX108" s="632"/>
      <c r="BY108" s="644"/>
      <c r="BZ108" s="632"/>
      <c r="CA108" s="644"/>
      <c r="CB108" s="9"/>
      <c r="CC108" s="644"/>
      <c r="CD108" s="644"/>
      <c r="CE108" s="644"/>
      <c r="CF108" s="644"/>
      <c r="CG108" s="644"/>
      <c r="CH108" s="632" t="s">
        <v>465</v>
      </c>
      <c r="CI108" s="9"/>
      <c r="CJ108" s="9" t="s">
        <v>465</v>
      </c>
      <c r="CK108" s="9"/>
      <c r="CL108" s="9" t="s">
        <v>504</v>
      </c>
      <c r="CM108" s="644"/>
      <c r="CN108" s="5" t="s">
        <v>2414</v>
      </c>
      <c r="CO108" s="644"/>
      <c r="CP108" s="5"/>
      <c r="CQ108" s="644"/>
      <c r="CR108" s="9"/>
      <c r="CS108" s="644"/>
      <c r="CT108" s="9"/>
      <c r="CU108" s="644"/>
      <c r="CV108" s="9" t="s">
        <v>465</v>
      </c>
      <c r="CW108" s="644"/>
      <c r="CX108" s="9" t="s">
        <v>465</v>
      </c>
      <c r="CY108" s="644"/>
      <c r="CZ108" s="9" t="s">
        <v>465</v>
      </c>
      <c r="DA108" s="644"/>
      <c r="DB108" s="9" t="s">
        <v>465</v>
      </c>
      <c r="DC108" s="644"/>
      <c r="DD108" s="5"/>
      <c r="DE108" s="644"/>
      <c r="DF108" s="644"/>
      <c r="DG108" s="644"/>
      <c r="DH108" s="9"/>
      <c r="DI108" s="644"/>
      <c r="DJ108" s="758"/>
      <c r="DK108" s="644"/>
      <c r="DL108" s="644"/>
      <c r="DM108" s="644"/>
      <c r="DN108" s="9"/>
      <c r="DO108" s="644"/>
      <c r="DP108" s="644"/>
      <c r="DQ108" s="644"/>
      <c r="DR108" s="644"/>
      <c r="DS108" s="644"/>
      <c r="DT108" s="644"/>
      <c r="DU108" s="644"/>
      <c r="DV108" s="9" t="s">
        <v>465</v>
      </c>
      <c r="DW108" s="644"/>
      <c r="DX108" s="9" t="s">
        <v>465</v>
      </c>
      <c r="DY108" s="644"/>
      <c r="DZ108" s="5" t="s">
        <v>465</v>
      </c>
      <c r="EA108" s="644"/>
      <c r="EB108" s="644"/>
      <c r="EC108" s="644"/>
      <c r="ED108" s="644"/>
      <c r="EE108" s="644"/>
      <c r="EF108" s="9" t="s">
        <v>504</v>
      </c>
      <c r="EG108" s="644"/>
      <c r="EH108" s="759" t="s">
        <v>2061</v>
      </c>
      <c r="EI108" s="644"/>
      <c r="EJ108" s="644"/>
      <c r="EK108" s="644"/>
      <c r="EL108" s="644"/>
      <c r="EM108" s="644"/>
      <c r="EN108" s="9"/>
      <c r="EO108" s="644"/>
      <c r="EP108" s="9" t="s">
        <v>504</v>
      </c>
      <c r="EQ108" s="644"/>
      <c r="ER108" s="644"/>
      <c r="ES108" s="644"/>
      <c r="ET108" s="9" t="s">
        <v>1451</v>
      </c>
      <c r="EU108" s="644"/>
      <c r="EV108" s="9" t="s">
        <v>465</v>
      </c>
      <c r="EW108" s="644"/>
      <c r="EX108" s="9"/>
      <c r="EY108" s="644"/>
      <c r="EZ108" s="9"/>
      <c r="FA108" s="644"/>
      <c r="FB108" s="9"/>
      <c r="FC108" s="644"/>
      <c r="FD108" s="9" t="s">
        <v>465</v>
      </c>
      <c r="FE108" s="644"/>
      <c r="FF108" s="9" t="s">
        <v>465</v>
      </c>
      <c r="FG108" s="644"/>
      <c r="FH108" s="9"/>
      <c r="FI108" s="644"/>
      <c r="FJ108" s="738" t="s">
        <v>1588</v>
      </c>
      <c r="FK108" s="644"/>
      <c r="FL108" s="811" t="s">
        <v>504</v>
      </c>
      <c r="FM108" s="644"/>
      <c r="FN108" s="9" t="s">
        <v>1622</v>
      </c>
      <c r="FO108" s="644"/>
      <c r="FP108" s="9"/>
      <c r="FQ108" s="644"/>
      <c r="FR108" s="644"/>
      <c r="FS108" s="644"/>
      <c r="FT108" s="644"/>
      <c r="FU108" s="644"/>
      <c r="FV108" s="644"/>
      <c r="FW108" s="644"/>
      <c r="FX108" s="5" t="s">
        <v>1871</v>
      </c>
      <c r="FY108" s="644"/>
      <c r="FZ108" s="644"/>
      <c r="GA108" s="644"/>
      <c r="GB108" s="9"/>
      <c r="GC108" s="644"/>
      <c r="GD108" s="13" t="s">
        <v>2499</v>
      </c>
      <c r="GE108" s="644"/>
      <c r="GF108" s="5" t="s">
        <v>504</v>
      </c>
      <c r="GG108" s="644"/>
      <c r="GH108" s="9" t="s">
        <v>2008</v>
      </c>
      <c r="GI108" s="644"/>
      <c r="GJ108" s="780" t="s">
        <v>1688</v>
      </c>
      <c r="GK108" s="644"/>
      <c r="GL108" s="9"/>
      <c r="GM108" s="644"/>
      <c r="GN108" s="9"/>
      <c r="GO108" s="644"/>
      <c r="GP108" s="9"/>
      <c r="GQ108" s="644"/>
      <c r="GR108" s="9"/>
      <c r="GS108" s="644"/>
      <c r="GT108" s="5" t="s">
        <v>2088</v>
      </c>
      <c r="GU108" s="644"/>
      <c r="GV108" s="9"/>
      <c r="GW108" s="644"/>
      <c r="GX108" s="9"/>
      <c r="GY108" s="644"/>
      <c r="GZ108" s="9"/>
      <c r="HA108" s="644"/>
      <c r="HB108" s="9"/>
      <c r="HC108" s="644"/>
      <c r="HD108" s="9" t="s">
        <v>1838</v>
      </c>
      <c r="HE108" s="644"/>
      <c r="HF108" s="9"/>
      <c r="HG108" s="644"/>
      <c r="HH108" s="9" t="s">
        <v>465</v>
      </c>
      <c r="HI108" s="644"/>
      <c r="HJ108" s="644"/>
      <c r="HK108" s="644"/>
      <c r="HL108" s="5" t="s">
        <v>1759</v>
      </c>
      <c r="HM108" s="644"/>
      <c r="HN108" s="13" t="s">
        <v>465</v>
      </c>
      <c r="HO108" s="644"/>
      <c r="HP108" s="9"/>
      <c r="HQ108" s="644"/>
      <c r="HR108" s="9"/>
      <c r="HS108" s="644"/>
      <c r="HT108" s="656" t="s">
        <v>702</v>
      </c>
      <c r="HU108" s="644"/>
      <c r="HV108" s="9"/>
      <c r="HW108" s="644"/>
      <c r="HX108" s="9"/>
      <c r="HY108" s="644"/>
      <c r="HZ108" s="9"/>
      <c r="IA108" s="644"/>
      <c r="IB108" s="644"/>
      <c r="IC108" s="644"/>
      <c r="ID108" s="5" t="s">
        <v>1232</v>
      </c>
      <c r="IE108" s="644"/>
      <c r="IF108" s="9"/>
      <c r="IG108" s="823"/>
      <c r="IH108" s="9"/>
      <c r="II108" s="644"/>
      <c r="IJ108" s="644"/>
      <c r="IK108" s="644"/>
      <c r="IL108" s="633" t="s">
        <v>465</v>
      </c>
      <c r="IM108" s="644"/>
      <c r="IN108" s="634" t="s">
        <v>465</v>
      </c>
      <c r="IO108" s="644"/>
      <c r="IP108" s="9"/>
      <c r="IQ108" s="644"/>
      <c r="IR108" s="9" t="s">
        <v>783</v>
      </c>
      <c r="IS108" s="644"/>
      <c r="IT108" s="9" t="s">
        <v>701</v>
      </c>
      <c r="IU108" s="644"/>
      <c r="IV108" s="13" t="s">
        <v>504</v>
      </c>
      <c r="IW108" s="644"/>
      <c r="IX108" s="632"/>
      <c r="IY108" s="644"/>
      <c r="IZ108" s="9" t="s">
        <v>504</v>
      </c>
      <c r="JA108" s="644"/>
      <c r="JB108" s="9"/>
      <c r="JC108" s="644"/>
      <c r="JD108" s="9" t="s">
        <v>465</v>
      </c>
      <c r="JE108" s="644"/>
      <c r="JF108" s="644"/>
      <c r="JG108" s="644"/>
      <c r="JH108" s="9"/>
      <c r="JI108" s="644"/>
      <c r="JJ108" s="644"/>
      <c r="JK108" s="644"/>
      <c r="JL108" s="644"/>
      <c r="JM108" s="644"/>
      <c r="JN108" s="9" t="s">
        <v>2491</v>
      </c>
      <c r="JO108" s="644"/>
      <c r="JP108" s="644"/>
      <c r="JQ108" s="644"/>
      <c r="JR108" s="20"/>
      <c r="JS108" s="644"/>
      <c r="JT108" s="9" t="s">
        <v>465</v>
      </c>
      <c r="JU108" s="644"/>
      <c r="JV108" s="9"/>
      <c r="JW108" s="644"/>
      <c r="JX108" s="9" t="s">
        <v>702</v>
      </c>
      <c r="JY108" s="644"/>
    </row>
    <row r="109" spans="1:285" ht="64.5" thickBot="1" x14ac:dyDescent="0.25">
      <c r="A109" s="1568"/>
      <c r="B109" s="1569"/>
      <c r="C109" s="1551"/>
      <c r="D109" s="1563"/>
      <c r="E109" s="755" t="s">
        <v>174</v>
      </c>
      <c r="F109" s="13"/>
      <c r="G109" s="823"/>
      <c r="H109" s="13" t="s">
        <v>465</v>
      </c>
      <c r="I109" s="644"/>
      <c r="J109" s="13" t="s">
        <v>465</v>
      </c>
      <c r="K109" s="644"/>
      <c r="L109" s="9" t="s">
        <v>465</v>
      </c>
      <c r="M109" s="644"/>
      <c r="N109" s="808" t="s">
        <v>465</v>
      </c>
      <c r="O109" s="644"/>
      <c r="P109" s="709">
        <v>1748</v>
      </c>
      <c r="Q109" s="644"/>
      <c r="R109" s="13"/>
      <c r="S109" s="644"/>
      <c r="T109" s="644"/>
      <c r="U109" s="644"/>
      <c r="V109" s="644"/>
      <c r="W109" s="644"/>
      <c r="X109" s="644"/>
      <c r="Y109" s="644"/>
      <c r="Z109" s="13" t="s">
        <v>465</v>
      </c>
      <c r="AA109" s="644"/>
      <c r="AB109" s="703" t="s">
        <v>465</v>
      </c>
      <c r="AC109" s="644"/>
      <c r="AD109" s="5" t="s">
        <v>465</v>
      </c>
      <c r="AE109" s="644"/>
      <c r="AF109" s="644"/>
      <c r="AG109" s="644"/>
      <c r="AH109" s="644"/>
      <c r="AI109" s="644"/>
      <c r="AJ109" s="709"/>
      <c r="AK109" s="644"/>
      <c r="AL109" s="13"/>
      <c r="AM109" s="644"/>
      <c r="AN109" s="13"/>
      <c r="AO109" s="644"/>
      <c r="AP109" s="13">
        <v>20215</v>
      </c>
      <c r="AQ109" s="644"/>
      <c r="AR109" s="13"/>
      <c r="AS109" s="644"/>
      <c r="AT109" s="13"/>
      <c r="AU109" s="644"/>
      <c r="AV109" s="808"/>
      <c r="AW109" s="644"/>
      <c r="AX109" s="13">
        <v>74551</v>
      </c>
      <c r="AY109" s="644"/>
      <c r="AZ109" s="13">
        <v>197457</v>
      </c>
      <c r="BA109" s="644"/>
      <c r="BB109" s="644"/>
      <c r="BC109" s="644"/>
      <c r="BD109" s="5" t="s">
        <v>465</v>
      </c>
      <c r="BE109" s="644"/>
      <c r="BF109" s="13"/>
      <c r="BG109" s="644"/>
      <c r="BH109" s="644"/>
      <c r="BI109" s="644"/>
      <c r="BJ109" s="13"/>
      <c r="BK109" s="644"/>
      <c r="BL109" s="13"/>
      <c r="BM109" s="644"/>
      <c r="BN109" s="13"/>
      <c r="BO109" s="644"/>
      <c r="BP109" s="13"/>
      <c r="BQ109" s="644"/>
      <c r="BR109" s="13"/>
      <c r="BS109" s="644"/>
      <c r="BT109" s="13">
        <v>718</v>
      </c>
      <c r="BU109" s="644"/>
      <c r="BV109" s="13">
        <f>704+722</f>
        <v>1426</v>
      </c>
      <c r="BW109" s="644"/>
      <c r="BX109" s="710"/>
      <c r="BY109" s="644"/>
      <c r="BZ109" s="710"/>
      <c r="CA109" s="644"/>
      <c r="CB109" s="13"/>
      <c r="CC109" s="644"/>
      <c r="CD109" s="644"/>
      <c r="CE109" s="644"/>
      <c r="CF109" s="644"/>
      <c r="CG109" s="644"/>
      <c r="CH109" s="710" t="s">
        <v>465</v>
      </c>
      <c r="CI109" s="13"/>
      <c r="CJ109" s="13" t="s">
        <v>465</v>
      </c>
      <c r="CK109" s="13"/>
      <c r="CL109" s="13" t="s">
        <v>504</v>
      </c>
      <c r="CM109" s="644"/>
      <c r="CN109" s="703" t="s">
        <v>2415</v>
      </c>
      <c r="CO109" s="644"/>
      <c r="CP109" s="703"/>
      <c r="CQ109" s="644"/>
      <c r="CR109" s="13"/>
      <c r="CS109" s="644"/>
      <c r="CT109" s="13"/>
      <c r="CU109" s="644"/>
      <c r="CV109" s="13" t="s">
        <v>465</v>
      </c>
      <c r="CW109" s="644"/>
      <c r="CX109" s="13" t="s">
        <v>465</v>
      </c>
      <c r="CY109" s="644"/>
      <c r="CZ109" s="13" t="s">
        <v>465</v>
      </c>
      <c r="DA109" s="644"/>
      <c r="DB109" s="13" t="s">
        <v>465</v>
      </c>
      <c r="DC109" s="644"/>
      <c r="DD109" s="703"/>
      <c r="DE109" s="644"/>
      <c r="DF109" s="644"/>
      <c r="DG109" s="644"/>
      <c r="DH109" s="13"/>
      <c r="DI109" s="644"/>
      <c r="DJ109" s="809"/>
      <c r="DK109" s="644"/>
      <c r="DL109" s="644"/>
      <c r="DM109" s="644"/>
      <c r="DN109" s="13"/>
      <c r="DO109" s="644"/>
      <c r="DP109" s="644"/>
      <c r="DQ109" s="644"/>
      <c r="DR109" s="644"/>
      <c r="DS109" s="644"/>
      <c r="DT109" s="644"/>
      <c r="DU109" s="644"/>
      <c r="DV109" s="13" t="s">
        <v>465</v>
      </c>
      <c r="DW109" s="644"/>
      <c r="DX109" s="13" t="s">
        <v>465</v>
      </c>
      <c r="DY109" s="644"/>
      <c r="DZ109" s="703" t="s">
        <v>465</v>
      </c>
      <c r="EA109" s="644"/>
      <c r="EB109" s="644"/>
      <c r="EC109" s="644"/>
      <c r="ED109" s="644"/>
      <c r="EE109" s="644"/>
      <c r="EF109" s="13" t="s">
        <v>504</v>
      </c>
      <c r="EG109" s="644"/>
      <c r="EH109" s="810" t="s">
        <v>806</v>
      </c>
      <c r="EI109" s="644"/>
      <c r="EJ109" s="644"/>
      <c r="EK109" s="644"/>
      <c r="EL109" s="644"/>
      <c r="EM109" s="644"/>
      <c r="EN109" s="13"/>
      <c r="EO109" s="644"/>
      <c r="EP109" s="13" t="s">
        <v>504</v>
      </c>
      <c r="EQ109" s="644"/>
      <c r="ER109" s="644"/>
      <c r="ES109" s="644"/>
      <c r="ET109" s="13">
        <v>52</v>
      </c>
      <c r="EU109" s="644"/>
      <c r="EV109" s="13" t="s">
        <v>465</v>
      </c>
      <c r="EW109" s="644"/>
      <c r="EX109" s="13"/>
      <c r="EY109" s="644"/>
      <c r="EZ109" s="13">
        <v>9.1</v>
      </c>
      <c r="FA109" s="644"/>
      <c r="FB109" s="13" t="s">
        <v>1664</v>
      </c>
      <c r="FC109" s="644"/>
      <c r="FD109" s="13" t="s">
        <v>465</v>
      </c>
      <c r="FE109" s="644"/>
      <c r="FF109" s="13" t="s">
        <v>465</v>
      </c>
      <c r="FG109" s="644"/>
      <c r="FH109" s="13"/>
      <c r="FI109" s="644"/>
      <c r="FJ109" s="710">
        <v>0.15620000000000001</v>
      </c>
      <c r="FK109" s="644"/>
      <c r="FL109" s="811">
        <v>0</v>
      </c>
      <c r="FM109" s="644"/>
      <c r="FN109" s="13">
        <v>15923</v>
      </c>
      <c r="FO109" s="644"/>
      <c r="FP109" s="13"/>
      <c r="FQ109" s="644"/>
      <c r="FR109" s="644"/>
      <c r="FS109" s="644"/>
      <c r="FT109" s="644"/>
      <c r="FU109" s="644"/>
      <c r="FV109" s="644"/>
      <c r="FW109" s="644"/>
      <c r="FX109" s="703" t="s">
        <v>1868</v>
      </c>
      <c r="FY109" s="644"/>
      <c r="FZ109" s="644"/>
      <c r="GA109" s="644"/>
      <c r="GB109" s="13"/>
      <c r="GC109" s="644"/>
      <c r="GD109" s="13" t="s">
        <v>2499</v>
      </c>
      <c r="GE109" s="644"/>
      <c r="GF109" s="703" t="s">
        <v>504</v>
      </c>
      <c r="GG109" s="644"/>
      <c r="GH109" s="13">
        <v>0</v>
      </c>
      <c r="GI109" s="644"/>
      <c r="GJ109" s="811">
        <v>8676</v>
      </c>
      <c r="GK109" s="644"/>
      <c r="GL109" s="13"/>
      <c r="GM109" s="644"/>
      <c r="GN109" s="13"/>
      <c r="GO109" s="644"/>
      <c r="GP109" s="13"/>
      <c r="GQ109" s="644"/>
      <c r="GR109" s="13"/>
      <c r="GS109" s="644"/>
      <c r="GT109" s="703">
        <v>390</v>
      </c>
      <c r="GU109" s="644"/>
      <c r="GV109" s="13"/>
      <c r="GW109" s="644"/>
      <c r="GX109" s="13"/>
      <c r="GY109" s="644"/>
      <c r="GZ109" s="13"/>
      <c r="HA109" s="644"/>
      <c r="HB109" s="13"/>
      <c r="HC109" s="644"/>
      <c r="HD109" s="13">
        <f>8075+2912+105+5782+15886+13907+932+1356+2477</f>
        <v>51432</v>
      </c>
      <c r="HE109" s="644"/>
      <c r="HF109" s="13"/>
      <c r="HG109" s="644"/>
      <c r="HH109" s="13" t="s">
        <v>465</v>
      </c>
      <c r="HI109" s="644"/>
      <c r="HJ109" s="644"/>
      <c r="HK109" s="644"/>
      <c r="HL109" s="13" t="s">
        <v>1760</v>
      </c>
      <c r="HM109" s="644"/>
      <c r="HN109" s="13" t="s">
        <v>465</v>
      </c>
      <c r="HO109" s="644"/>
      <c r="HP109" s="13"/>
      <c r="HQ109" s="644"/>
      <c r="HR109" s="13"/>
      <c r="HS109" s="644"/>
      <c r="HT109" s="734" t="s">
        <v>702</v>
      </c>
      <c r="HU109" s="644"/>
      <c r="HV109" s="13"/>
      <c r="HW109" s="644"/>
      <c r="HX109" s="13"/>
      <c r="HY109" s="644"/>
      <c r="HZ109" s="13"/>
      <c r="IA109" s="644"/>
      <c r="IB109" s="644"/>
      <c r="IC109" s="644"/>
      <c r="ID109" s="13"/>
      <c r="IE109" s="644"/>
      <c r="IF109" s="13"/>
      <c r="IG109" s="823"/>
      <c r="IH109" s="13"/>
      <c r="II109" s="644"/>
      <c r="IJ109" s="644"/>
      <c r="IK109" s="644"/>
      <c r="IL109" s="711" t="s">
        <v>465</v>
      </c>
      <c r="IM109" s="644"/>
      <c r="IN109" s="712" t="s">
        <v>465</v>
      </c>
      <c r="IO109" s="644"/>
      <c r="IP109" s="13"/>
      <c r="IQ109" s="644"/>
      <c r="IR109" s="13">
        <v>1049</v>
      </c>
      <c r="IS109" s="644"/>
      <c r="IT109" s="13" t="s">
        <v>701</v>
      </c>
      <c r="IU109" s="644"/>
      <c r="IV109" s="13" t="s">
        <v>504</v>
      </c>
      <c r="IW109" s="644"/>
      <c r="IX109" s="710"/>
      <c r="IY109" s="644"/>
      <c r="IZ109" s="13" t="s">
        <v>504</v>
      </c>
      <c r="JA109" s="644"/>
      <c r="JB109" s="13"/>
      <c r="JC109" s="644"/>
      <c r="JD109" s="13" t="s">
        <v>465</v>
      </c>
      <c r="JE109" s="644"/>
      <c r="JF109" s="644"/>
      <c r="JG109" s="644"/>
      <c r="JH109" s="13"/>
      <c r="JI109" s="644"/>
      <c r="JJ109" s="644"/>
      <c r="JK109" s="644"/>
      <c r="JL109" s="644"/>
      <c r="JM109" s="644"/>
      <c r="JN109" s="13" t="s">
        <v>504</v>
      </c>
      <c r="JO109" s="644"/>
      <c r="JP109" s="644"/>
      <c r="JQ109" s="644"/>
      <c r="JR109" s="713"/>
      <c r="JS109" s="644"/>
      <c r="JT109" s="13" t="s">
        <v>465</v>
      </c>
      <c r="JU109" s="644"/>
      <c r="JV109" s="13"/>
      <c r="JW109" s="644"/>
      <c r="JX109" s="13" t="s">
        <v>702</v>
      </c>
      <c r="JY109" s="644"/>
    </row>
    <row r="110" spans="1:285" ht="26.25" customHeight="1" x14ac:dyDescent="0.2">
      <c r="A110" s="1564" t="s">
        <v>30</v>
      </c>
      <c r="B110" s="1566" t="s">
        <v>206</v>
      </c>
      <c r="C110" s="1544" t="s">
        <v>56</v>
      </c>
      <c r="D110" s="1547" t="s">
        <v>42</v>
      </c>
      <c r="E110" s="755" t="s">
        <v>171</v>
      </c>
      <c r="F110" s="9" t="s">
        <v>504</v>
      </c>
      <c r="G110" s="823"/>
      <c r="H110" s="9" t="s">
        <v>504</v>
      </c>
      <c r="I110" s="644"/>
      <c r="J110" s="9" t="s">
        <v>504</v>
      </c>
      <c r="K110" s="644"/>
      <c r="L110" s="9" t="s">
        <v>465</v>
      </c>
      <c r="M110" s="644"/>
      <c r="N110" s="757" t="s">
        <v>479</v>
      </c>
      <c r="O110" s="644"/>
      <c r="P110" s="84" t="s">
        <v>504</v>
      </c>
      <c r="Q110" s="644"/>
      <c r="R110" s="9"/>
      <c r="S110" s="644"/>
      <c r="T110" s="644"/>
      <c r="U110" s="644"/>
      <c r="V110" s="644"/>
      <c r="W110" s="644"/>
      <c r="X110" s="644"/>
      <c r="Y110" s="644"/>
      <c r="Z110" s="9" t="s">
        <v>2307</v>
      </c>
      <c r="AA110" s="644"/>
      <c r="AB110" s="5" t="s">
        <v>471</v>
      </c>
      <c r="AC110" s="644"/>
      <c r="AD110" s="5" t="s">
        <v>479</v>
      </c>
      <c r="AE110" s="644"/>
      <c r="AF110" s="644"/>
      <c r="AG110" s="644"/>
      <c r="AH110" s="644"/>
      <c r="AI110" s="644"/>
      <c r="AJ110" s="84" t="s">
        <v>504</v>
      </c>
      <c r="AK110" s="644"/>
      <c r="AL110" s="9"/>
      <c r="AM110" s="644"/>
      <c r="AN110" s="9" t="s">
        <v>471</v>
      </c>
      <c r="AO110" s="644"/>
      <c r="AP110" s="9" t="s">
        <v>479</v>
      </c>
      <c r="AQ110" s="644"/>
      <c r="AR110" s="9"/>
      <c r="AS110" s="644"/>
      <c r="AT110" s="5" t="s">
        <v>500</v>
      </c>
      <c r="AU110" s="644"/>
      <c r="AV110" s="757"/>
      <c r="AW110" s="644"/>
      <c r="AX110" s="9" t="s">
        <v>504</v>
      </c>
      <c r="AY110" s="644"/>
      <c r="AZ110" s="9" t="s">
        <v>504</v>
      </c>
      <c r="BA110" s="644"/>
      <c r="BB110" s="644"/>
      <c r="BC110" s="644"/>
      <c r="BD110" s="5" t="s">
        <v>504</v>
      </c>
      <c r="BE110" s="644"/>
      <c r="BF110" s="9" t="s">
        <v>504</v>
      </c>
      <c r="BG110" s="644"/>
      <c r="BH110" s="644"/>
      <c r="BI110" s="644"/>
      <c r="BJ110" s="9" t="s">
        <v>504</v>
      </c>
      <c r="BK110" s="644"/>
      <c r="BL110" s="9" t="s">
        <v>504</v>
      </c>
      <c r="BM110" s="644"/>
      <c r="BN110" s="9" t="s">
        <v>504</v>
      </c>
      <c r="BO110" s="644"/>
      <c r="BP110" s="632" t="s">
        <v>500</v>
      </c>
      <c r="BQ110" s="644"/>
      <c r="BR110" s="9" t="s">
        <v>504</v>
      </c>
      <c r="BS110" s="644"/>
      <c r="BT110" s="9" t="s">
        <v>500</v>
      </c>
      <c r="BU110" s="644"/>
      <c r="BV110" s="9" t="s">
        <v>500</v>
      </c>
      <c r="BW110" s="644"/>
      <c r="BX110" s="632" t="s">
        <v>504</v>
      </c>
      <c r="BY110" s="644"/>
      <c r="BZ110" s="632" t="s">
        <v>504</v>
      </c>
      <c r="CA110" s="644"/>
      <c r="CB110" s="9" t="s">
        <v>500</v>
      </c>
      <c r="CC110" s="644"/>
      <c r="CD110" s="644"/>
      <c r="CE110" s="644"/>
      <c r="CF110" s="644"/>
      <c r="CG110" s="644"/>
      <c r="CH110" s="632" t="s">
        <v>504</v>
      </c>
      <c r="CI110" s="9"/>
      <c r="CJ110" s="9" t="s">
        <v>504</v>
      </c>
      <c r="CK110" s="9"/>
      <c r="CL110" s="9" t="s">
        <v>629</v>
      </c>
      <c r="CM110" s="644"/>
      <c r="CN110" s="9"/>
      <c r="CO110" s="644"/>
      <c r="CP110" s="9" t="s">
        <v>504</v>
      </c>
      <c r="CQ110" s="644"/>
      <c r="CR110" s="9" t="s">
        <v>504</v>
      </c>
      <c r="CS110" s="644"/>
      <c r="CT110" s="9" t="s">
        <v>479</v>
      </c>
      <c r="CU110" s="644"/>
      <c r="CV110" s="9" t="s">
        <v>504</v>
      </c>
      <c r="CW110" s="644"/>
      <c r="CX110" s="9" t="s">
        <v>500</v>
      </c>
      <c r="CY110" s="644"/>
      <c r="CZ110" s="9" t="s">
        <v>504</v>
      </c>
      <c r="DA110" s="644"/>
      <c r="DB110" s="9" t="s">
        <v>504</v>
      </c>
      <c r="DC110" s="644"/>
      <c r="DD110" s="5" t="s">
        <v>504</v>
      </c>
      <c r="DE110" s="644"/>
      <c r="DF110" s="644"/>
      <c r="DG110" s="644"/>
      <c r="DH110" s="5" t="s">
        <v>500</v>
      </c>
      <c r="DI110" s="644"/>
      <c r="DJ110" s="758" t="s">
        <v>504</v>
      </c>
      <c r="DK110" s="644"/>
      <c r="DL110" s="644"/>
      <c r="DM110" s="644"/>
      <c r="DN110" s="9" t="s">
        <v>504</v>
      </c>
      <c r="DO110" s="644"/>
      <c r="DP110" s="644"/>
      <c r="DQ110" s="644"/>
      <c r="DR110" s="644"/>
      <c r="DS110" s="644"/>
      <c r="DT110" s="644"/>
      <c r="DU110" s="644"/>
      <c r="DV110" s="9" t="s">
        <v>504</v>
      </c>
      <c r="DW110" s="644"/>
      <c r="DX110" s="9" t="s">
        <v>504</v>
      </c>
      <c r="DY110" s="644"/>
      <c r="DZ110" s="5" t="s">
        <v>504</v>
      </c>
      <c r="EA110" s="644"/>
      <c r="EB110" s="644"/>
      <c r="EC110" s="644"/>
      <c r="ED110" s="644"/>
      <c r="EE110" s="644"/>
      <c r="EF110" s="9" t="s">
        <v>504</v>
      </c>
      <c r="EG110" s="644"/>
      <c r="EH110" s="759" t="s">
        <v>500</v>
      </c>
      <c r="EI110" s="644"/>
      <c r="EJ110" s="644"/>
      <c r="EK110" s="644"/>
      <c r="EL110" s="644"/>
      <c r="EM110" s="644"/>
      <c r="EN110" s="9" t="s">
        <v>500</v>
      </c>
      <c r="EO110" s="644"/>
      <c r="EP110" s="9" t="s">
        <v>500</v>
      </c>
      <c r="EQ110" s="644"/>
      <c r="ER110" s="644"/>
      <c r="ES110" s="644"/>
      <c r="ET110" s="9" t="s">
        <v>500</v>
      </c>
      <c r="EU110" s="644"/>
      <c r="EV110" s="9" t="s">
        <v>504</v>
      </c>
      <c r="EW110" s="644"/>
      <c r="EX110" s="9" t="s">
        <v>504</v>
      </c>
      <c r="EY110" s="644"/>
      <c r="EZ110" s="9" t="s">
        <v>504</v>
      </c>
      <c r="FA110" s="644"/>
      <c r="FB110" s="9" t="s">
        <v>504</v>
      </c>
      <c r="FC110" s="644"/>
      <c r="FD110" s="9" t="s">
        <v>504</v>
      </c>
      <c r="FE110" s="644"/>
      <c r="FF110" s="9" t="s">
        <v>504</v>
      </c>
      <c r="FG110" s="644"/>
      <c r="FH110" s="9" t="s">
        <v>504</v>
      </c>
      <c r="FI110" s="644"/>
      <c r="FJ110" s="9"/>
      <c r="FK110" s="644"/>
      <c r="FL110" s="760" t="s">
        <v>504</v>
      </c>
      <c r="FM110" s="644"/>
      <c r="FN110" s="9" t="s">
        <v>500</v>
      </c>
      <c r="FO110" s="644"/>
      <c r="FP110" s="9" t="s">
        <v>504</v>
      </c>
      <c r="FQ110" s="644"/>
      <c r="FR110" s="644"/>
      <c r="FS110" s="644"/>
      <c r="FT110" s="644"/>
      <c r="FU110" s="644"/>
      <c r="FV110" s="644"/>
      <c r="FW110" s="644"/>
      <c r="FX110" s="5" t="s">
        <v>504</v>
      </c>
      <c r="FY110" s="644"/>
      <c r="FZ110" s="644"/>
      <c r="GA110" s="644"/>
      <c r="GB110" s="9" t="s">
        <v>504</v>
      </c>
      <c r="GC110" s="644"/>
      <c r="GD110" s="13" t="s">
        <v>2499</v>
      </c>
      <c r="GE110" s="644"/>
      <c r="GF110" s="5" t="s">
        <v>504</v>
      </c>
      <c r="GG110" s="644"/>
      <c r="GH110" s="9" t="s">
        <v>504</v>
      </c>
      <c r="GI110" s="644"/>
      <c r="GJ110" s="780" t="s">
        <v>479</v>
      </c>
      <c r="GK110" s="644"/>
      <c r="GL110" s="9" t="s">
        <v>504</v>
      </c>
      <c r="GM110" s="644"/>
      <c r="GN110" s="9" t="s">
        <v>504</v>
      </c>
      <c r="GO110" s="644"/>
      <c r="GP110" s="9" t="s">
        <v>504</v>
      </c>
      <c r="GQ110" s="644"/>
      <c r="GR110" s="9"/>
      <c r="GS110" s="644"/>
      <c r="GT110" s="9" t="s">
        <v>504</v>
      </c>
      <c r="GU110" s="644"/>
      <c r="GV110" s="9" t="s">
        <v>504</v>
      </c>
      <c r="GW110" s="644"/>
      <c r="GX110" s="9" t="s">
        <v>500</v>
      </c>
      <c r="GY110" s="644"/>
      <c r="GZ110" s="9" t="s">
        <v>504</v>
      </c>
      <c r="HA110" s="644"/>
      <c r="HB110" s="9" t="s">
        <v>500</v>
      </c>
      <c r="HC110" s="644"/>
      <c r="HD110" s="9"/>
      <c r="HE110" s="644"/>
      <c r="HF110" s="9"/>
      <c r="HG110" s="644"/>
      <c r="HH110" s="9" t="s">
        <v>504</v>
      </c>
      <c r="HI110" s="644"/>
      <c r="HJ110" s="644"/>
      <c r="HK110" s="644"/>
      <c r="HL110" s="9" t="s">
        <v>504</v>
      </c>
      <c r="HM110" s="644"/>
      <c r="HN110" s="9" t="s">
        <v>500</v>
      </c>
      <c r="HO110" s="644"/>
      <c r="HP110" s="9" t="s">
        <v>504</v>
      </c>
      <c r="HQ110" s="644"/>
      <c r="HR110" s="9" t="s">
        <v>500</v>
      </c>
      <c r="HS110" s="644"/>
      <c r="HT110" s="633" t="s">
        <v>500</v>
      </c>
      <c r="HU110" s="644"/>
      <c r="HV110" s="9" t="s">
        <v>504</v>
      </c>
      <c r="HW110" s="644"/>
      <c r="HX110" s="9" t="s">
        <v>504</v>
      </c>
      <c r="HY110" s="644"/>
      <c r="HZ110" s="9" t="s">
        <v>504</v>
      </c>
      <c r="IA110" s="644"/>
      <c r="IB110" s="644"/>
      <c r="IC110" s="644"/>
      <c r="ID110" s="9" t="s">
        <v>504</v>
      </c>
      <c r="IE110" s="644"/>
      <c r="IF110" s="5" t="s">
        <v>504</v>
      </c>
      <c r="IG110" s="823"/>
      <c r="IH110" s="9" t="s">
        <v>500</v>
      </c>
      <c r="II110" s="644"/>
      <c r="IJ110" s="644"/>
      <c r="IK110" s="644"/>
      <c r="IL110" s="633" t="s">
        <v>504</v>
      </c>
      <c r="IM110" s="644"/>
      <c r="IN110" s="634" t="s">
        <v>500</v>
      </c>
      <c r="IO110" s="644"/>
      <c r="IP110" s="9" t="s">
        <v>504</v>
      </c>
      <c r="IQ110" s="644"/>
      <c r="IR110" s="9" t="s">
        <v>504</v>
      </c>
      <c r="IS110" s="644"/>
      <c r="IT110" s="9" t="s">
        <v>504</v>
      </c>
      <c r="IU110" s="644"/>
      <c r="IV110" s="13" t="s">
        <v>504</v>
      </c>
      <c r="IW110" s="644"/>
      <c r="IX110" s="632" t="s">
        <v>500</v>
      </c>
      <c r="IY110" s="644"/>
      <c r="IZ110" s="9" t="s">
        <v>504</v>
      </c>
      <c r="JA110" s="644"/>
      <c r="JB110" s="9"/>
      <c r="JC110" s="644"/>
      <c r="JD110" s="9" t="s">
        <v>479</v>
      </c>
      <c r="JE110" s="644"/>
      <c r="JF110" s="644"/>
      <c r="JG110" s="644"/>
      <c r="JH110" s="9"/>
      <c r="JI110" s="644"/>
      <c r="JJ110" s="644"/>
      <c r="JK110" s="644"/>
      <c r="JL110" s="644"/>
      <c r="JM110" s="644"/>
      <c r="JN110" s="9" t="s">
        <v>500</v>
      </c>
      <c r="JO110" s="644"/>
      <c r="JP110" s="644"/>
      <c r="JQ110" s="644"/>
      <c r="JR110" s="20" t="s">
        <v>504</v>
      </c>
      <c r="JS110" s="644"/>
      <c r="JT110" s="9" t="s">
        <v>500</v>
      </c>
      <c r="JU110" s="644"/>
      <c r="JV110" s="9"/>
      <c r="JW110" s="644"/>
      <c r="JX110" s="9" t="s">
        <v>504</v>
      </c>
      <c r="JY110" s="644"/>
    </row>
    <row r="111" spans="1:285" ht="204" x14ac:dyDescent="0.2">
      <c r="A111" s="1565"/>
      <c r="B111" s="1567"/>
      <c r="C111" s="1550"/>
      <c r="D111" s="1552"/>
      <c r="E111" s="755" t="s">
        <v>172</v>
      </c>
      <c r="F111" s="9"/>
      <c r="G111" s="823"/>
      <c r="H111" s="9" t="s">
        <v>465</v>
      </c>
      <c r="I111" s="644"/>
      <c r="J111" s="9" t="s">
        <v>465</v>
      </c>
      <c r="K111" s="644"/>
      <c r="L111" s="9" t="s">
        <v>465</v>
      </c>
      <c r="M111" s="644"/>
      <c r="N111" s="757" t="s">
        <v>465</v>
      </c>
      <c r="O111" s="644"/>
      <c r="P111" s="84" t="s">
        <v>465</v>
      </c>
      <c r="Q111" s="644"/>
      <c r="R111" s="9"/>
      <c r="S111" s="644"/>
      <c r="T111" s="644"/>
      <c r="U111" s="644"/>
      <c r="V111" s="644"/>
      <c r="W111" s="644"/>
      <c r="X111" s="644"/>
      <c r="Y111" s="644"/>
      <c r="Z111" s="9" t="s">
        <v>465</v>
      </c>
      <c r="AA111" s="644"/>
      <c r="AB111" s="23" t="s">
        <v>2330</v>
      </c>
      <c r="AC111" s="644"/>
      <c r="AD111" s="5" t="s">
        <v>465</v>
      </c>
      <c r="AE111" s="644"/>
      <c r="AF111" s="644"/>
      <c r="AG111" s="644"/>
      <c r="AH111" s="644"/>
      <c r="AI111" s="644"/>
      <c r="AJ111" s="84"/>
      <c r="AK111" s="644"/>
      <c r="AL111" s="9"/>
      <c r="AM111" s="644"/>
      <c r="AN111" s="9" t="s">
        <v>983</v>
      </c>
      <c r="AO111" s="644"/>
      <c r="AP111" s="9"/>
      <c r="AQ111" s="644"/>
      <c r="AR111" s="9"/>
      <c r="AS111" s="644"/>
      <c r="AT111" s="5" t="s">
        <v>603</v>
      </c>
      <c r="AU111" s="644"/>
      <c r="AV111" s="757"/>
      <c r="AW111" s="644"/>
      <c r="AX111" s="9"/>
      <c r="AY111" s="644"/>
      <c r="AZ111" s="9"/>
      <c r="BA111" s="644"/>
      <c r="BB111" s="644"/>
      <c r="BC111" s="644"/>
      <c r="BD111" s="5" t="s">
        <v>465</v>
      </c>
      <c r="BE111" s="644"/>
      <c r="BF111" s="9"/>
      <c r="BG111" s="644"/>
      <c r="BH111" s="644"/>
      <c r="BI111" s="644"/>
      <c r="BJ111" s="9"/>
      <c r="BK111" s="644"/>
      <c r="BL111" s="9"/>
      <c r="BM111" s="644"/>
      <c r="BN111" s="9"/>
      <c r="BO111" s="644"/>
      <c r="BP111" s="632"/>
      <c r="BQ111" s="644"/>
      <c r="BR111" s="9"/>
      <c r="BS111" s="644"/>
      <c r="BT111" s="9" t="s">
        <v>935</v>
      </c>
      <c r="BU111" s="644"/>
      <c r="BV111" s="9" t="s">
        <v>954</v>
      </c>
      <c r="BW111" s="644"/>
      <c r="BX111" s="632"/>
      <c r="BY111" s="644"/>
      <c r="BZ111" s="632"/>
      <c r="CA111" s="644"/>
      <c r="CB111" s="822" t="s">
        <v>911</v>
      </c>
      <c r="CC111" s="644"/>
      <c r="CD111" s="644"/>
      <c r="CE111" s="644"/>
      <c r="CF111" s="644"/>
      <c r="CG111" s="644"/>
      <c r="CH111" s="683" t="s">
        <v>465</v>
      </c>
      <c r="CI111" s="9"/>
      <c r="CJ111" s="9" t="s">
        <v>465</v>
      </c>
      <c r="CK111" s="9"/>
      <c r="CL111" s="9" t="s">
        <v>504</v>
      </c>
      <c r="CM111" s="644"/>
      <c r="CN111" s="9"/>
      <c r="CO111" s="644"/>
      <c r="CP111" s="9"/>
      <c r="CQ111" s="644"/>
      <c r="CR111" s="9"/>
      <c r="CS111" s="644"/>
      <c r="CT111" s="9"/>
      <c r="CU111" s="644"/>
      <c r="CV111" s="9" t="s">
        <v>465</v>
      </c>
      <c r="CW111" s="644"/>
      <c r="CX111" s="9" t="s">
        <v>842</v>
      </c>
      <c r="CY111" s="644"/>
      <c r="CZ111" s="9" t="s">
        <v>465</v>
      </c>
      <c r="DA111" s="644"/>
      <c r="DB111" s="9" t="s">
        <v>465</v>
      </c>
      <c r="DC111" s="644"/>
      <c r="DD111" s="5" t="s">
        <v>465</v>
      </c>
      <c r="DE111" s="644"/>
      <c r="DF111" s="644"/>
      <c r="DG111" s="644"/>
      <c r="DH111" s="23" t="s">
        <v>877</v>
      </c>
      <c r="DI111" s="644"/>
      <c r="DJ111" s="758"/>
      <c r="DK111" s="644"/>
      <c r="DL111" s="644"/>
      <c r="DM111" s="644"/>
      <c r="DN111" s="9"/>
      <c r="DO111" s="644"/>
      <c r="DP111" s="644"/>
      <c r="DQ111" s="644"/>
      <c r="DR111" s="644"/>
      <c r="DS111" s="644"/>
      <c r="DT111" s="644"/>
      <c r="DU111" s="644"/>
      <c r="DV111" s="9" t="s">
        <v>465</v>
      </c>
      <c r="DW111" s="644"/>
      <c r="DX111" s="9" t="s">
        <v>465</v>
      </c>
      <c r="DY111" s="644"/>
      <c r="DZ111" s="5" t="s">
        <v>465</v>
      </c>
      <c r="EA111" s="644"/>
      <c r="EB111" s="644"/>
      <c r="EC111" s="644"/>
      <c r="ED111" s="644"/>
      <c r="EE111" s="644"/>
      <c r="EF111" s="9" t="s">
        <v>504</v>
      </c>
      <c r="EG111" s="644"/>
      <c r="EH111" s="759" t="s">
        <v>2062</v>
      </c>
      <c r="EI111" s="644"/>
      <c r="EJ111" s="644"/>
      <c r="EK111" s="644"/>
      <c r="EL111" s="644"/>
      <c r="EM111" s="644"/>
      <c r="EN111" s="9" t="s">
        <v>1437</v>
      </c>
      <c r="EO111" s="644"/>
      <c r="EP111" s="9" t="s">
        <v>1208</v>
      </c>
      <c r="EQ111" s="644"/>
      <c r="ER111" s="644"/>
      <c r="ES111" s="644"/>
      <c r="ET111" s="9" t="s">
        <v>1452</v>
      </c>
      <c r="EU111" s="644"/>
      <c r="EV111" s="9" t="s">
        <v>465</v>
      </c>
      <c r="EW111" s="644"/>
      <c r="EX111" s="9"/>
      <c r="EY111" s="644"/>
      <c r="EZ111" s="9"/>
      <c r="FA111" s="644"/>
      <c r="FB111" s="9"/>
      <c r="FC111" s="644"/>
      <c r="FD111" s="9" t="s">
        <v>465</v>
      </c>
      <c r="FE111" s="644"/>
      <c r="FF111" s="9" t="s">
        <v>465</v>
      </c>
      <c r="FG111" s="644"/>
      <c r="FH111" s="9"/>
      <c r="FI111" s="644"/>
      <c r="FJ111" s="9"/>
      <c r="FK111" s="644"/>
      <c r="FL111" s="824" t="s">
        <v>504</v>
      </c>
      <c r="FM111" s="644"/>
      <c r="FN111" s="9" t="s">
        <v>1623</v>
      </c>
      <c r="FO111" s="644"/>
      <c r="FP111" s="9"/>
      <c r="FQ111" s="644"/>
      <c r="FR111" s="644"/>
      <c r="FS111" s="644"/>
      <c r="FT111" s="644"/>
      <c r="FU111" s="644"/>
      <c r="FV111" s="644"/>
      <c r="FW111" s="644"/>
      <c r="FX111" s="5" t="s">
        <v>465</v>
      </c>
      <c r="FY111" s="644"/>
      <c r="FZ111" s="644"/>
      <c r="GA111" s="644"/>
      <c r="GB111" s="9"/>
      <c r="GC111" s="644"/>
      <c r="GD111" s="13" t="s">
        <v>2499</v>
      </c>
      <c r="GE111" s="644"/>
      <c r="GF111" s="5" t="s">
        <v>504</v>
      </c>
      <c r="GG111" s="644"/>
      <c r="GH111" s="9" t="s">
        <v>2008</v>
      </c>
      <c r="GI111" s="644"/>
      <c r="GJ111" s="780" t="s">
        <v>465</v>
      </c>
      <c r="GK111" s="644"/>
      <c r="GL111" s="9"/>
      <c r="GM111" s="644"/>
      <c r="GN111" s="9"/>
      <c r="GO111" s="644"/>
      <c r="GP111" s="9"/>
      <c r="GQ111" s="644"/>
      <c r="GR111" s="9"/>
      <c r="GS111" s="644"/>
      <c r="GT111" s="9"/>
      <c r="GU111" s="644"/>
      <c r="GV111" s="9"/>
      <c r="GW111" s="644"/>
      <c r="GX111" s="739" t="s">
        <v>1909</v>
      </c>
      <c r="GY111" s="644"/>
      <c r="GZ111" s="9"/>
      <c r="HA111" s="644"/>
      <c r="HB111" s="9" t="s">
        <v>1808</v>
      </c>
      <c r="HC111" s="644"/>
      <c r="HD111" s="9"/>
      <c r="HE111" s="644"/>
      <c r="HF111" s="9"/>
      <c r="HG111" s="644"/>
      <c r="HH111" s="9" t="s">
        <v>465</v>
      </c>
      <c r="HI111" s="644"/>
      <c r="HJ111" s="644"/>
      <c r="HK111" s="644"/>
      <c r="HL111" s="9"/>
      <c r="HM111" s="644"/>
      <c r="HN111" s="9" t="s">
        <v>1782</v>
      </c>
      <c r="HO111" s="644"/>
      <c r="HP111" s="9"/>
      <c r="HQ111" s="644"/>
      <c r="HR111" s="9" t="s">
        <v>1294</v>
      </c>
      <c r="HS111" s="644"/>
      <c r="HT111" s="633" t="s">
        <v>1305</v>
      </c>
      <c r="HU111" s="644"/>
      <c r="HV111" s="9"/>
      <c r="HW111" s="644"/>
      <c r="HX111" s="9"/>
      <c r="HY111" s="644"/>
      <c r="HZ111" s="9"/>
      <c r="IA111" s="644"/>
      <c r="IB111" s="644"/>
      <c r="IC111" s="644"/>
      <c r="ID111" s="9"/>
      <c r="IE111" s="644"/>
      <c r="IF111" s="5"/>
      <c r="IG111" s="823"/>
      <c r="IH111" s="5" t="s">
        <v>1332</v>
      </c>
      <c r="II111" s="644"/>
      <c r="IJ111" s="644"/>
      <c r="IK111" s="644"/>
      <c r="IL111" s="633" t="s">
        <v>465</v>
      </c>
      <c r="IM111" s="644"/>
      <c r="IN111" s="634" t="s">
        <v>1358</v>
      </c>
      <c r="IO111" s="644"/>
      <c r="IP111" s="9"/>
      <c r="IQ111" s="644"/>
      <c r="IR111" s="9"/>
      <c r="IS111" s="644"/>
      <c r="IT111" s="9" t="s">
        <v>701</v>
      </c>
      <c r="IU111" s="644"/>
      <c r="IV111" s="13" t="s">
        <v>504</v>
      </c>
      <c r="IW111" s="644"/>
      <c r="IX111" s="653" t="s">
        <v>1112</v>
      </c>
      <c r="IY111" s="644"/>
      <c r="IZ111" s="9" t="s">
        <v>504</v>
      </c>
      <c r="JA111" s="644"/>
      <c r="JB111" s="9"/>
      <c r="JC111" s="644"/>
      <c r="JD111" s="9" t="s">
        <v>465</v>
      </c>
      <c r="JE111" s="644"/>
      <c r="JF111" s="644"/>
      <c r="JG111" s="644"/>
      <c r="JH111" s="9"/>
      <c r="JI111" s="644"/>
      <c r="JJ111" s="644"/>
      <c r="JK111" s="644"/>
      <c r="JL111" s="644"/>
      <c r="JM111" s="644"/>
      <c r="JN111" s="9" t="s">
        <v>2492</v>
      </c>
      <c r="JO111" s="644"/>
      <c r="JP111" s="644"/>
      <c r="JQ111" s="644"/>
      <c r="JR111" s="20"/>
      <c r="JS111" s="644"/>
      <c r="JT111" s="9" t="s">
        <v>1132</v>
      </c>
      <c r="JU111" s="644"/>
      <c r="JV111" s="9"/>
      <c r="JW111" s="644"/>
      <c r="JX111" s="9" t="s">
        <v>702</v>
      </c>
      <c r="JY111" s="644"/>
    </row>
    <row r="112" spans="1:285" ht="51.75" thickBot="1" x14ac:dyDescent="0.25">
      <c r="A112" s="1565"/>
      <c r="B112" s="1567"/>
      <c r="C112" s="1551"/>
      <c r="D112" s="1560"/>
      <c r="E112" s="755" t="s">
        <v>174</v>
      </c>
      <c r="F112" s="13"/>
      <c r="G112" s="823"/>
      <c r="H112" s="13" t="s">
        <v>465</v>
      </c>
      <c r="I112" s="644"/>
      <c r="J112" s="13" t="s">
        <v>465</v>
      </c>
      <c r="K112" s="644"/>
      <c r="L112" s="9" t="s">
        <v>465</v>
      </c>
      <c r="M112" s="644"/>
      <c r="N112" s="808" t="s">
        <v>465</v>
      </c>
      <c r="O112" s="644"/>
      <c r="P112" s="709" t="s">
        <v>465</v>
      </c>
      <c r="Q112" s="644"/>
      <c r="R112" s="13"/>
      <c r="S112" s="644"/>
      <c r="T112" s="644"/>
      <c r="U112" s="644"/>
      <c r="V112" s="644"/>
      <c r="W112" s="644"/>
      <c r="X112" s="644"/>
      <c r="Y112" s="644"/>
      <c r="Z112" s="13" t="s">
        <v>465</v>
      </c>
      <c r="AA112" s="644"/>
      <c r="AB112" s="13">
        <v>16291</v>
      </c>
      <c r="AC112" s="644"/>
      <c r="AD112" s="5" t="s">
        <v>465</v>
      </c>
      <c r="AE112" s="644"/>
      <c r="AF112" s="644"/>
      <c r="AG112" s="644"/>
      <c r="AH112" s="644"/>
      <c r="AI112" s="644"/>
      <c r="AJ112" s="709"/>
      <c r="AK112" s="644"/>
      <c r="AL112" s="13"/>
      <c r="AM112" s="644"/>
      <c r="AN112" s="13">
        <v>20440</v>
      </c>
      <c r="AO112" s="644"/>
      <c r="AP112" s="13"/>
      <c r="AQ112" s="644"/>
      <c r="AR112" s="13"/>
      <c r="AS112" s="644"/>
      <c r="AT112" s="703">
        <v>207308</v>
      </c>
      <c r="AU112" s="644"/>
      <c r="AV112" s="808"/>
      <c r="AW112" s="644"/>
      <c r="AX112" s="13"/>
      <c r="AY112" s="644"/>
      <c r="AZ112" s="13"/>
      <c r="BA112" s="644"/>
      <c r="BB112" s="644"/>
      <c r="BC112" s="644"/>
      <c r="BD112" s="5" t="s">
        <v>465</v>
      </c>
      <c r="BE112" s="644"/>
      <c r="BF112" s="13"/>
      <c r="BG112" s="644"/>
      <c r="BH112" s="644"/>
      <c r="BI112" s="644"/>
      <c r="BJ112" s="13"/>
      <c r="BK112" s="644"/>
      <c r="BL112" s="13"/>
      <c r="BM112" s="644"/>
      <c r="BN112" s="13"/>
      <c r="BO112" s="644"/>
      <c r="BP112" s="710"/>
      <c r="BQ112" s="644"/>
      <c r="BR112" s="13"/>
      <c r="BS112" s="644"/>
      <c r="BT112" s="13">
        <v>1463</v>
      </c>
      <c r="BU112" s="644"/>
      <c r="BV112" s="13" t="s">
        <v>955</v>
      </c>
      <c r="BW112" s="644"/>
      <c r="BX112" s="710"/>
      <c r="BY112" s="644"/>
      <c r="BZ112" s="710"/>
      <c r="CA112" s="644"/>
      <c r="CB112" s="13"/>
      <c r="CC112" s="644"/>
      <c r="CD112" s="644"/>
      <c r="CE112" s="644"/>
      <c r="CF112" s="644"/>
      <c r="CG112" s="644"/>
      <c r="CH112" s="683" t="s">
        <v>465</v>
      </c>
      <c r="CI112" s="13"/>
      <c r="CJ112" s="13" t="s">
        <v>465</v>
      </c>
      <c r="CK112" s="13"/>
      <c r="CL112" s="13" t="s">
        <v>504</v>
      </c>
      <c r="CM112" s="644"/>
      <c r="CN112" s="13"/>
      <c r="CO112" s="644"/>
      <c r="CP112" s="13"/>
      <c r="CQ112" s="644"/>
      <c r="CR112" s="13"/>
      <c r="CS112" s="644"/>
      <c r="CT112" s="13"/>
      <c r="CU112" s="644"/>
      <c r="CV112" s="13" t="s">
        <v>465</v>
      </c>
      <c r="CW112" s="644"/>
      <c r="CX112" s="13">
        <v>450</v>
      </c>
      <c r="CY112" s="644"/>
      <c r="CZ112" s="13" t="s">
        <v>465</v>
      </c>
      <c r="DA112" s="644"/>
      <c r="DB112" s="13" t="s">
        <v>465</v>
      </c>
      <c r="DC112" s="644"/>
      <c r="DD112" s="703" t="s">
        <v>465</v>
      </c>
      <c r="DE112" s="644"/>
      <c r="DF112" s="644"/>
      <c r="DG112" s="644"/>
      <c r="DH112" s="703">
        <v>57000</v>
      </c>
      <c r="DI112" s="644"/>
      <c r="DJ112" s="809"/>
      <c r="DK112" s="644"/>
      <c r="DL112" s="644"/>
      <c r="DM112" s="644"/>
      <c r="DN112" s="13"/>
      <c r="DO112" s="644"/>
      <c r="DP112" s="644"/>
      <c r="DQ112" s="644"/>
      <c r="DR112" s="644"/>
      <c r="DS112" s="644"/>
      <c r="DT112" s="644"/>
      <c r="DU112" s="644"/>
      <c r="DV112" s="13" t="s">
        <v>465</v>
      </c>
      <c r="DW112" s="644"/>
      <c r="DX112" s="13" t="s">
        <v>465</v>
      </c>
      <c r="DY112" s="644"/>
      <c r="DZ112" s="703" t="s">
        <v>465</v>
      </c>
      <c r="EA112" s="644"/>
      <c r="EB112" s="644"/>
      <c r="EC112" s="644"/>
      <c r="ED112" s="644"/>
      <c r="EE112" s="644"/>
      <c r="EF112" s="13" t="s">
        <v>504</v>
      </c>
      <c r="EG112" s="644"/>
      <c r="EH112" s="810" t="s">
        <v>806</v>
      </c>
      <c r="EI112" s="644"/>
      <c r="EJ112" s="644"/>
      <c r="EK112" s="644"/>
      <c r="EL112" s="644"/>
      <c r="EM112" s="644"/>
      <c r="EN112" s="13">
        <v>216114</v>
      </c>
      <c r="EO112" s="644"/>
      <c r="EP112" s="13" t="s">
        <v>1210</v>
      </c>
      <c r="EQ112" s="644"/>
      <c r="ER112" s="644"/>
      <c r="ES112" s="644"/>
      <c r="ET112" s="13">
        <v>160951</v>
      </c>
      <c r="EU112" s="644"/>
      <c r="EV112" s="13" t="s">
        <v>465</v>
      </c>
      <c r="EW112" s="644"/>
      <c r="EX112" s="13"/>
      <c r="EY112" s="644"/>
      <c r="EZ112" s="13"/>
      <c r="FA112" s="644"/>
      <c r="FB112" s="13"/>
      <c r="FC112" s="644"/>
      <c r="FD112" s="13" t="s">
        <v>465</v>
      </c>
      <c r="FE112" s="644"/>
      <c r="FF112" s="13" t="s">
        <v>465</v>
      </c>
      <c r="FG112" s="644"/>
      <c r="FH112" s="13"/>
      <c r="FI112" s="644"/>
      <c r="FJ112" s="13"/>
      <c r="FK112" s="644"/>
      <c r="FL112" s="811">
        <v>0</v>
      </c>
      <c r="FM112" s="644"/>
      <c r="FN112" s="13">
        <v>6973</v>
      </c>
      <c r="FO112" s="644"/>
      <c r="FP112" s="13"/>
      <c r="FQ112" s="644"/>
      <c r="FR112" s="644"/>
      <c r="FS112" s="644"/>
      <c r="FT112" s="644"/>
      <c r="FU112" s="644"/>
      <c r="FV112" s="644"/>
      <c r="FW112" s="644"/>
      <c r="FX112" s="703" t="s">
        <v>465</v>
      </c>
      <c r="FY112" s="644"/>
      <c r="FZ112" s="644"/>
      <c r="GA112" s="644"/>
      <c r="GB112" s="13"/>
      <c r="GC112" s="644"/>
      <c r="GD112" s="13" t="s">
        <v>2499</v>
      </c>
      <c r="GE112" s="644"/>
      <c r="GF112" s="703" t="s">
        <v>504</v>
      </c>
      <c r="GG112" s="644"/>
      <c r="GH112" s="13">
        <v>0</v>
      </c>
      <c r="GI112" s="644"/>
      <c r="GJ112" s="811" t="s">
        <v>465</v>
      </c>
      <c r="GK112" s="644"/>
      <c r="GL112" s="13"/>
      <c r="GM112" s="644"/>
      <c r="GN112" s="13"/>
      <c r="GO112" s="644"/>
      <c r="GP112" s="13"/>
      <c r="GQ112" s="644"/>
      <c r="GR112" s="13"/>
      <c r="GS112" s="644"/>
      <c r="GT112" s="13"/>
      <c r="GU112" s="644"/>
      <c r="GV112" s="13"/>
      <c r="GW112" s="644"/>
      <c r="GX112" s="13">
        <v>20117</v>
      </c>
      <c r="GY112" s="644"/>
      <c r="GZ112" s="13"/>
      <c r="HA112" s="644"/>
      <c r="HB112" s="13">
        <v>5542</v>
      </c>
      <c r="HC112" s="644"/>
      <c r="HD112" s="13"/>
      <c r="HE112" s="644"/>
      <c r="HF112" s="13"/>
      <c r="HG112" s="644"/>
      <c r="HH112" s="13" t="s">
        <v>465</v>
      </c>
      <c r="HI112" s="644"/>
      <c r="HJ112" s="644"/>
      <c r="HK112" s="644"/>
      <c r="HL112" s="13"/>
      <c r="HM112" s="644"/>
      <c r="HN112" s="703">
        <v>5555</v>
      </c>
      <c r="HO112" s="644"/>
      <c r="HP112" s="13"/>
      <c r="HQ112" s="644"/>
      <c r="HR112" s="13">
        <v>106</v>
      </c>
      <c r="HS112" s="644"/>
      <c r="HT112" s="734" t="s">
        <v>702</v>
      </c>
      <c r="HU112" s="644"/>
      <c r="HV112" s="13"/>
      <c r="HW112" s="644"/>
      <c r="HX112" s="13"/>
      <c r="HY112" s="644"/>
      <c r="HZ112" s="13"/>
      <c r="IA112" s="644"/>
      <c r="IB112" s="644"/>
      <c r="IC112" s="644"/>
      <c r="ID112" s="13"/>
      <c r="IE112" s="644"/>
      <c r="IF112" s="703"/>
      <c r="IG112" s="823"/>
      <c r="IH112" s="13">
        <v>518000</v>
      </c>
      <c r="II112" s="644"/>
      <c r="IJ112" s="644"/>
      <c r="IK112" s="644"/>
      <c r="IL112" s="711" t="s">
        <v>465</v>
      </c>
      <c r="IM112" s="644"/>
      <c r="IN112" s="712">
        <v>1815</v>
      </c>
      <c r="IO112" s="644"/>
      <c r="IP112" s="13"/>
      <c r="IQ112" s="644"/>
      <c r="IR112" s="13"/>
      <c r="IS112" s="644"/>
      <c r="IT112" s="13" t="s">
        <v>701</v>
      </c>
      <c r="IU112" s="644"/>
      <c r="IV112" s="13" t="s">
        <v>504</v>
      </c>
      <c r="IW112" s="644"/>
      <c r="IX112" s="710">
        <v>85584</v>
      </c>
      <c r="IY112" s="644"/>
      <c r="IZ112" s="13" t="s">
        <v>504</v>
      </c>
      <c r="JA112" s="644"/>
      <c r="JB112" s="13"/>
      <c r="JC112" s="644"/>
      <c r="JD112" s="13" t="s">
        <v>465</v>
      </c>
      <c r="JE112" s="644"/>
      <c r="JF112" s="644"/>
      <c r="JG112" s="644"/>
      <c r="JH112" s="13"/>
      <c r="JI112" s="644"/>
      <c r="JJ112" s="644"/>
      <c r="JK112" s="644"/>
      <c r="JL112" s="644"/>
      <c r="JM112" s="644"/>
      <c r="JN112" s="13">
        <v>68039</v>
      </c>
      <c r="JO112" s="644"/>
      <c r="JP112" s="644"/>
      <c r="JQ112" s="644"/>
      <c r="JR112" s="713"/>
      <c r="JS112" s="644"/>
      <c r="JT112" s="13">
        <v>89</v>
      </c>
      <c r="JU112" s="644"/>
      <c r="JV112" s="13"/>
      <c r="JW112" s="644"/>
      <c r="JX112" s="13" t="s">
        <v>702</v>
      </c>
      <c r="JY112" s="644"/>
    </row>
    <row r="113" spans="1:285" ht="22.5" customHeight="1" x14ac:dyDescent="0.2">
      <c r="A113" s="1565"/>
      <c r="B113" s="1567"/>
      <c r="C113" s="1544" t="s">
        <v>57</v>
      </c>
      <c r="D113" s="1547" t="s">
        <v>281</v>
      </c>
      <c r="E113" s="755" t="s">
        <v>171</v>
      </c>
      <c r="F113" s="9" t="s">
        <v>504</v>
      </c>
      <c r="G113" s="823"/>
      <c r="H113" s="9" t="s">
        <v>504</v>
      </c>
      <c r="I113" s="644"/>
      <c r="J113" s="9" t="s">
        <v>504</v>
      </c>
      <c r="K113" s="644"/>
      <c r="L113" s="9" t="s">
        <v>465</v>
      </c>
      <c r="M113" s="644"/>
      <c r="N113" s="757" t="s">
        <v>471</v>
      </c>
      <c r="O113" s="644"/>
      <c r="P113" s="84" t="s">
        <v>504</v>
      </c>
      <c r="Q113" s="644"/>
      <c r="R113" s="9" t="s">
        <v>471</v>
      </c>
      <c r="S113" s="644"/>
      <c r="T113" s="644"/>
      <c r="U113" s="644"/>
      <c r="V113" s="644"/>
      <c r="W113" s="644"/>
      <c r="X113" s="644"/>
      <c r="Y113" s="644"/>
      <c r="Z113" s="9" t="s">
        <v>2307</v>
      </c>
      <c r="AA113" s="644"/>
      <c r="AB113" s="9" t="s">
        <v>471</v>
      </c>
      <c r="AC113" s="644"/>
      <c r="AD113" s="9" t="s">
        <v>471</v>
      </c>
      <c r="AE113" s="644"/>
      <c r="AF113" s="644"/>
      <c r="AG113" s="644"/>
      <c r="AH113" s="644"/>
      <c r="AI113" s="644"/>
      <c r="AJ113" s="84" t="s">
        <v>500</v>
      </c>
      <c r="AK113" s="644"/>
      <c r="AL113" s="9"/>
      <c r="AM113" s="644"/>
      <c r="AN113" s="9" t="s">
        <v>471</v>
      </c>
      <c r="AO113" s="644"/>
      <c r="AP113" s="9" t="s">
        <v>471</v>
      </c>
      <c r="AQ113" s="644"/>
      <c r="AR113" s="9"/>
      <c r="AS113" s="644"/>
      <c r="AT113" s="9"/>
      <c r="AU113" s="644"/>
      <c r="AV113" s="757"/>
      <c r="AW113" s="644"/>
      <c r="AX113" s="9" t="s">
        <v>500</v>
      </c>
      <c r="AY113" s="644"/>
      <c r="AZ113" s="9" t="s">
        <v>504</v>
      </c>
      <c r="BA113" s="644"/>
      <c r="BB113" s="644"/>
      <c r="BC113" s="644"/>
      <c r="BD113" s="5" t="s">
        <v>504</v>
      </c>
      <c r="BE113" s="644"/>
      <c r="BF113" s="9" t="s">
        <v>500</v>
      </c>
      <c r="BG113" s="644"/>
      <c r="BH113" s="644"/>
      <c r="BI113" s="644"/>
      <c r="BJ113" s="9" t="s">
        <v>500</v>
      </c>
      <c r="BK113" s="644"/>
      <c r="BL113" s="9" t="s">
        <v>500</v>
      </c>
      <c r="BM113" s="644"/>
      <c r="BN113" s="9" t="s">
        <v>500</v>
      </c>
      <c r="BO113" s="644"/>
      <c r="BP113" s="632" t="s">
        <v>500</v>
      </c>
      <c r="BQ113" s="644"/>
      <c r="BR113" s="9" t="s">
        <v>504</v>
      </c>
      <c r="BS113" s="644"/>
      <c r="BT113" s="9" t="s">
        <v>500</v>
      </c>
      <c r="BU113" s="644"/>
      <c r="BV113" s="9" t="s">
        <v>500</v>
      </c>
      <c r="BW113" s="644"/>
      <c r="BX113" s="632" t="s">
        <v>500</v>
      </c>
      <c r="BY113" s="644"/>
      <c r="BZ113" s="632" t="s">
        <v>500</v>
      </c>
      <c r="CA113" s="644"/>
      <c r="CB113" s="9" t="s">
        <v>656</v>
      </c>
      <c r="CC113" s="644"/>
      <c r="CD113" s="644"/>
      <c r="CE113" s="644"/>
      <c r="CF113" s="644"/>
      <c r="CG113" s="644"/>
      <c r="CH113" s="632" t="s">
        <v>500</v>
      </c>
      <c r="CI113" s="9"/>
      <c r="CJ113" s="9" t="s">
        <v>500</v>
      </c>
      <c r="CK113" s="9"/>
      <c r="CL113" s="9" t="s">
        <v>500</v>
      </c>
      <c r="CM113" s="644"/>
      <c r="CN113" s="9"/>
      <c r="CO113" s="644"/>
      <c r="CP113" s="9" t="s">
        <v>504</v>
      </c>
      <c r="CQ113" s="644"/>
      <c r="CR113" s="9" t="s">
        <v>504</v>
      </c>
      <c r="CS113" s="644"/>
      <c r="CT113" s="9" t="s">
        <v>471</v>
      </c>
      <c r="CU113" s="644"/>
      <c r="CV113" s="9" t="s">
        <v>500</v>
      </c>
      <c r="CW113" s="644"/>
      <c r="CX113" s="9" t="s">
        <v>500</v>
      </c>
      <c r="CY113" s="644"/>
      <c r="CZ113" s="9" t="s">
        <v>500</v>
      </c>
      <c r="DA113" s="644"/>
      <c r="DB113" s="9" t="s">
        <v>500</v>
      </c>
      <c r="DC113" s="644"/>
      <c r="DD113" s="5" t="s">
        <v>504</v>
      </c>
      <c r="DE113" s="644"/>
      <c r="DF113" s="644"/>
      <c r="DG113" s="644"/>
      <c r="DH113" s="5" t="s">
        <v>500</v>
      </c>
      <c r="DI113" s="644"/>
      <c r="DJ113" s="758" t="s">
        <v>500</v>
      </c>
      <c r="DK113" s="644"/>
      <c r="DL113" s="644"/>
      <c r="DM113" s="644"/>
      <c r="DN113" s="9" t="s">
        <v>504</v>
      </c>
      <c r="DO113" s="644"/>
      <c r="DP113" s="644"/>
      <c r="DQ113" s="644"/>
      <c r="DR113" s="644"/>
      <c r="DS113" s="644"/>
      <c r="DT113" s="644"/>
      <c r="DU113" s="644"/>
      <c r="DV113" s="9" t="s">
        <v>500</v>
      </c>
      <c r="DW113" s="644"/>
      <c r="DX113" s="9" t="s">
        <v>500</v>
      </c>
      <c r="DY113" s="644"/>
      <c r="DZ113" s="5" t="s">
        <v>504</v>
      </c>
      <c r="EA113" s="644"/>
      <c r="EB113" s="644"/>
      <c r="EC113" s="644"/>
      <c r="ED113" s="644"/>
      <c r="EE113" s="644"/>
      <c r="EF113" s="9" t="s">
        <v>504</v>
      </c>
      <c r="EG113" s="644"/>
      <c r="EH113" s="759" t="s">
        <v>500</v>
      </c>
      <c r="EI113" s="644"/>
      <c r="EJ113" s="644"/>
      <c r="EK113" s="644"/>
      <c r="EL113" s="644"/>
      <c r="EM113" s="644"/>
      <c r="EN113" s="9" t="s">
        <v>504</v>
      </c>
      <c r="EO113" s="644"/>
      <c r="EP113" s="9" t="s">
        <v>500</v>
      </c>
      <c r="EQ113" s="644"/>
      <c r="ER113" s="644"/>
      <c r="ES113" s="644"/>
      <c r="ET113" s="9" t="s">
        <v>504</v>
      </c>
      <c r="EU113" s="644"/>
      <c r="EV113" s="9" t="s">
        <v>504</v>
      </c>
      <c r="EW113" s="644"/>
      <c r="EX113" s="9" t="s">
        <v>500</v>
      </c>
      <c r="EY113" s="644"/>
      <c r="EZ113" s="9" t="s">
        <v>504</v>
      </c>
      <c r="FA113" s="644"/>
      <c r="FB113" s="9" t="s">
        <v>504</v>
      </c>
      <c r="FC113" s="644"/>
      <c r="FD113" s="9" t="s">
        <v>504</v>
      </c>
      <c r="FE113" s="644"/>
      <c r="FF113" s="9" t="s">
        <v>504</v>
      </c>
      <c r="FG113" s="644"/>
      <c r="FH113" s="9" t="s">
        <v>504</v>
      </c>
      <c r="FI113" s="644"/>
      <c r="FJ113" s="9"/>
      <c r="FK113" s="644"/>
      <c r="FL113" s="760" t="s">
        <v>500</v>
      </c>
      <c r="FM113" s="644"/>
      <c r="FN113" s="9" t="s">
        <v>500</v>
      </c>
      <c r="FO113" s="644"/>
      <c r="FP113" s="9" t="s">
        <v>504</v>
      </c>
      <c r="FQ113" s="644"/>
      <c r="FR113" s="644"/>
      <c r="FS113" s="644"/>
      <c r="FT113" s="644"/>
      <c r="FU113" s="644"/>
      <c r="FV113" s="644"/>
      <c r="FW113" s="644"/>
      <c r="FX113" s="5" t="s">
        <v>500</v>
      </c>
      <c r="FY113" s="644"/>
      <c r="FZ113" s="644"/>
      <c r="GA113" s="644"/>
      <c r="GB113" s="9" t="s">
        <v>504</v>
      </c>
      <c r="GC113" s="644"/>
      <c r="GD113" s="9" t="s">
        <v>500</v>
      </c>
      <c r="GE113" s="644"/>
      <c r="GF113" s="5" t="s">
        <v>500</v>
      </c>
      <c r="GG113" s="644"/>
      <c r="GH113" s="9" t="s">
        <v>500</v>
      </c>
      <c r="GI113" s="644"/>
      <c r="GJ113" s="780" t="s">
        <v>479</v>
      </c>
      <c r="GK113" s="644"/>
      <c r="GL113" s="9" t="s">
        <v>1706</v>
      </c>
      <c r="GM113" s="644"/>
      <c r="GN113" s="9" t="s">
        <v>504</v>
      </c>
      <c r="GO113" s="644"/>
      <c r="GP113" s="9" t="s">
        <v>500</v>
      </c>
      <c r="GQ113" s="644"/>
      <c r="GR113" s="9" t="s">
        <v>500</v>
      </c>
      <c r="GS113" s="644"/>
      <c r="GT113" s="9" t="s">
        <v>504</v>
      </c>
      <c r="GU113" s="644"/>
      <c r="GV113" s="9" t="s">
        <v>504</v>
      </c>
      <c r="GW113" s="644"/>
      <c r="GX113" s="9" t="s">
        <v>500</v>
      </c>
      <c r="GY113" s="644"/>
      <c r="GZ113" s="9" t="s">
        <v>504</v>
      </c>
      <c r="HA113" s="644"/>
      <c r="HB113" s="9" t="s">
        <v>500</v>
      </c>
      <c r="HC113" s="644"/>
      <c r="HD113" s="9"/>
      <c r="HE113" s="644"/>
      <c r="HF113" s="9" t="s">
        <v>500</v>
      </c>
      <c r="HG113" s="644"/>
      <c r="HH113" s="9" t="s">
        <v>500</v>
      </c>
      <c r="HI113" s="644"/>
      <c r="HJ113" s="644"/>
      <c r="HK113" s="644"/>
      <c r="HL113" s="9" t="s">
        <v>504</v>
      </c>
      <c r="HM113" s="644"/>
      <c r="HN113" s="9" t="s">
        <v>500</v>
      </c>
      <c r="HO113" s="644"/>
      <c r="HP113" s="9" t="s">
        <v>500</v>
      </c>
      <c r="HQ113" s="644"/>
      <c r="HR113" s="9" t="s">
        <v>504</v>
      </c>
      <c r="HS113" s="644"/>
      <c r="HT113" s="633" t="s">
        <v>500</v>
      </c>
      <c r="HU113" s="644"/>
      <c r="HV113" s="9" t="s">
        <v>504</v>
      </c>
      <c r="HW113" s="644"/>
      <c r="HX113" s="9" t="s">
        <v>500</v>
      </c>
      <c r="HY113" s="644"/>
      <c r="HZ113" s="9" t="s">
        <v>504</v>
      </c>
      <c r="IA113" s="644"/>
      <c r="IB113" s="644"/>
      <c r="IC113" s="644"/>
      <c r="ID113" s="9" t="s">
        <v>504</v>
      </c>
      <c r="IE113" s="644"/>
      <c r="IF113" s="5" t="s">
        <v>504</v>
      </c>
      <c r="IG113" s="823"/>
      <c r="IH113" s="9" t="s">
        <v>504</v>
      </c>
      <c r="II113" s="644"/>
      <c r="IJ113" s="644"/>
      <c r="IK113" s="644"/>
      <c r="IL113" s="633" t="s">
        <v>504</v>
      </c>
      <c r="IM113" s="644"/>
      <c r="IN113" s="634" t="s">
        <v>504</v>
      </c>
      <c r="IO113" s="644"/>
      <c r="IP113" s="9" t="s">
        <v>500</v>
      </c>
      <c r="IQ113" s="644"/>
      <c r="IR113" s="9" t="s">
        <v>504</v>
      </c>
      <c r="IS113" s="644"/>
      <c r="IT113" s="9" t="s">
        <v>504</v>
      </c>
      <c r="IU113" s="644"/>
      <c r="IV113" s="9" t="s">
        <v>504</v>
      </c>
      <c r="IW113" s="644"/>
      <c r="IX113" s="632" t="s">
        <v>504</v>
      </c>
      <c r="IY113" s="644"/>
      <c r="IZ113" s="9" t="s">
        <v>504</v>
      </c>
      <c r="JA113" s="644"/>
      <c r="JB113" s="9" t="s">
        <v>500</v>
      </c>
      <c r="JC113" s="644"/>
      <c r="JD113" s="9" t="s">
        <v>471</v>
      </c>
      <c r="JE113" s="644"/>
      <c r="JF113" s="644"/>
      <c r="JG113" s="644"/>
      <c r="JH113" s="9" t="s">
        <v>500</v>
      </c>
      <c r="JI113" s="644"/>
      <c r="JJ113" s="644"/>
      <c r="JK113" s="644"/>
      <c r="JL113" s="644"/>
      <c r="JM113" s="644"/>
      <c r="JN113" s="9" t="s">
        <v>504</v>
      </c>
      <c r="JO113" s="644"/>
      <c r="JP113" s="644"/>
      <c r="JQ113" s="644"/>
      <c r="JR113" s="20" t="s">
        <v>500</v>
      </c>
      <c r="JS113" s="644"/>
      <c r="JT113" s="9" t="s">
        <v>500</v>
      </c>
      <c r="JU113" s="644"/>
      <c r="JV113" s="9"/>
      <c r="JW113" s="644"/>
      <c r="JX113" s="9" t="s">
        <v>500</v>
      </c>
      <c r="JY113" s="644"/>
    </row>
    <row r="114" spans="1:285" ht="409.5" x14ac:dyDescent="0.2">
      <c r="A114" s="1565"/>
      <c r="B114" s="1567"/>
      <c r="C114" s="1550"/>
      <c r="D114" s="1552"/>
      <c r="E114" s="755" t="s">
        <v>172</v>
      </c>
      <c r="F114" s="9"/>
      <c r="G114" s="823"/>
      <c r="H114" s="9" t="s">
        <v>465</v>
      </c>
      <c r="I114" s="644"/>
      <c r="J114" s="9" t="s">
        <v>465</v>
      </c>
      <c r="K114" s="644"/>
      <c r="L114" s="9" t="s">
        <v>465</v>
      </c>
      <c r="M114" s="644"/>
      <c r="N114" s="757" t="s">
        <v>478</v>
      </c>
      <c r="O114" s="644"/>
      <c r="P114" s="84" t="s">
        <v>465</v>
      </c>
      <c r="Q114" s="644"/>
      <c r="R114" s="9" t="s">
        <v>526</v>
      </c>
      <c r="S114" s="644"/>
      <c r="T114" s="644"/>
      <c r="U114" s="644"/>
      <c r="V114" s="644"/>
      <c r="W114" s="644"/>
      <c r="X114" s="644"/>
      <c r="Y114" s="644"/>
      <c r="Z114" s="9" t="s">
        <v>465</v>
      </c>
      <c r="AA114" s="644"/>
      <c r="AB114" s="9" t="s">
        <v>2329</v>
      </c>
      <c r="AC114" s="644"/>
      <c r="AD114" s="9" t="s">
        <v>2345</v>
      </c>
      <c r="AE114" s="644"/>
      <c r="AF114" s="644"/>
      <c r="AG114" s="644"/>
      <c r="AH114" s="644"/>
      <c r="AI114" s="644"/>
      <c r="AJ114" s="84" t="s">
        <v>658</v>
      </c>
      <c r="AK114" s="644"/>
      <c r="AL114" s="9"/>
      <c r="AM114" s="644"/>
      <c r="AN114" s="9" t="s">
        <v>984</v>
      </c>
      <c r="AO114" s="644"/>
      <c r="AP114" s="5" t="s">
        <v>1001</v>
      </c>
      <c r="AQ114" s="644"/>
      <c r="AR114" s="9"/>
      <c r="AS114" s="644"/>
      <c r="AT114" s="9"/>
      <c r="AU114" s="644"/>
      <c r="AV114" s="757"/>
      <c r="AW114" s="644"/>
      <c r="AX114" s="9" t="s">
        <v>544</v>
      </c>
      <c r="AY114" s="644"/>
      <c r="AZ114" s="9"/>
      <c r="BA114" s="644"/>
      <c r="BB114" s="644"/>
      <c r="BC114" s="644"/>
      <c r="BD114" s="5"/>
      <c r="BE114" s="644"/>
      <c r="BF114" s="9" t="s">
        <v>2395</v>
      </c>
      <c r="BG114" s="644"/>
      <c r="BH114" s="644"/>
      <c r="BI114" s="644"/>
      <c r="BJ114" s="9" t="s">
        <v>795</v>
      </c>
      <c r="BK114" s="644"/>
      <c r="BL114" s="9" t="s">
        <v>1030</v>
      </c>
      <c r="BM114" s="644"/>
      <c r="BN114" s="9" t="s">
        <v>2186</v>
      </c>
      <c r="BO114" s="644"/>
      <c r="BP114" s="632" t="s">
        <v>935</v>
      </c>
      <c r="BQ114" s="644"/>
      <c r="BR114" s="9"/>
      <c r="BS114" s="644"/>
      <c r="BT114" s="9" t="s">
        <v>936</v>
      </c>
      <c r="BU114" s="644"/>
      <c r="BV114" s="9" t="s">
        <v>956</v>
      </c>
      <c r="BW114" s="644"/>
      <c r="BX114" s="632" t="s">
        <v>2156</v>
      </c>
      <c r="BY114" s="644"/>
      <c r="BZ114" s="9" t="s">
        <v>2170</v>
      </c>
      <c r="CA114" s="644"/>
      <c r="CB114" s="9" t="s">
        <v>912</v>
      </c>
      <c r="CC114" s="644"/>
      <c r="CD114" s="644"/>
      <c r="CE114" s="644"/>
      <c r="CF114" s="644"/>
      <c r="CG114" s="644"/>
      <c r="CH114" s="632" t="s">
        <v>2121</v>
      </c>
      <c r="CI114" s="9"/>
      <c r="CJ114" s="9" t="s">
        <v>2121</v>
      </c>
      <c r="CK114" s="9"/>
      <c r="CL114" s="9" t="s">
        <v>630</v>
      </c>
      <c r="CM114" s="644"/>
      <c r="CN114" s="9"/>
      <c r="CO114" s="644"/>
      <c r="CP114" s="9"/>
      <c r="CQ114" s="644"/>
      <c r="CR114" s="9"/>
      <c r="CS114" s="644"/>
      <c r="CT114" s="5" t="s">
        <v>2228</v>
      </c>
      <c r="CU114" s="644"/>
      <c r="CV114" s="9" t="s">
        <v>827</v>
      </c>
      <c r="CW114" s="644"/>
      <c r="CX114" s="9" t="s">
        <v>843</v>
      </c>
      <c r="CY114" s="644"/>
      <c r="CZ114" s="9" t="s">
        <v>854</v>
      </c>
      <c r="DA114" s="644"/>
      <c r="DB114" s="9" t="s">
        <v>865</v>
      </c>
      <c r="DC114" s="644"/>
      <c r="DD114" s="5" t="s">
        <v>465</v>
      </c>
      <c r="DE114" s="644"/>
      <c r="DF114" s="644"/>
      <c r="DG114" s="644"/>
      <c r="DH114" s="23" t="s">
        <v>877</v>
      </c>
      <c r="DI114" s="644"/>
      <c r="DJ114" s="758" t="s">
        <v>889</v>
      </c>
      <c r="DK114" s="644"/>
      <c r="DL114" s="644"/>
      <c r="DM114" s="644"/>
      <c r="DN114" s="9"/>
      <c r="DO114" s="644"/>
      <c r="DP114" s="644"/>
      <c r="DQ114" s="644"/>
      <c r="DR114" s="644"/>
      <c r="DS114" s="644"/>
      <c r="DT114" s="644"/>
      <c r="DU114" s="644"/>
      <c r="DV114" s="9" t="s">
        <v>1175</v>
      </c>
      <c r="DW114" s="644"/>
      <c r="DX114" s="9" t="s">
        <v>1192</v>
      </c>
      <c r="DY114" s="644"/>
      <c r="DZ114" s="5" t="s">
        <v>465</v>
      </c>
      <c r="EA114" s="644"/>
      <c r="EB114" s="644"/>
      <c r="EC114" s="644"/>
      <c r="ED114" s="644"/>
      <c r="EE114" s="644"/>
      <c r="EF114" s="9" t="s">
        <v>504</v>
      </c>
      <c r="EG114" s="644"/>
      <c r="EH114" s="759" t="s">
        <v>2063</v>
      </c>
      <c r="EI114" s="644"/>
      <c r="EJ114" s="644"/>
      <c r="EK114" s="644"/>
      <c r="EL114" s="644"/>
      <c r="EM114" s="644"/>
      <c r="EN114" s="9"/>
      <c r="EO114" s="644"/>
      <c r="EP114" s="9" t="s">
        <v>1211</v>
      </c>
      <c r="EQ114" s="644"/>
      <c r="ER114" s="644"/>
      <c r="ES114" s="644"/>
      <c r="ET114" s="9" t="s">
        <v>465</v>
      </c>
      <c r="EU114" s="644"/>
      <c r="EV114" s="9" t="s">
        <v>465</v>
      </c>
      <c r="EW114" s="644"/>
      <c r="EX114" s="9"/>
      <c r="EY114" s="644"/>
      <c r="EZ114" s="9"/>
      <c r="FA114" s="644"/>
      <c r="FB114" s="9"/>
      <c r="FC114" s="644"/>
      <c r="FD114" s="9" t="s">
        <v>465</v>
      </c>
      <c r="FE114" s="644"/>
      <c r="FF114" s="9" t="s">
        <v>465</v>
      </c>
      <c r="FG114" s="644"/>
      <c r="FH114" s="9"/>
      <c r="FI114" s="644"/>
      <c r="FJ114" s="9"/>
      <c r="FK114" s="644"/>
      <c r="FL114" s="760" t="s">
        <v>1605</v>
      </c>
      <c r="FM114" s="644"/>
      <c r="FN114" s="9" t="s">
        <v>1624</v>
      </c>
      <c r="FO114" s="644"/>
      <c r="FP114" s="9"/>
      <c r="FQ114" s="644"/>
      <c r="FR114" s="644"/>
      <c r="FS114" s="644"/>
      <c r="FT114" s="644"/>
      <c r="FU114" s="644"/>
      <c r="FV114" s="644"/>
      <c r="FW114" s="644"/>
      <c r="FX114" s="5" t="s">
        <v>1870</v>
      </c>
      <c r="FY114" s="644"/>
      <c r="FZ114" s="644"/>
      <c r="GA114" s="644"/>
      <c r="GB114" s="9"/>
      <c r="GC114" s="644"/>
      <c r="GD114" s="9" t="s">
        <v>2512</v>
      </c>
      <c r="GE114" s="644"/>
      <c r="GF114" s="5" t="s">
        <v>1998</v>
      </c>
      <c r="GG114" s="644"/>
      <c r="GH114" s="9" t="s">
        <v>2018</v>
      </c>
      <c r="GI114" s="644"/>
      <c r="GJ114" s="780" t="s">
        <v>465</v>
      </c>
      <c r="GK114" s="644"/>
      <c r="GL114" s="9"/>
      <c r="GM114" s="644"/>
      <c r="GN114" s="9"/>
      <c r="GO114" s="644"/>
      <c r="GP114" s="9" t="s">
        <v>1744</v>
      </c>
      <c r="GQ114" s="644"/>
      <c r="GR114" s="9" t="s">
        <v>1958</v>
      </c>
      <c r="GS114" s="644"/>
      <c r="GT114" s="9"/>
      <c r="GU114" s="644"/>
      <c r="GV114" s="9"/>
      <c r="GW114" s="644"/>
      <c r="GX114" s="5" t="s">
        <v>1910</v>
      </c>
      <c r="GY114" s="644"/>
      <c r="GZ114" s="9"/>
      <c r="HA114" s="644"/>
      <c r="HB114" s="9" t="s">
        <v>1809</v>
      </c>
      <c r="HC114" s="644"/>
      <c r="HD114" s="9"/>
      <c r="HE114" s="644"/>
      <c r="HF114" s="9" t="s">
        <v>827</v>
      </c>
      <c r="HG114" s="644"/>
      <c r="HH114" s="9" t="s">
        <v>1934</v>
      </c>
      <c r="HI114" s="644"/>
      <c r="HJ114" s="644"/>
      <c r="HK114" s="644"/>
      <c r="HL114" s="9"/>
      <c r="HM114" s="644"/>
      <c r="HN114" s="9" t="s">
        <v>1783</v>
      </c>
      <c r="HO114" s="644"/>
      <c r="HP114" s="9" t="s">
        <v>1283</v>
      </c>
      <c r="HQ114" s="644"/>
      <c r="HR114" s="9"/>
      <c r="HS114" s="644"/>
      <c r="HT114" s="633" t="s">
        <v>1306</v>
      </c>
      <c r="HU114" s="644"/>
      <c r="HV114" s="9"/>
      <c r="HW114" s="644"/>
      <c r="HX114" s="9" t="s">
        <v>2186</v>
      </c>
      <c r="HY114" s="644"/>
      <c r="HZ114" s="9"/>
      <c r="IA114" s="644"/>
      <c r="IB114" s="644"/>
      <c r="IC114" s="644"/>
      <c r="ID114" s="9"/>
      <c r="IE114" s="644"/>
      <c r="IF114" s="5"/>
      <c r="IG114" s="823"/>
      <c r="IH114" s="9"/>
      <c r="II114" s="644"/>
      <c r="IJ114" s="644"/>
      <c r="IK114" s="644"/>
      <c r="IL114" s="633" t="s">
        <v>465</v>
      </c>
      <c r="IM114" s="644"/>
      <c r="IN114" s="634" t="s">
        <v>465</v>
      </c>
      <c r="IO114" s="644"/>
      <c r="IP114" s="5" t="s">
        <v>750</v>
      </c>
      <c r="IQ114" s="644"/>
      <c r="IR114" s="5"/>
      <c r="IS114" s="644"/>
      <c r="IT114" s="9" t="s">
        <v>701</v>
      </c>
      <c r="IU114" s="644"/>
      <c r="IV114" s="9" t="s">
        <v>504</v>
      </c>
      <c r="IW114" s="644"/>
      <c r="IX114" s="632" t="s">
        <v>1104</v>
      </c>
      <c r="IY114" s="644"/>
      <c r="IZ114" s="9" t="s">
        <v>504</v>
      </c>
      <c r="JA114" s="644"/>
      <c r="JB114" s="9" t="s">
        <v>1401</v>
      </c>
      <c r="JC114" s="644"/>
      <c r="JD114" s="9" t="s">
        <v>1415</v>
      </c>
      <c r="JE114" s="644"/>
      <c r="JF114" s="644"/>
      <c r="JG114" s="644"/>
      <c r="JH114" s="9" t="s">
        <v>796</v>
      </c>
      <c r="JI114" s="644"/>
      <c r="JJ114" s="644"/>
      <c r="JK114" s="644"/>
      <c r="JL114" s="644"/>
      <c r="JM114" s="644"/>
      <c r="JN114" s="9" t="s">
        <v>504</v>
      </c>
      <c r="JO114" s="644"/>
      <c r="JP114" s="644"/>
      <c r="JQ114" s="644"/>
      <c r="JR114" s="20" t="s">
        <v>1054</v>
      </c>
      <c r="JS114" s="644"/>
      <c r="JT114" s="9" t="s">
        <v>581</v>
      </c>
      <c r="JU114" s="644"/>
      <c r="JV114" s="9"/>
      <c r="JW114" s="644"/>
      <c r="JX114" s="9" t="s">
        <v>716</v>
      </c>
      <c r="JY114" s="644"/>
    </row>
    <row r="115" spans="1:285" ht="26.25" thickBot="1" x14ac:dyDescent="0.25">
      <c r="A115" s="1565"/>
      <c r="B115" s="1567"/>
      <c r="C115" s="1550"/>
      <c r="D115" s="1552"/>
      <c r="E115" s="755" t="s">
        <v>174</v>
      </c>
      <c r="F115" s="13"/>
      <c r="G115" s="823"/>
      <c r="H115" s="13" t="s">
        <v>465</v>
      </c>
      <c r="I115" s="644"/>
      <c r="J115" s="13" t="s">
        <v>465</v>
      </c>
      <c r="K115" s="644"/>
      <c r="L115" s="9" t="s">
        <v>465</v>
      </c>
      <c r="M115" s="644"/>
      <c r="N115" s="808">
        <v>24150</v>
      </c>
      <c r="O115" s="644"/>
      <c r="P115" s="709" t="s">
        <v>465</v>
      </c>
      <c r="Q115" s="644"/>
      <c r="R115" s="13">
        <v>12845</v>
      </c>
      <c r="S115" s="644"/>
      <c r="T115" s="644"/>
      <c r="U115" s="644"/>
      <c r="V115" s="644"/>
      <c r="W115" s="644"/>
      <c r="X115" s="644"/>
      <c r="Y115" s="644"/>
      <c r="Z115" s="13" t="s">
        <v>465</v>
      </c>
      <c r="AA115" s="644"/>
      <c r="AB115" s="13" t="s">
        <v>2328</v>
      </c>
      <c r="AC115" s="644"/>
      <c r="AD115" s="13">
        <v>100000</v>
      </c>
      <c r="AE115" s="644"/>
      <c r="AF115" s="644"/>
      <c r="AG115" s="644"/>
      <c r="AH115" s="644"/>
      <c r="AI115" s="644"/>
      <c r="AJ115" s="709">
        <v>25000</v>
      </c>
      <c r="AK115" s="644"/>
      <c r="AL115" s="13"/>
      <c r="AM115" s="644"/>
      <c r="AN115" s="13">
        <v>6322</v>
      </c>
      <c r="AO115" s="644"/>
      <c r="AP115" s="13">
        <v>20215</v>
      </c>
      <c r="AQ115" s="644"/>
      <c r="AR115" s="13"/>
      <c r="AS115" s="644"/>
      <c r="AT115" s="13"/>
      <c r="AU115" s="644"/>
      <c r="AV115" s="808"/>
      <c r="AW115" s="644"/>
      <c r="AX115" s="13">
        <v>92275</v>
      </c>
      <c r="AY115" s="644"/>
      <c r="AZ115" s="13"/>
      <c r="BA115" s="644"/>
      <c r="BB115" s="644"/>
      <c r="BC115" s="644"/>
      <c r="BD115" s="5"/>
      <c r="BE115" s="644"/>
      <c r="BF115" s="13">
        <v>117818</v>
      </c>
      <c r="BG115" s="644"/>
      <c r="BH115" s="644"/>
      <c r="BI115" s="644"/>
      <c r="BJ115" s="13">
        <f>43+1241</f>
        <v>1284</v>
      </c>
      <c r="BK115" s="644"/>
      <c r="BL115" s="13">
        <v>15717</v>
      </c>
      <c r="BM115" s="644"/>
      <c r="BN115" s="13">
        <v>151</v>
      </c>
      <c r="BO115" s="644"/>
      <c r="BP115" s="13"/>
      <c r="BQ115" s="644"/>
      <c r="BR115" s="13"/>
      <c r="BS115" s="644"/>
      <c r="BT115" s="13">
        <v>300</v>
      </c>
      <c r="BU115" s="644"/>
      <c r="BV115" s="13">
        <v>3017</v>
      </c>
      <c r="BW115" s="644"/>
      <c r="BX115" s="710"/>
      <c r="BY115" s="644"/>
      <c r="BZ115" s="710">
        <v>15115</v>
      </c>
      <c r="CA115" s="644"/>
      <c r="CB115" s="13">
        <v>13287</v>
      </c>
      <c r="CC115" s="644"/>
      <c r="CD115" s="644"/>
      <c r="CE115" s="644"/>
      <c r="CF115" s="644"/>
      <c r="CG115" s="644"/>
      <c r="CH115" s="710">
        <v>9359</v>
      </c>
      <c r="CI115" s="13"/>
      <c r="CJ115" s="13">
        <v>15327</v>
      </c>
      <c r="CK115" s="13"/>
      <c r="CL115" s="13">
        <v>14998</v>
      </c>
      <c r="CM115" s="644"/>
      <c r="CN115" s="13"/>
      <c r="CO115" s="644"/>
      <c r="CP115" s="13"/>
      <c r="CQ115" s="644"/>
      <c r="CR115" s="13"/>
      <c r="CS115" s="644"/>
      <c r="CT115" s="13">
        <v>19297</v>
      </c>
      <c r="CU115" s="644"/>
      <c r="CV115" s="13">
        <v>2000</v>
      </c>
      <c r="CW115" s="644"/>
      <c r="CX115" s="13">
        <v>12500</v>
      </c>
      <c r="CY115" s="644"/>
      <c r="CZ115" s="13">
        <v>12261</v>
      </c>
      <c r="DA115" s="644"/>
      <c r="DB115" s="13">
        <v>50000</v>
      </c>
      <c r="DC115" s="644"/>
      <c r="DD115" s="703" t="s">
        <v>465</v>
      </c>
      <c r="DE115" s="644"/>
      <c r="DF115" s="644"/>
      <c r="DG115" s="644"/>
      <c r="DH115" s="703">
        <v>5000</v>
      </c>
      <c r="DI115" s="644"/>
      <c r="DJ115" s="809">
        <v>2150</v>
      </c>
      <c r="DK115" s="644"/>
      <c r="DL115" s="644"/>
      <c r="DM115" s="644"/>
      <c r="DN115" s="13"/>
      <c r="DO115" s="644"/>
      <c r="DP115" s="644"/>
      <c r="DQ115" s="644"/>
      <c r="DR115" s="644"/>
      <c r="DS115" s="644"/>
      <c r="DT115" s="644"/>
      <c r="DU115" s="644"/>
      <c r="DV115" s="13">
        <v>8185</v>
      </c>
      <c r="DW115" s="644"/>
      <c r="DX115" s="13">
        <v>5491</v>
      </c>
      <c r="DY115" s="644"/>
      <c r="DZ115" s="703" t="s">
        <v>465</v>
      </c>
      <c r="EA115" s="644"/>
      <c r="EB115" s="644"/>
      <c r="EC115" s="644"/>
      <c r="ED115" s="644"/>
      <c r="EE115" s="644"/>
      <c r="EF115" s="13" t="s">
        <v>504</v>
      </c>
      <c r="EG115" s="644"/>
      <c r="EH115" s="810">
        <v>10647</v>
      </c>
      <c r="EI115" s="644"/>
      <c r="EJ115" s="644"/>
      <c r="EK115" s="644"/>
      <c r="EL115" s="644"/>
      <c r="EM115" s="644"/>
      <c r="EN115" s="13"/>
      <c r="EO115" s="644"/>
      <c r="EP115" s="13" t="s">
        <v>1212</v>
      </c>
      <c r="EQ115" s="644"/>
      <c r="ER115" s="644"/>
      <c r="ES115" s="644"/>
      <c r="ET115" s="13" t="s">
        <v>465</v>
      </c>
      <c r="EU115" s="644"/>
      <c r="EV115" s="13" t="s">
        <v>465</v>
      </c>
      <c r="EW115" s="644"/>
      <c r="EX115" s="13">
        <v>34081</v>
      </c>
      <c r="EY115" s="644"/>
      <c r="EZ115" s="13"/>
      <c r="FA115" s="644"/>
      <c r="FB115" s="13"/>
      <c r="FC115" s="644"/>
      <c r="FD115" s="13" t="s">
        <v>465</v>
      </c>
      <c r="FE115" s="644"/>
      <c r="FF115" s="13" t="s">
        <v>465</v>
      </c>
      <c r="FG115" s="644"/>
      <c r="FH115" s="13"/>
      <c r="FI115" s="644"/>
      <c r="FJ115" s="13"/>
      <c r="FK115" s="644"/>
      <c r="FL115" s="825">
        <v>23300</v>
      </c>
      <c r="FM115" s="644"/>
      <c r="FN115" s="13">
        <v>8950</v>
      </c>
      <c r="FO115" s="644"/>
      <c r="FP115" s="13"/>
      <c r="FQ115" s="644"/>
      <c r="FR115" s="644"/>
      <c r="FS115" s="644"/>
      <c r="FT115" s="644"/>
      <c r="FU115" s="644"/>
      <c r="FV115" s="644"/>
      <c r="FW115" s="644"/>
      <c r="FX115" s="703" t="s">
        <v>1868</v>
      </c>
      <c r="FY115" s="644"/>
      <c r="FZ115" s="644"/>
      <c r="GA115" s="644"/>
      <c r="GB115" s="13"/>
      <c r="GC115" s="644"/>
      <c r="GD115" s="13">
        <v>34835</v>
      </c>
      <c r="GE115" s="644"/>
      <c r="GF115" s="703">
        <v>1419</v>
      </c>
      <c r="GG115" s="644"/>
      <c r="GH115" s="13">
        <v>6000</v>
      </c>
      <c r="GI115" s="644"/>
      <c r="GJ115" s="811" t="s">
        <v>465</v>
      </c>
      <c r="GK115" s="644"/>
      <c r="GL115" s="13"/>
      <c r="GM115" s="644"/>
      <c r="GN115" s="13"/>
      <c r="GO115" s="644"/>
      <c r="GP115" s="14">
        <v>120</v>
      </c>
      <c r="GQ115" s="644"/>
      <c r="GR115" s="13">
        <v>35267</v>
      </c>
      <c r="GS115" s="644"/>
      <c r="GT115" s="13"/>
      <c r="GU115" s="644"/>
      <c r="GV115" s="13"/>
      <c r="GW115" s="644"/>
      <c r="GX115" s="13">
        <v>5021</v>
      </c>
      <c r="GY115" s="644"/>
      <c r="GZ115" s="13"/>
      <c r="HA115" s="644"/>
      <c r="HB115" s="13">
        <v>512</v>
      </c>
      <c r="HC115" s="644"/>
      <c r="HD115" s="13"/>
      <c r="HE115" s="644"/>
      <c r="HF115" s="13">
        <v>30</v>
      </c>
      <c r="HG115" s="644"/>
      <c r="HH115" s="13" t="s">
        <v>1932</v>
      </c>
      <c r="HI115" s="644"/>
      <c r="HJ115" s="644"/>
      <c r="HK115" s="644"/>
      <c r="HL115" s="13"/>
      <c r="HM115" s="644"/>
      <c r="HN115" s="703">
        <v>193130</v>
      </c>
      <c r="HO115" s="644"/>
      <c r="HP115" s="13">
        <v>3182</v>
      </c>
      <c r="HQ115" s="644"/>
      <c r="HR115" s="13"/>
      <c r="HS115" s="644"/>
      <c r="HT115" s="711">
        <v>6136</v>
      </c>
      <c r="HU115" s="644"/>
      <c r="HV115" s="13"/>
      <c r="HW115" s="644"/>
      <c r="HX115" s="13">
        <v>151</v>
      </c>
      <c r="HY115" s="644"/>
      <c r="HZ115" s="13"/>
      <c r="IA115" s="644"/>
      <c r="IB115" s="644"/>
      <c r="IC115" s="644"/>
      <c r="ID115" s="13" t="s">
        <v>504</v>
      </c>
      <c r="IE115" s="644"/>
      <c r="IF115" s="703"/>
      <c r="IG115" s="823"/>
      <c r="IH115" s="13"/>
      <c r="II115" s="644"/>
      <c r="IJ115" s="644"/>
      <c r="IK115" s="644"/>
      <c r="IL115" s="711" t="s">
        <v>465</v>
      </c>
      <c r="IM115" s="644"/>
      <c r="IN115" s="712" t="s">
        <v>465</v>
      </c>
      <c r="IO115" s="644"/>
      <c r="IP115" s="13">
        <v>12984</v>
      </c>
      <c r="IQ115" s="644"/>
      <c r="IR115" s="13"/>
      <c r="IS115" s="644"/>
      <c r="IT115" s="13" t="s">
        <v>701</v>
      </c>
      <c r="IU115" s="644"/>
      <c r="IV115" s="13" t="s">
        <v>504</v>
      </c>
      <c r="IW115" s="644"/>
      <c r="IX115" s="632" t="s">
        <v>1104</v>
      </c>
      <c r="IY115" s="644"/>
      <c r="IZ115" s="13" t="s">
        <v>504</v>
      </c>
      <c r="JA115" s="644"/>
      <c r="JB115" s="13">
        <v>56083</v>
      </c>
      <c r="JC115" s="644"/>
      <c r="JD115" s="13">
        <v>73207</v>
      </c>
      <c r="JE115" s="644"/>
      <c r="JF115" s="644"/>
      <c r="JG115" s="644"/>
      <c r="JH115" s="13">
        <v>346</v>
      </c>
      <c r="JI115" s="644"/>
      <c r="JJ115" s="644"/>
      <c r="JK115" s="644"/>
      <c r="JL115" s="644"/>
      <c r="JM115" s="644"/>
      <c r="JN115" s="13">
        <v>0</v>
      </c>
      <c r="JO115" s="644"/>
      <c r="JP115" s="644"/>
      <c r="JQ115" s="644"/>
      <c r="JR115" s="713">
        <v>82981</v>
      </c>
      <c r="JS115" s="644"/>
      <c r="JT115" s="13">
        <v>143</v>
      </c>
      <c r="JU115" s="644"/>
      <c r="JV115" s="13"/>
      <c r="JW115" s="644"/>
      <c r="JX115" s="13">
        <v>25036</v>
      </c>
      <c r="JY115" s="644"/>
    </row>
    <row r="116" spans="1:285" ht="24" customHeight="1" x14ac:dyDescent="0.2">
      <c r="A116" s="1565"/>
      <c r="B116" s="1567"/>
      <c r="C116" s="1544" t="s">
        <v>240</v>
      </c>
      <c r="D116" s="1547" t="s">
        <v>241</v>
      </c>
      <c r="E116" s="755" t="s">
        <v>171</v>
      </c>
      <c r="F116" s="13" t="s">
        <v>504</v>
      </c>
      <c r="G116" s="823"/>
      <c r="H116" s="13" t="s">
        <v>504</v>
      </c>
      <c r="I116" s="644"/>
      <c r="J116" s="13" t="s">
        <v>504</v>
      </c>
      <c r="K116" s="644"/>
      <c r="L116" s="9" t="s">
        <v>465</v>
      </c>
      <c r="M116" s="644"/>
      <c r="N116" s="808" t="s">
        <v>479</v>
      </c>
      <c r="O116" s="644"/>
      <c r="P116" s="709" t="s">
        <v>504</v>
      </c>
      <c r="Q116" s="644"/>
      <c r="R116" s="13"/>
      <c r="S116" s="644"/>
      <c r="T116" s="644"/>
      <c r="U116" s="644"/>
      <c r="V116" s="644"/>
      <c r="W116" s="644"/>
      <c r="X116" s="644"/>
      <c r="Y116" s="644"/>
      <c r="Z116" s="9" t="s">
        <v>2307</v>
      </c>
      <c r="AA116" s="644"/>
      <c r="AB116" s="5" t="s">
        <v>2307</v>
      </c>
      <c r="AC116" s="644"/>
      <c r="AD116" s="5" t="s">
        <v>479</v>
      </c>
      <c r="AE116" s="644"/>
      <c r="AF116" s="644"/>
      <c r="AG116" s="644"/>
      <c r="AH116" s="644"/>
      <c r="AI116" s="644"/>
      <c r="AJ116" s="709" t="s">
        <v>504</v>
      </c>
      <c r="AK116" s="644"/>
      <c r="AL116" s="13"/>
      <c r="AM116" s="644"/>
      <c r="AN116" s="13"/>
      <c r="AO116" s="644"/>
      <c r="AP116" s="13" t="s">
        <v>479</v>
      </c>
      <c r="AQ116" s="644"/>
      <c r="AR116" s="13"/>
      <c r="AS116" s="644"/>
      <c r="AT116" s="13"/>
      <c r="AU116" s="644"/>
      <c r="AV116" s="808"/>
      <c r="AW116" s="644"/>
      <c r="AX116" s="13" t="s">
        <v>504</v>
      </c>
      <c r="AY116" s="644"/>
      <c r="AZ116" s="13" t="s">
        <v>504</v>
      </c>
      <c r="BA116" s="644"/>
      <c r="BB116" s="644"/>
      <c r="BC116" s="644"/>
      <c r="BD116" s="5" t="s">
        <v>471</v>
      </c>
      <c r="BE116" s="644"/>
      <c r="BF116" s="13"/>
      <c r="BG116" s="644"/>
      <c r="BH116" s="644"/>
      <c r="BI116" s="644"/>
      <c r="BJ116" s="13" t="s">
        <v>500</v>
      </c>
      <c r="BK116" s="644"/>
      <c r="BL116" s="13" t="s">
        <v>504</v>
      </c>
      <c r="BM116" s="644"/>
      <c r="BN116" s="13" t="s">
        <v>504</v>
      </c>
      <c r="BO116" s="644"/>
      <c r="BP116" s="710" t="s">
        <v>500</v>
      </c>
      <c r="BQ116" s="644"/>
      <c r="BR116" s="13" t="s">
        <v>504</v>
      </c>
      <c r="BS116" s="644"/>
      <c r="BT116" s="13"/>
      <c r="BU116" s="644"/>
      <c r="BV116" s="13" t="s">
        <v>504</v>
      </c>
      <c r="BW116" s="644"/>
      <c r="BX116" s="710" t="s">
        <v>504</v>
      </c>
      <c r="BY116" s="644"/>
      <c r="BZ116" s="710" t="s">
        <v>504</v>
      </c>
      <c r="CA116" s="644"/>
      <c r="CB116" s="13" t="s">
        <v>504</v>
      </c>
      <c r="CC116" s="644"/>
      <c r="CD116" s="644"/>
      <c r="CE116" s="644"/>
      <c r="CF116" s="644"/>
      <c r="CG116" s="644"/>
      <c r="CH116" s="710" t="s">
        <v>504</v>
      </c>
      <c r="CI116" s="13"/>
      <c r="CJ116" s="13" t="s">
        <v>500</v>
      </c>
      <c r="CK116" s="13"/>
      <c r="CL116" s="13" t="s">
        <v>504</v>
      </c>
      <c r="CM116" s="644"/>
      <c r="CN116" s="4"/>
      <c r="CO116" s="644"/>
      <c r="CP116" s="4" t="s">
        <v>504</v>
      </c>
      <c r="CQ116" s="644"/>
      <c r="CR116" s="13" t="s">
        <v>504</v>
      </c>
      <c r="CS116" s="644"/>
      <c r="CT116" s="13" t="s">
        <v>504</v>
      </c>
      <c r="CU116" s="644"/>
      <c r="CV116" s="9" t="s">
        <v>504</v>
      </c>
      <c r="CW116" s="644"/>
      <c r="CX116" s="13" t="s">
        <v>504</v>
      </c>
      <c r="CY116" s="644"/>
      <c r="CZ116" s="9" t="s">
        <v>504</v>
      </c>
      <c r="DA116" s="644"/>
      <c r="DB116" s="13" t="s">
        <v>504</v>
      </c>
      <c r="DC116" s="644"/>
      <c r="DD116" s="5" t="s">
        <v>504</v>
      </c>
      <c r="DE116" s="644"/>
      <c r="DF116" s="644"/>
      <c r="DG116" s="644"/>
      <c r="DH116" s="13"/>
      <c r="DI116" s="644"/>
      <c r="DJ116" s="809" t="s">
        <v>504</v>
      </c>
      <c r="DK116" s="644"/>
      <c r="DL116" s="644"/>
      <c r="DM116" s="644"/>
      <c r="DN116" s="13" t="s">
        <v>504</v>
      </c>
      <c r="DO116" s="644"/>
      <c r="DP116" s="644"/>
      <c r="DQ116" s="644"/>
      <c r="DR116" s="644"/>
      <c r="DS116" s="644"/>
      <c r="DT116" s="644"/>
      <c r="DU116" s="644"/>
      <c r="DV116" s="9" t="s">
        <v>504</v>
      </c>
      <c r="DW116" s="644"/>
      <c r="DX116" s="9" t="s">
        <v>504</v>
      </c>
      <c r="DY116" s="644"/>
      <c r="DZ116" s="5" t="s">
        <v>504</v>
      </c>
      <c r="EA116" s="644"/>
      <c r="EB116" s="644"/>
      <c r="EC116" s="644"/>
      <c r="ED116" s="644"/>
      <c r="EE116" s="644"/>
      <c r="EF116" s="13" t="s">
        <v>504</v>
      </c>
      <c r="EG116" s="644"/>
      <c r="EH116" s="759" t="s">
        <v>504</v>
      </c>
      <c r="EI116" s="644"/>
      <c r="EJ116" s="644"/>
      <c r="EK116" s="644"/>
      <c r="EL116" s="644"/>
      <c r="EM116" s="644"/>
      <c r="EN116" s="13" t="s">
        <v>504</v>
      </c>
      <c r="EO116" s="644"/>
      <c r="EP116" s="13" t="s">
        <v>504</v>
      </c>
      <c r="EQ116" s="644"/>
      <c r="ER116" s="644"/>
      <c r="ES116" s="644"/>
      <c r="ET116" s="13" t="s">
        <v>504</v>
      </c>
      <c r="EU116" s="644"/>
      <c r="EV116" s="13" t="s">
        <v>504</v>
      </c>
      <c r="EW116" s="644"/>
      <c r="EX116" s="13" t="s">
        <v>504</v>
      </c>
      <c r="EY116" s="644"/>
      <c r="EZ116" s="9" t="s">
        <v>500</v>
      </c>
      <c r="FA116" s="644"/>
      <c r="FB116" s="13" t="s">
        <v>500</v>
      </c>
      <c r="FC116" s="644"/>
      <c r="FD116" s="13" t="s">
        <v>504</v>
      </c>
      <c r="FE116" s="644"/>
      <c r="FF116" s="13" t="s">
        <v>504</v>
      </c>
      <c r="FG116" s="644"/>
      <c r="FH116" s="13" t="s">
        <v>504</v>
      </c>
      <c r="FI116" s="644"/>
      <c r="FJ116" s="13"/>
      <c r="FK116" s="644"/>
      <c r="FL116" s="811" t="s">
        <v>504</v>
      </c>
      <c r="FM116" s="644"/>
      <c r="FN116" s="13" t="s">
        <v>504</v>
      </c>
      <c r="FO116" s="644"/>
      <c r="FP116" s="13" t="s">
        <v>504</v>
      </c>
      <c r="FQ116" s="644"/>
      <c r="FR116" s="644"/>
      <c r="FS116" s="644"/>
      <c r="FT116" s="644"/>
      <c r="FU116" s="644"/>
      <c r="FV116" s="644"/>
      <c r="FW116" s="644"/>
      <c r="FX116" s="5" t="s">
        <v>500</v>
      </c>
      <c r="FY116" s="644"/>
      <c r="FZ116" s="644"/>
      <c r="GA116" s="644"/>
      <c r="GB116" s="13" t="s">
        <v>500</v>
      </c>
      <c r="GC116" s="644"/>
      <c r="GD116" s="13" t="s">
        <v>2499</v>
      </c>
      <c r="GE116" s="644"/>
      <c r="GF116" s="5" t="s">
        <v>504</v>
      </c>
      <c r="GG116" s="644"/>
      <c r="GH116" s="13" t="s">
        <v>504</v>
      </c>
      <c r="GI116" s="644"/>
      <c r="GJ116" s="811" t="s">
        <v>479</v>
      </c>
      <c r="GK116" s="644"/>
      <c r="GL116" s="13" t="s">
        <v>504</v>
      </c>
      <c r="GM116" s="644"/>
      <c r="GN116" s="13" t="s">
        <v>504</v>
      </c>
      <c r="GO116" s="644"/>
      <c r="GP116" s="13" t="s">
        <v>504</v>
      </c>
      <c r="GQ116" s="644"/>
      <c r="GR116" s="13"/>
      <c r="GS116" s="644"/>
      <c r="GT116" s="13" t="s">
        <v>504</v>
      </c>
      <c r="GU116" s="644"/>
      <c r="GV116" s="13" t="s">
        <v>504</v>
      </c>
      <c r="GW116" s="644"/>
      <c r="GX116" s="13" t="s">
        <v>504</v>
      </c>
      <c r="GY116" s="644"/>
      <c r="GZ116" s="13" t="s">
        <v>504</v>
      </c>
      <c r="HA116" s="644"/>
      <c r="HB116" s="13" t="s">
        <v>504</v>
      </c>
      <c r="HC116" s="644"/>
      <c r="HD116" s="13"/>
      <c r="HE116" s="644"/>
      <c r="HF116" s="13"/>
      <c r="HG116" s="644"/>
      <c r="HH116" s="13" t="s">
        <v>500</v>
      </c>
      <c r="HI116" s="644"/>
      <c r="HJ116" s="644"/>
      <c r="HK116" s="644"/>
      <c r="HL116" s="13" t="s">
        <v>504</v>
      </c>
      <c r="HM116" s="644"/>
      <c r="HN116" s="5" t="s">
        <v>504</v>
      </c>
      <c r="HO116" s="644"/>
      <c r="HP116" s="13" t="s">
        <v>504</v>
      </c>
      <c r="HQ116" s="644"/>
      <c r="HR116" s="9" t="s">
        <v>504</v>
      </c>
      <c r="HS116" s="644"/>
      <c r="HT116" s="711" t="s">
        <v>504</v>
      </c>
      <c r="HU116" s="644"/>
      <c r="HV116" s="13" t="s">
        <v>504</v>
      </c>
      <c r="HW116" s="644"/>
      <c r="HX116" s="13" t="s">
        <v>504</v>
      </c>
      <c r="HY116" s="644"/>
      <c r="HZ116" s="13" t="s">
        <v>504</v>
      </c>
      <c r="IA116" s="644"/>
      <c r="IB116" s="644"/>
      <c r="IC116" s="644"/>
      <c r="ID116" s="13" t="s">
        <v>504</v>
      </c>
      <c r="IE116" s="644"/>
      <c r="IF116" s="5" t="s">
        <v>504</v>
      </c>
      <c r="IG116" s="823"/>
      <c r="IH116" s="13" t="s">
        <v>504</v>
      </c>
      <c r="II116" s="644"/>
      <c r="IJ116" s="644"/>
      <c r="IK116" s="644"/>
      <c r="IL116" s="711" t="s">
        <v>504</v>
      </c>
      <c r="IM116" s="644"/>
      <c r="IN116" s="712" t="s">
        <v>504</v>
      </c>
      <c r="IO116" s="644"/>
      <c r="IP116" s="13" t="s">
        <v>504</v>
      </c>
      <c r="IQ116" s="644"/>
      <c r="IR116" s="13" t="s">
        <v>504</v>
      </c>
      <c r="IS116" s="644"/>
      <c r="IT116" s="13" t="s">
        <v>504</v>
      </c>
      <c r="IU116" s="644"/>
      <c r="IV116" s="13" t="s">
        <v>504</v>
      </c>
      <c r="IW116" s="644"/>
      <c r="IX116" s="710" t="s">
        <v>504</v>
      </c>
      <c r="IY116" s="644"/>
      <c r="IZ116" s="13" t="s">
        <v>504</v>
      </c>
      <c r="JA116" s="644"/>
      <c r="JB116" s="13"/>
      <c r="JC116" s="644"/>
      <c r="JD116" s="13" t="s">
        <v>479</v>
      </c>
      <c r="JE116" s="644"/>
      <c r="JF116" s="644"/>
      <c r="JG116" s="644"/>
      <c r="JH116" s="13"/>
      <c r="JI116" s="644"/>
      <c r="JJ116" s="644"/>
      <c r="JK116" s="644"/>
      <c r="JL116" s="644"/>
      <c r="JM116" s="644"/>
      <c r="JN116" s="13" t="s">
        <v>504</v>
      </c>
      <c r="JO116" s="644"/>
      <c r="JP116" s="644"/>
      <c r="JQ116" s="644"/>
      <c r="JR116" s="713" t="s">
        <v>504</v>
      </c>
      <c r="JS116" s="644"/>
      <c r="JT116" s="13" t="s">
        <v>504</v>
      </c>
      <c r="JU116" s="644"/>
      <c r="JV116" s="13"/>
      <c r="JW116" s="644"/>
      <c r="JX116" s="13" t="s">
        <v>504</v>
      </c>
      <c r="JY116" s="644"/>
    </row>
    <row r="117" spans="1:285" ht="38.25" x14ac:dyDescent="0.2">
      <c r="A117" s="1565"/>
      <c r="B117" s="1567"/>
      <c r="C117" s="1545"/>
      <c r="D117" s="1548"/>
      <c r="E117" s="755" t="s">
        <v>172</v>
      </c>
      <c r="F117" s="13"/>
      <c r="G117" s="823"/>
      <c r="H117" s="13" t="s">
        <v>465</v>
      </c>
      <c r="I117" s="644"/>
      <c r="J117" s="13" t="s">
        <v>465</v>
      </c>
      <c r="K117" s="644"/>
      <c r="L117" s="9" t="s">
        <v>465</v>
      </c>
      <c r="M117" s="644"/>
      <c r="N117" s="808" t="s">
        <v>465</v>
      </c>
      <c r="O117" s="644"/>
      <c r="P117" s="709" t="s">
        <v>465</v>
      </c>
      <c r="Q117" s="644"/>
      <c r="R117" s="13"/>
      <c r="S117" s="644"/>
      <c r="T117" s="644"/>
      <c r="U117" s="644"/>
      <c r="V117" s="644"/>
      <c r="W117" s="644"/>
      <c r="X117" s="644"/>
      <c r="Y117" s="644"/>
      <c r="Z117" s="9" t="s">
        <v>465</v>
      </c>
      <c r="AA117" s="644"/>
      <c r="AB117" s="5" t="s">
        <v>465</v>
      </c>
      <c r="AC117" s="644"/>
      <c r="AD117" s="5" t="s">
        <v>465</v>
      </c>
      <c r="AE117" s="644"/>
      <c r="AF117" s="644"/>
      <c r="AG117" s="644"/>
      <c r="AH117" s="644"/>
      <c r="AI117" s="644"/>
      <c r="AJ117" s="709"/>
      <c r="AK117" s="644"/>
      <c r="AL117" s="13"/>
      <c r="AM117" s="644"/>
      <c r="AN117" s="13"/>
      <c r="AO117" s="644"/>
      <c r="AP117" s="13"/>
      <c r="AQ117" s="644"/>
      <c r="AR117" s="13"/>
      <c r="AS117" s="644"/>
      <c r="AT117" s="13"/>
      <c r="AU117" s="644"/>
      <c r="AV117" s="808"/>
      <c r="AW117" s="644"/>
      <c r="AX117" s="13"/>
      <c r="AY117" s="644"/>
      <c r="AZ117" s="13"/>
      <c r="BA117" s="644"/>
      <c r="BB117" s="644"/>
      <c r="BC117" s="644"/>
      <c r="BD117" s="5" t="s">
        <v>1348</v>
      </c>
      <c r="BE117" s="644"/>
      <c r="BF117" s="13"/>
      <c r="BG117" s="644"/>
      <c r="BH117" s="644"/>
      <c r="BI117" s="644"/>
      <c r="BJ117" s="13" t="s">
        <v>796</v>
      </c>
      <c r="BK117" s="644"/>
      <c r="BL117" s="13"/>
      <c r="BM117" s="644"/>
      <c r="BN117" s="13"/>
      <c r="BO117" s="644"/>
      <c r="BP117" s="710" t="s">
        <v>935</v>
      </c>
      <c r="BQ117" s="644"/>
      <c r="BR117" s="13"/>
      <c r="BS117" s="644"/>
      <c r="BT117" s="13"/>
      <c r="BU117" s="644"/>
      <c r="BV117" s="13"/>
      <c r="BW117" s="644"/>
      <c r="BX117" s="710"/>
      <c r="BY117" s="644"/>
      <c r="BZ117" s="710"/>
      <c r="CA117" s="644"/>
      <c r="CB117" s="13"/>
      <c r="CC117" s="644"/>
      <c r="CD117" s="644"/>
      <c r="CE117" s="644"/>
      <c r="CF117" s="644"/>
      <c r="CG117" s="644"/>
      <c r="CH117" s="710" t="s">
        <v>465</v>
      </c>
      <c r="CI117" s="13"/>
      <c r="CJ117" s="9" t="s">
        <v>2121</v>
      </c>
      <c r="CK117" s="13"/>
      <c r="CL117" s="13" t="s">
        <v>504</v>
      </c>
      <c r="CM117" s="644"/>
      <c r="CN117" s="4"/>
      <c r="CO117" s="644"/>
      <c r="CP117" s="4"/>
      <c r="CQ117" s="644"/>
      <c r="CR117" s="13"/>
      <c r="CS117" s="644"/>
      <c r="CT117" s="13"/>
      <c r="CU117" s="644"/>
      <c r="CV117" s="13" t="s">
        <v>465</v>
      </c>
      <c r="CW117" s="644"/>
      <c r="CX117" s="13" t="s">
        <v>465</v>
      </c>
      <c r="CY117" s="644"/>
      <c r="CZ117" s="9" t="s">
        <v>465</v>
      </c>
      <c r="DA117" s="644"/>
      <c r="DB117" s="13" t="s">
        <v>465</v>
      </c>
      <c r="DC117" s="644"/>
      <c r="DD117" s="23"/>
      <c r="DE117" s="644"/>
      <c r="DF117" s="644"/>
      <c r="DG117" s="644"/>
      <c r="DH117" s="13"/>
      <c r="DI117" s="644"/>
      <c r="DJ117" s="809"/>
      <c r="DK117" s="644"/>
      <c r="DL117" s="644"/>
      <c r="DM117" s="644"/>
      <c r="DN117" s="13"/>
      <c r="DO117" s="644"/>
      <c r="DP117" s="644"/>
      <c r="DQ117" s="644"/>
      <c r="DR117" s="644"/>
      <c r="DS117" s="644"/>
      <c r="DT117" s="644"/>
      <c r="DU117" s="644"/>
      <c r="DV117" s="9" t="s">
        <v>465</v>
      </c>
      <c r="DW117" s="644"/>
      <c r="DX117" s="9" t="s">
        <v>465</v>
      </c>
      <c r="DY117" s="644"/>
      <c r="DZ117" s="5" t="s">
        <v>465</v>
      </c>
      <c r="EA117" s="644"/>
      <c r="EB117" s="644"/>
      <c r="EC117" s="644"/>
      <c r="ED117" s="644"/>
      <c r="EE117" s="644"/>
      <c r="EF117" s="13" t="s">
        <v>504</v>
      </c>
      <c r="EG117" s="644"/>
      <c r="EH117" s="759" t="s">
        <v>504</v>
      </c>
      <c r="EI117" s="644"/>
      <c r="EJ117" s="644"/>
      <c r="EK117" s="644"/>
      <c r="EL117" s="644"/>
      <c r="EM117" s="644"/>
      <c r="EN117" s="13"/>
      <c r="EO117" s="644"/>
      <c r="EP117" s="13" t="s">
        <v>504</v>
      </c>
      <c r="EQ117" s="644"/>
      <c r="ER117" s="644"/>
      <c r="ES117" s="644"/>
      <c r="ET117" s="13" t="s">
        <v>465</v>
      </c>
      <c r="EU117" s="644"/>
      <c r="EV117" s="13" t="s">
        <v>465</v>
      </c>
      <c r="EW117" s="644"/>
      <c r="EX117" s="13"/>
      <c r="EY117" s="644"/>
      <c r="EZ117" s="9" t="s">
        <v>935</v>
      </c>
      <c r="FA117" s="644"/>
      <c r="FB117" s="13" t="s">
        <v>935</v>
      </c>
      <c r="FC117" s="644"/>
      <c r="FD117" s="13" t="s">
        <v>465</v>
      </c>
      <c r="FE117" s="644"/>
      <c r="FF117" s="13" t="s">
        <v>465</v>
      </c>
      <c r="FG117" s="644"/>
      <c r="FH117" s="13"/>
      <c r="FI117" s="644"/>
      <c r="FJ117" s="13"/>
      <c r="FK117" s="644"/>
      <c r="FL117" s="811" t="s">
        <v>504</v>
      </c>
      <c r="FM117" s="644"/>
      <c r="FN117" s="13"/>
      <c r="FO117" s="644"/>
      <c r="FP117" s="13"/>
      <c r="FQ117" s="644"/>
      <c r="FR117" s="644"/>
      <c r="FS117" s="644"/>
      <c r="FT117" s="644"/>
      <c r="FU117" s="644"/>
      <c r="FV117" s="644"/>
      <c r="FW117" s="644"/>
      <c r="FX117" s="5" t="s">
        <v>1870</v>
      </c>
      <c r="FY117" s="644"/>
      <c r="FZ117" s="644"/>
      <c r="GA117" s="644"/>
      <c r="GB117" s="13"/>
      <c r="GC117" s="644"/>
      <c r="GD117" s="13" t="s">
        <v>2499</v>
      </c>
      <c r="GE117" s="644"/>
      <c r="GF117" s="5" t="s">
        <v>504</v>
      </c>
      <c r="GG117" s="644"/>
      <c r="GH117" s="13" t="s">
        <v>2008</v>
      </c>
      <c r="GI117" s="644"/>
      <c r="GJ117" s="811" t="s">
        <v>465</v>
      </c>
      <c r="GK117" s="644"/>
      <c r="GL117" s="13"/>
      <c r="GM117" s="644"/>
      <c r="GN117" s="13"/>
      <c r="GO117" s="644"/>
      <c r="GP117" s="13"/>
      <c r="GQ117" s="644"/>
      <c r="GR117" s="13"/>
      <c r="GS117" s="644"/>
      <c r="GT117" s="13"/>
      <c r="GU117" s="644"/>
      <c r="GV117" s="13"/>
      <c r="GW117" s="644"/>
      <c r="GX117" s="13"/>
      <c r="GY117" s="644"/>
      <c r="GZ117" s="13"/>
      <c r="HA117" s="644"/>
      <c r="HB117" s="13"/>
      <c r="HC117" s="644"/>
      <c r="HD117" s="13"/>
      <c r="HE117" s="644"/>
      <c r="HF117" s="13"/>
      <c r="HG117" s="644"/>
      <c r="HH117" s="13" t="s">
        <v>1931</v>
      </c>
      <c r="HI117" s="644"/>
      <c r="HJ117" s="644"/>
      <c r="HK117" s="644"/>
      <c r="HL117" s="13"/>
      <c r="HM117" s="644"/>
      <c r="HN117" s="5" t="s">
        <v>465</v>
      </c>
      <c r="HO117" s="644"/>
      <c r="HP117" s="13"/>
      <c r="HQ117" s="644"/>
      <c r="HR117" s="13"/>
      <c r="HS117" s="644"/>
      <c r="HT117" s="734" t="s">
        <v>702</v>
      </c>
      <c r="HU117" s="644"/>
      <c r="HV117" s="13"/>
      <c r="HW117" s="644"/>
      <c r="HX117" s="13"/>
      <c r="HY117" s="644"/>
      <c r="HZ117" s="13"/>
      <c r="IA117" s="644"/>
      <c r="IB117" s="644"/>
      <c r="IC117" s="644"/>
      <c r="ID117" s="13"/>
      <c r="IE117" s="644"/>
      <c r="IF117" s="5"/>
      <c r="IG117" s="823"/>
      <c r="IH117" s="13"/>
      <c r="II117" s="644"/>
      <c r="IJ117" s="644"/>
      <c r="IK117" s="644"/>
      <c r="IL117" s="711" t="s">
        <v>465</v>
      </c>
      <c r="IM117" s="644"/>
      <c r="IN117" s="712" t="s">
        <v>465</v>
      </c>
      <c r="IO117" s="644"/>
      <c r="IP117" s="13"/>
      <c r="IQ117" s="644"/>
      <c r="IR117" s="13"/>
      <c r="IS117" s="644"/>
      <c r="IT117" s="13" t="s">
        <v>701</v>
      </c>
      <c r="IU117" s="644"/>
      <c r="IV117" s="13" t="s">
        <v>504</v>
      </c>
      <c r="IW117" s="644"/>
      <c r="IX117" s="710" t="s">
        <v>1104</v>
      </c>
      <c r="IY117" s="644"/>
      <c r="IZ117" s="13" t="s">
        <v>504</v>
      </c>
      <c r="JA117" s="644"/>
      <c r="JB117" s="13"/>
      <c r="JC117" s="644"/>
      <c r="JD117" s="13" t="s">
        <v>465</v>
      </c>
      <c r="JE117" s="644"/>
      <c r="JF117" s="644"/>
      <c r="JG117" s="644"/>
      <c r="JH117" s="13"/>
      <c r="JI117" s="644"/>
      <c r="JJ117" s="644"/>
      <c r="JK117" s="644"/>
      <c r="JL117" s="644"/>
      <c r="JM117" s="644"/>
      <c r="JN117" s="13" t="s">
        <v>504</v>
      </c>
      <c r="JO117" s="644"/>
      <c r="JP117" s="644"/>
      <c r="JQ117" s="644"/>
      <c r="JR117" s="713"/>
      <c r="JS117" s="644"/>
      <c r="JT117" s="13" t="s">
        <v>465</v>
      </c>
      <c r="JU117" s="644"/>
      <c r="JV117" s="13"/>
      <c r="JW117" s="644"/>
      <c r="JX117" s="13" t="s">
        <v>702</v>
      </c>
      <c r="JY117" s="644"/>
    </row>
    <row r="118" spans="1:285" ht="26.25" thickBot="1" x14ac:dyDescent="0.25">
      <c r="A118" s="1565"/>
      <c r="B118" s="1567"/>
      <c r="C118" s="1546"/>
      <c r="D118" s="1549"/>
      <c r="E118" s="755" t="s">
        <v>174</v>
      </c>
      <c r="F118" s="13"/>
      <c r="G118" s="823"/>
      <c r="H118" s="13" t="s">
        <v>465</v>
      </c>
      <c r="I118" s="644"/>
      <c r="J118" s="13" t="s">
        <v>465</v>
      </c>
      <c r="K118" s="644"/>
      <c r="L118" s="9" t="s">
        <v>465</v>
      </c>
      <c r="M118" s="644"/>
      <c r="N118" s="808" t="s">
        <v>465</v>
      </c>
      <c r="O118" s="644"/>
      <c r="P118" s="709" t="s">
        <v>465</v>
      </c>
      <c r="Q118" s="644"/>
      <c r="R118" s="13"/>
      <c r="S118" s="644"/>
      <c r="T118" s="644"/>
      <c r="U118" s="644"/>
      <c r="V118" s="644"/>
      <c r="W118" s="644"/>
      <c r="X118" s="644"/>
      <c r="Y118" s="644"/>
      <c r="Z118" s="13" t="s">
        <v>465</v>
      </c>
      <c r="AA118" s="644"/>
      <c r="AB118" s="703" t="s">
        <v>465</v>
      </c>
      <c r="AC118" s="644"/>
      <c r="AD118" s="5" t="s">
        <v>465</v>
      </c>
      <c r="AE118" s="644"/>
      <c r="AF118" s="644"/>
      <c r="AG118" s="644"/>
      <c r="AH118" s="644"/>
      <c r="AI118" s="644"/>
      <c r="AJ118" s="709"/>
      <c r="AK118" s="644"/>
      <c r="AL118" s="13"/>
      <c r="AM118" s="644"/>
      <c r="AN118" s="13"/>
      <c r="AO118" s="644"/>
      <c r="AP118" s="13"/>
      <c r="AQ118" s="644"/>
      <c r="AR118" s="13"/>
      <c r="AS118" s="644"/>
      <c r="AT118" s="13"/>
      <c r="AU118" s="644"/>
      <c r="AV118" s="808"/>
      <c r="AW118" s="644"/>
      <c r="AX118" s="13"/>
      <c r="AY118" s="644"/>
      <c r="AZ118" s="13"/>
      <c r="BA118" s="644"/>
      <c r="BB118" s="644"/>
      <c r="BC118" s="644"/>
      <c r="BD118" s="5">
        <v>21</v>
      </c>
      <c r="BE118" s="644"/>
      <c r="BF118" s="13"/>
      <c r="BG118" s="644"/>
      <c r="BH118" s="644"/>
      <c r="BI118" s="644"/>
      <c r="BJ118" s="13">
        <v>1352</v>
      </c>
      <c r="BK118" s="644"/>
      <c r="BL118" s="13"/>
      <c r="BM118" s="644"/>
      <c r="BN118" s="13"/>
      <c r="BO118" s="644"/>
      <c r="BP118" s="13"/>
      <c r="BQ118" s="644"/>
      <c r="BR118" s="13"/>
      <c r="BS118" s="644"/>
      <c r="BT118" s="13"/>
      <c r="BU118" s="644"/>
      <c r="BV118" s="13"/>
      <c r="BW118" s="644"/>
      <c r="BX118" s="710"/>
      <c r="BY118" s="644"/>
      <c r="BZ118" s="710"/>
      <c r="CA118" s="644"/>
      <c r="CB118" s="13"/>
      <c r="CC118" s="644"/>
      <c r="CD118" s="644"/>
      <c r="CE118" s="644"/>
      <c r="CF118" s="644"/>
      <c r="CG118" s="644"/>
      <c r="CH118" s="710" t="s">
        <v>465</v>
      </c>
      <c r="CI118" s="13"/>
      <c r="CJ118" s="13">
        <v>15327</v>
      </c>
      <c r="CK118" s="13"/>
      <c r="CL118" s="13" t="s">
        <v>504</v>
      </c>
      <c r="CM118" s="644"/>
      <c r="CN118" s="4"/>
      <c r="CO118" s="644"/>
      <c r="CP118" s="4"/>
      <c r="CQ118" s="644"/>
      <c r="CR118" s="13"/>
      <c r="CS118" s="644"/>
      <c r="CT118" s="13"/>
      <c r="CU118" s="644"/>
      <c r="CV118" s="13" t="s">
        <v>465</v>
      </c>
      <c r="CW118" s="644"/>
      <c r="CX118" s="13" t="s">
        <v>465</v>
      </c>
      <c r="CY118" s="644"/>
      <c r="CZ118" s="13" t="s">
        <v>465</v>
      </c>
      <c r="DA118" s="644"/>
      <c r="DB118" s="13" t="s">
        <v>465</v>
      </c>
      <c r="DC118" s="644"/>
      <c r="DD118" s="703" t="s">
        <v>465</v>
      </c>
      <c r="DE118" s="644"/>
      <c r="DF118" s="644"/>
      <c r="DG118" s="644"/>
      <c r="DH118" s="13"/>
      <c r="DI118" s="644"/>
      <c r="DJ118" s="809"/>
      <c r="DK118" s="644"/>
      <c r="DL118" s="644"/>
      <c r="DM118" s="644"/>
      <c r="DN118" s="13"/>
      <c r="DO118" s="644"/>
      <c r="DP118" s="644"/>
      <c r="DQ118" s="644"/>
      <c r="DR118" s="644"/>
      <c r="DS118" s="644"/>
      <c r="DT118" s="644"/>
      <c r="DU118" s="644"/>
      <c r="DV118" s="13" t="s">
        <v>465</v>
      </c>
      <c r="DW118" s="644"/>
      <c r="DX118" s="13" t="s">
        <v>465</v>
      </c>
      <c r="DY118" s="644"/>
      <c r="DZ118" s="703" t="s">
        <v>465</v>
      </c>
      <c r="EA118" s="644"/>
      <c r="EB118" s="644"/>
      <c r="EC118" s="644"/>
      <c r="ED118" s="644"/>
      <c r="EE118" s="644"/>
      <c r="EF118" s="13" t="s">
        <v>504</v>
      </c>
      <c r="EG118" s="644"/>
      <c r="EH118" s="810" t="s">
        <v>504</v>
      </c>
      <c r="EI118" s="644"/>
      <c r="EJ118" s="644"/>
      <c r="EK118" s="644"/>
      <c r="EL118" s="644"/>
      <c r="EM118" s="644"/>
      <c r="EN118" s="13"/>
      <c r="EO118" s="644"/>
      <c r="EP118" s="13" t="s">
        <v>504</v>
      </c>
      <c r="EQ118" s="644"/>
      <c r="ER118" s="644"/>
      <c r="ES118" s="644"/>
      <c r="ET118" s="13" t="s">
        <v>465</v>
      </c>
      <c r="EU118" s="644"/>
      <c r="EV118" s="13" t="s">
        <v>465</v>
      </c>
      <c r="EW118" s="644"/>
      <c r="EX118" s="13"/>
      <c r="EY118" s="644"/>
      <c r="EZ118" s="13">
        <v>9.1</v>
      </c>
      <c r="FA118" s="644"/>
      <c r="FB118" s="13" t="s">
        <v>1664</v>
      </c>
      <c r="FC118" s="644"/>
      <c r="FD118" s="13" t="s">
        <v>465</v>
      </c>
      <c r="FE118" s="644"/>
      <c r="FF118" s="13" t="s">
        <v>465</v>
      </c>
      <c r="FG118" s="644"/>
      <c r="FH118" s="13"/>
      <c r="FI118" s="644"/>
      <c r="FJ118" s="13"/>
      <c r="FK118" s="644"/>
      <c r="FL118" s="811">
        <v>0</v>
      </c>
      <c r="FM118" s="644"/>
      <c r="FN118" s="13"/>
      <c r="FO118" s="644"/>
      <c r="FP118" s="13"/>
      <c r="FQ118" s="644"/>
      <c r="FR118" s="644"/>
      <c r="FS118" s="644"/>
      <c r="FT118" s="644"/>
      <c r="FU118" s="644"/>
      <c r="FV118" s="644"/>
      <c r="FW118" s="644"/>
      <c r="FX118" s="703" t="s">
        <v>1868</v>
      </c>
      <c r="FY118" s="644"/>
      <c r="FZ118" s="644"/>
      <c r="GA118" s="644"/>
      <c r="GB118" s="13">
        <v>148</v>
      </c>
      <c r="GC118" s="644"/>
      <c r="GD118" s="13" t="s">
        <v>2499</v>
      </c>
      <c r="GE118" s="644"/>
      <c r="GF118" s="703" t="s">
        <v>504</v>
      </c>
      <c r="GG118" s="644"/>
      <c r="GH118" s="13">
        <v>0</v>
      </c>
      <c r="GI118" s="644"/>
      <c r="GJ118" s="811" t="s">
        <v>465</v>
      </c>
      <c r="GK118" s="644"/>
      <c r="GL118" s="13"/>
      <c r="GM118" s="644"/>
      <c r="GN118" s="13"/>
      <c r="GO118" s="644"/>
      <c r="GP118" s="13"/>
      <c r="GQ118" s="644"/>
      <c r="GR118" s="13"/>
      <c r="GS118" s="644"/>
      <c r="GT118" s="13"/>
      <c r="GU118" s="644"/>
      <c r="GV118" s="13"/>
      <c r="GW118" s="644"/>
      <c r="GX118" s="13"/>
      <c r="GY118" s="644"/>
      <c r="GZ118" s="13"/>
      <c r="HA118" s="644"/>
      <c r="HB118" s="13"/>
      <c r="HC118" s="644"/>
      <c r="HD118" s="13"/>
      <c r="HE118" s="644"/>
      <c r="HF118" s="13"/>
      <c r="HG118" s="644"/>
      <c r="HH118" s="13">
        <v>100</v>
      </c>
      <c r="HI118" s="644"/>
      <c r="HJ118" s="644"/>
      <c r="HK118" s="644"/>
      <c r="HL118" s="13"/>
      <c r="HM118" s="644"/>
      <c r="HN118" s="703" t="s">
        <v>465</v>
      </c>
      <c r="HO118" s="644"/>
      <c r="HP118" s="13"/>
      <c r="HQ118" s="644"/>
      <c r="HR118" s="13"/>
      <c r="HS118" s="644"/>
      <c r="HT118" s="734" t="s">
        <v>702</v>
      </c>
      <c r="HU118" s="644"/>
      <c r="HV118" s="13"/>
      <c r="HW118" s="644"/>
      <c r="HX118" s="13"/>
      <c r="HY118" s="644"/>
      <c r="HZ118" s="13"/>
      <c r="IA118" s="644"/>
      <c r="IB118" s="644"/>
      <c r="IC118" s="644"/>
      <c r="ID118" s="13"/>
      <c r="IE118" s="644"/>
      <c r="IF118" s="703"/>
      <c r="IG118" s="756"/>
      <c r="IH118" s="13"/>
      <c r="II118" s="644"/>
      <c r="IJ118" s="644"/>
      <c r="IK118" s="644"/>
      <c r="IL118" s="711" t="s">
        <v>465</v>
      </c>
      <c r="IM118" s="644"/>
      <c r="IN118" s="712" t="s">
        <v>465</v>
      </c>
      <c r="IO118" s="644"/>
      <c r="IP118" s="13"/>
      <c r="IQ118" s="644"/>
      <c r="IR118" s="13"/>
      <c r="IS118" s="644"/>
      <c r="IT118" s="13" t="s">
        <v>701</v>
      </c>
      <c r="IU118" s="644"/>
      <c r="IV118" s="13" t="s">
        <v>504</v>
      </c>
      <c r="IW118" s="644"/>
      <c r="IX118" s="710" t="s">
        <v>1104</v>
      </c>
      <c r="IY118" s="644"/>
      <c r="IZ118" s="13" t="s">
        <v>504</v>
      </c>
      <c r="JA118" s="644"/>
      <c r="JB118" s="13"/>
      <c r="JC118" s="644"/>
      <c r="JD118" s="13" t="s">
        <v>465</v>
      </c>
      <c r="JE118" s="644"/>
      <c r="JF118" s="644"/>
      <c r="JG118" s="644"/>
      <c r="JH118" s="13"/>
      <c r="JI118" s="644"/>
      <c r="JJ118" s="644"/>
      <c r="JK118" s="644"/>
      <c r="JL118" s="644"/>
      <c r="JM118" s="644"/>
      <c r="JN118" s="13">
        <v>0</v>
      </c>
      <c r="JO118" s="644"/>
      <c r="JP118" s="644"/>
      <c r="JQ118" s="644"/>
      <c r="JR118" s="713"/>
      <c r="JS118" s="644"/>
      <c r="JT118" s="13" t="s">
        <v>465</v>
      </c>
      <c r="JU118" s="644"/>
      <c r="JV118" s="13"/>
      <c r="JW118" s="644"/>
      <c r="JX118" s="13" t="s">
        <v>702</v>
      </c>
      <c r="JY118" s="644"/>
    </row>
    <row r="119" spans="1:285" ht="25.5" customHeight="1" x14ac:dyDescent="0.2">
      <c r="A119" s="1565"/>
      <c r="B119" s="1567"/>
      <c r="C119" s="1550" t="s">
        <v>242</v>
      </c>
      <c r="D119" s="1552" t="s">
        <v>43</v>
      </c>
      <c r="E119" s="755" t="s">
        <v>171</v>
      </c>
      <c r="F119" s="9" t="s">
        <v>504</v>
      </c>
      <c r="G119" s="738"/>
      <c r="H119" s="9" t="s">
        <v>504</v>
      </c>
      <c r="I119" s="644"/>
      <c r="J119" s="9" t="s">
        <v>504</v>
      </c>
      <c r="K119" s="644"/>
      <c r="L119" s="9" t="s">
        <v>465</v>
      </c>
      <c r="M119" s="644"/>
      <c r="N119" s="757" t="s">
        <v>479</v>
      </c>
      <c r="O119" s="644"/>
      <c r="P119" s="84" t="s">
        <v>504</v>
      </c>
      <c r="Q119" s="644"/>
      <c r="R119" s="9"/>
      <c r="S119" s="644"/>
      <c r="T119" s="644"/>
      <c r="U119" s="644"/>
      <c r="V119" s="644"/>
      <c r="W119" s="644"/>
      <c r="X119" s="644"/>
      <c r="Y119" s="644"/>
      <c r="Z119" s="9" t="s">
        <v>2307</v>
      </c>
      <c r="AA119" s="644"/>
      <c r="AB119" s="5" t="s">
        <v>2307</v>
      </c>
      <c r="AC119" s="644"/>
      <c r="AD119" s="5" t="s">
        <v>479</v>
      </c>
      <c r="AE119" s="644"/>
      <c r="AF119" s="644"/>
      <c r="AG119" s="644"/>
      <c r="AH119" s="644"/>
      <c r="AI119" s="644"/>
      <c r="AJ119" s="84" t="s">
        <v>504</v>
      </c>
      <c r="AK119" s="644"/>
      <c r="AL119" s="9"/>
      <c r="AM119" s="644"/>
      <c r="AN119" s="9"/>
      <c r="AO119" s="644"/>
      <c r="AP119" s="9" t="s">
        <v>479</v>
      </c>
      <c r="AQ119" s="644"/>
      <c r="AR119" s="9"/>
      <c r="AS119" s="644"/>
      <c r="AT119" s="9"/>
      <c r="AU119" s="644"/>
      <c r="AV119" s="757"/>
      <c r="AW119" s="644"/>
      <c r="AX119" s="9" t="s">
        <v>504</v>
      </c>
      <c r="AY119" s="644"/>
      <c r="AZ119" s="9" t="s">
        <v>504</v>
      </c>
      <c r="BA119" s="644"/>
      <c r="BB119" s="644"/>
      <c r="BC119" s="644"/>
      <c r="BD119" s="5" t="s">
        <v>504</v>
      </c>
      <c r="BE119" s="644"/>
      <c r="BF119" s="9"/>
      <c r="BG119" s="644"/>
      <c r="BH119" s="644"/>
      <c r="BI119" s="644"/>
      <c r="BJ119" s="9" t="s">
        <v>504</v>
      </c>
      <c r="BK119" s="644"/>
      <c r="BL119" s="9" t="s">
        <v>504</v>
      </c>
      <c r="BM119" s="644"/>
      <c r="BN119" s="9" t="s">
        <v>504</v>
      </c>
      <c r="BO119" s="644"/>
      <c r="BP119" s="9"/>
      <c r="BQ119" s="644"/>
      <c r="BR119" s="9" t="s">
        <v>504</v>
      </c>
      <c r="BS119" s="644"/>
      <c r="BT119" s="9"/>
      <c r="BU119" s="644"/>
      <c r="BV119" s="9" t="s">
        <v>504</v>
      </c>
      <c r="BW119" s="644"/>
      <c r="BX119" s="632" t="s">
        <v>504</v>
      </c>
      <c r="BY119" s="644"/>
      <c r="BZ119" s="710" t="s">
        <v>504</v>
      </c>
      <c r="CA119" s="644"/>
      <c r="CB119" s="9" t="s">
        <v>504</v>
      </c>
      <c r="CC119" s="644"/>
      <c r="CD119" s="644"/>
      <c r="CE119" s="644"/>
      <c r="CF119" s="644"/>
      <c r="CG119" s="644"/>
      <c r="CH119" s="632" t="s">
        <v>504</v>
      </c>
      <c r="CI119" s="9"/>
      <c r="CJ119" s="9" t="s">
        <v>504</v>
      </c>
      <c r="CK119" s="9"/>
      <c r="CL119" s="9" t="s">
        <v>504</v>
      </c>
      <c r="CM119" s="644"/>
      <c r="CN119" s="13" t="s">
        <v>500</v>
      </c>
      <c r="CO119" s="644"/>
      <c r="CP119" s="9" t="s">
        <v>504</v>
      </c>
      <c r="CQ119" s="644"/>
      <c r="CR119" s="9" t="s">
        <v>504</v>
      </c>
      <c r="CS119" s="644"/>
      <c r="CT119" s="9" t="s">
        <v>504</v>
      </c>
      <c r="CU119" s="644"/>
      <c r="CV119" s="9" t="s">
        <v>504</v>
      </c>
      <c r="CW119" s="644"/>
      <c r="CX119" s="9" t="s">
        <v>504</v>
      </c>
      <c r="CY119" s="644"/>
      <c r="CZ119" s="9" t="s">
        <v>504</v>
      </c>
      <c r="DA119" s="644"/>
      <c r="DB119" s="9" t="s">
        <v>504</v>
      </c>
      <c r="DC119" s="644"/>
      <c r="DD119" s="5" t="s">
        <v>504</v>
      </c>
      <c r="DE119" s="644"/>
      <c r="DF119" s="644"/>
      <c r="DG119" s="644"/>
      <c r="DH119" s="9"/>
      <c r="DI119" s="644"/>
      <c r="DJ119" s="758" t="s">
        <v>504</v>
      </c>
      <c r="DK119" s="644"/>
      <c r="DL119" s="644"/>
      <c r="DM119" s="644"/>
      <c r="DN119" s="9" t="s">
        <v>504</v>
      </c>
      <c r="DO119" s="644"/>
      <c r="DP119" s="644"/>
      <c r="DQ119" s="644"/>
      <c r="DR119" s="644"/>
      <c r="DS119" s="644"/>
      <c r="DT119" s="644"/>
      <c r="DU119" s="644"/>
      <c r="DV119" s="9" t="s">
        <v>504</v>
      </c>
      <c r="DW119" s="644"/>
      <c r="DX119" s="9" t="s">
        <v>504</v>
      </c>
      <c r="DY119" s="644"/>
      <c r="DZ119" s="5" t="s">
        <v>504</v>
      </c>
      <c r="EA119" s="644"/>
      <c r="EB119" s="644"/>
      <c r="EC119" s="644"/>
      <c r="ED119" s="644"/>
      <c r="EE119" s="644"/>
      <c r="EF119" s="9" t="s">
        <v>504</v>
      </c>
      <c r="EG119" s="644"/>
      <c r="EH119" s="759" t="s">
        <v>504</v>
      </c>
      <c r="EI119" s="644"/>
      <c r="EJ119" s="644"/>
      <c r="EK119" s="644"/>
      <c r="EL119" s="644"/>
      <c r="EM119" s="644"/>
      <c r="EN119" s="9" t="s">
        <v>504</v>
      </c>
      <c r="EO119" s="644"/>
      <c r="EP119" s="9" t="s">
        <v>504</v>
      </c>
      <c r="EQ119" s="644"/>
      <c r="ER119" s="644"/>
      <c r="ES119" s="644"/>
      <c r="ET119" s="9" t="s">
        <v>504</v>
      </c>
      <c r="EU119" s="644"/>
      <c r="EV119" s="9" t="s">
        <v>504</v>
      </c>
      <c r="EW119" s="644"/>
      <c r="EX119" s="9" t="s">
        <v>504</v>
      </c>
      <c r="EY119" s="644"/>
      <c r="EZ119" s="9" t="s">
        <v>504</v>
      </c>
      <c r="FA119" s="644"/>
      <c r="FB119" s="9" t="s">
        <v>504</v>
      </c>
      <c r="FC119" s="644"/>
      <c r="FD119" s="9" t="s">
        <v>504</v>
      </c>
      <c r="FE119" s="644"/>
      <c r="FF119" s="9" t="s">
        <v>504</v>
      </c>
      <c r="FG119" s="644"/>
      <c r="FH119" s="9" t="s">
        <v>504</v>
      </c>
      <c r="FI119" s="644"/>
      <c r="FJ119" s="9"/>
      <c r="FK119" s="644"/>
      <c r="FL119" s="811" t="s">
        <v>504</v>
      </c>
      <c r="FM119" s="644"/>
      <c r="FN119" s="9" t="s">
        <v>504</v>
      </c>
      <c r="FO119" s="644"/>
      <c r="FP119" s="9" t="s">
        <v>504</v>
      </c>
      <c r="FQ119" s="644"/>
      <c r="FR119" s="644"/>
      <c r="FS119" s="644"/>
      <c r="FT119" s="644"/>
      <c r="FU119" s="644"/>
      <c r="FV119" s="644"/>
      <c r="FW119" s="644"/>
      <c r="FX119" s="5" t="s">
        <v>504</v>
      </c>
      <c r="FY119" s="644"/>
      <c r="FZ119" s="644"/>
      <c r="GA119" s="644"/>
      <c r="GB119" s="9" t="s">
        <v>504</v>
      </c>
      <c r="GC119" s="644"/>
      <c r="GD119" s="13" t="s">
        <v>2499</v>
      </c>
      <c r="GE119" s="644"/>
      <c r="GF119" s="740" t="s">
        <v>504</v>
      </c>
      <c r="GG119" s="644"/>
      <c r="GH119" s="9" t="s">
        <v>504</v>
      </c>
      <c r="GI119" s="644"/>
      <c r="GJ119" s="760" t="s">
        <v>479</v>
      </c>
      <c r="GK119" s="644"/>
      <c r="GL119" s="9" t="s">
        <v>504</v>
      </c>
      <c r="GM119" s="644"/>
      <c r="GN119" s="9" t="s">
        <v>504</v>
      </c>
      <c r="GO119" s="644"/>
      <c r="GP119" s="9" t="s">
        <v>504</v>
      </c>
      <c r="GQ119" s="644"/>
      <c r="GR119" s="9"/>
      <c r="GS119" s="644"/>
      <c r="GT119" s="9" t="s">
        <v>504</v>
      </c>
      <c r="GU119" s="644"/>
      <c r="GV119" s="9" t="s">
        <v>504</v>
      </c>
      <c r="GW119" s="644"/>
      <c r="GX119" s="9" t="s">
        <v>504</v>
      </c>
      <c r="GY119" s="644"/>
      <c r="GZ119" s="9" t="s">
        <v>504</v>
      </c>
      <c r="HA119" s="644"/>
      <c r="HB119" s="9" t="s">
        <v>504</v>
      </c>
      <c r="HC119" s="644"/>
      <c r="HD119" s="9"/>
      <c r="HE119" s="644"/>
      <c r="HF119" s="9"/>
      <c r="HG119" s="644"/>
      <c r="HH119" s="9" t="s">
        <v>504</v>
      </c>
      <c r="HI119" s="644"/>
      <c r="HJ119" s="644"/>
      <c r="HK119" s="644"/>
      <c r="HL119" s="9" t="s">
        <v>504</v>
      </c>
      <c r="HM119" s="644"/>
      <c r="HN119" s="5" t="s">
        <v>504</v>
      </c>
      <c r="HO119" s="644"/>
      <c r="HP119" s="9" t="s">
        <v>504</v>
      </c>
      <c r="HQ119" s="644"/>
      <c r="HR119" s="9" t="s">
        <v>504</v>
      </c>
      <c r="HS119" s="644"/>
      <c r="HT119" s="633" t="s">
        <v>504</v>
      </c>
      <c r="HU119" s="644"/>
      <c r="HV119" s="9" t="s">
        <v>504</v>
      </c>
      <c r="HW119" s="644"/>
      <c r="HX119" s="9" t="s">
        <v>504</v>
      </c>
      <c r="HY119" s="644"/>
      <c r="HZ119" s="9" t="s">
        <v>504</v>
      </c>
      <c r="IA119" s="644"/>
      <c r="IB119" s="644"/>
      <c r="IC119" s="644"/>
      <c r="ID119" s="9" t="s">
        <v>504</v>
      </c>
      <c r="IE119" s="644"/>
      <c r="IF119" s="5" t="s">
        <v>504</v>
      </c>
      <c r="IG119" s="738"/>
      <c r="IH119" s="9" t="s">
        <v>504</v>
      </c>
      <c r="II119" s="644"/>
      <c r="IJ119" s="644"/>
      <c r="IK119" s="644"/>
      <c r="IL119" s="633" t="s">
        <v>504</v>
      </c>
      <c r="IM119" s="644"/>
      <c r="IN119" s="634" t="s">
        <v>504</v>
      </c>
      <c r="IO119" s="644"/>
      <c r="IP119" s="9" t="s">
        <v>504</v>
      </c>
      <c r="IQ119" s="644"/>
      <c r="IR119" s="9" t="s">
        <v>504</v>
      </c>
      <c r="IS119" s="644"/>
      <c r="IT119" s="9" t="s">
        <v>504</v>
      </c>
      <c r="IU119" s="644"/>
      <c r="IV119" s="13" t="s">
        <v>504</v>
      </c>
      <c r="IW119" s="644"/>
      <c r="IX119" s="632" t="s">
        <v>504</v>
      </c>
      <c r="IY119" s="644"/>
      <c r="IZ119" s="9" t="s">
        <v>504</v>
      </c>
      <c r="JA119" s="644"/>
      <c r="JB119" s="9"/>
      <c r="JC119" s="644"/>
      <c r="JD119" s="9" t="s">
        <v>479</v>
      </c>
      <c r="JE119" s="644"/>
      <c r="JF119" s="644"/>
      <c r="JG119" s="644"/>
      <c r="JH119" s="9"/>
      <c r="JI119" s="644"/>
      <c r="JJ119" s="644"/>
      <c r="JK119" s="644"/>
      <c r="JL119" s="644"/>
      <c r="JM119" s="644"/>
      <c r="JN119" s="9" t="s">
        <v>504</v>
      </c>
      <c r="JO119" s="644"/>
      <c r="JP119" s="644"/>
      <c r="JQ119" s="644"/>
      <c r="JR119" s="20" t="s">
        <v>504</v>
      </c>
      <c r="JS119" s="644"/>
      <c r="JT119" s="9" t="s">
        <v>504</v>
      </c>
      <c r="JU119" s="644"/>
      <c r="JV119" s="9"/>
      <c r="JW119" s="644"/>
      <c r="JX119" s="9" t="s">
        <v>504</v>
      </c>
      <c r="JY119" s="644"/>
    </row>
    <row r="120" spans="1:285" ht="191.25" x14ac:dyDescent="0.2">
      <c r="A120" s="1565"/>
      <c r="B120" s="1567"/>
      <c r="C120" s="1550"/>
      <c r="D120" s="1552"/>
      <c r="E120" s="755" t="s">
        <v>172</v>
      </c>
      <c r="F120" s="9"/>
      <c r="G120" s="738"/>
      <c r="H120" s="9" t="s">
        <v>465</v>
      </c>
      <c r="I120" s="644"/>
      <c r="J120" s="9" t="s">
        <v>465</v>
      </c>
      <c r="K120" s="644"/>
      <c r="L120" s="9" t="s">
        <v>465</v>
      </c>
      <c r="M120" s="644"/>
      <c r="N120" s="757" t="s">
        <v>465</v>
      </c>
      <c r="O120" s="644"/>
      <c r="P120" s="84" t="s">
        <v>465</v>
      </c>
      <c r="Q120" s="644"/>
      <c r="R120" s="9"/>
      <c r="S120" s="644"/>
      <c r="T120" s="644"/>
      <c r="U120" s="644"/>
      <c r="V120" s="644"/>
      <c r="W120" s="644"/>
      <c r="X120" s="644"/>
      <c r="Y120" s="644"/>
      <c r="Z120" s="9" t="s">
        <v>465</v>
      </c>
      <c r="AA120" s="644"/>
      <c r="AB120" s="5" t="s">
        <v>465</v>
      </c>
      <c r="AC120" s="644"/>
      <c r="AD120" s="5" t="s">
        <v>465</v>
      </c>
      <c r="AE120" s="644"/>
      <c r="AF120" s="644"/>
      <c r="AG120" s="644"/>
      <c r="AH120" s="644"/>
      <c r="AI120" s="644"/>
      <c r="AJ120" s="84"/>
      <c r="AK120" s="644"/>
      <c r="AL120" s="9"/>
      <c r="AM120" s="644"/>
      <c r="AN120" s="9"/>
      <c r="AO120" s="644"/>
      <c r="AP120" s="9"/>
      <c r="AQ120" s="644"/>
      <c r="AR120" s="9"/>
      <c r="AS120" s="644"/>
      <c r="AT120" s="9"/>
      <c r="AU120" s="644"/>
      <c r="AV120" s="757"/>
      <c r="AW120" s="644"/>
      <c r="AX120" s="9"/>
      <c r="AY120" s="644"/>
      <c r="AZ120" s="9"/>
      <c r="BA120" s="644"/>
      <c r="BB120" s="644"/>
      <c r="BC120" s="644"/>
      <c r="BD120" s="5"/>
      <c r="BE120" s="644"/>
      <c r="BF120" s="9"/>
      <c r="BG120" s="644"/>
      <c r="BH120" s="644"/>
      <c r="BI120" s="644"/>
      <c r="BJ120" s="9"/>
      <c r="BK120" s="644"/>
      <c r="BL120" s="9"/>
      <c r="BM120" s="644"/>
      <c r="BN120" s="9"/>
      <c r="BO120" s="644"/>
      <c r="BP120" s="9"/>
      <c r="BQ120" s="644"/>
      <c r="BR120" s="9"/>
      <c r="BS120" s="644"/>
      <c r="BT120" s="9"/>
      <c r="BU120" s="644"/>
      <c r="BV120" s="9"/>
      <c r="BW120" s="644"/>
      <c r="BX120" s="632"/>
      <c r="BY120" s="644"/>
      <c r="BZ120" s="632"/>
      <c r="CA120" s="644"/>
      <c r="CB120" s="9"/>
      <c r="CC120" s="644"/>
      <c r="CD120" s="644"/>
      <c r="CE120" s="644"/>
      <c r="CF120" s="644"/>
      <c r="CG120" s="644"/>
      <c r="CH120" s="632" t="s">
        <v>465</v>
      </c>
      <c r="CI120" s="9"/>
      <c r="CJ120" s="9" t="s">
        <v>465</v>
      </c>
      <c r="CK120" s="9"/>
      <c r="CL120" s="9" t="s">
        <v>504</v>
      </c>
      <c r="CM120" s="644"/>
      <c r="CN120" s="5" t="s">
        <v>2414</v>
      </c>
      <c r="CO120" s="644"/>
      <c r="CP120" s="5"/>
      <c r="CQ120" s="644"/>
      <c r="CR120" s="9"/>
      <c r="CS120" s="644"/>
      <c r="CT120" s="9"/>
      <c r="CU120" s="644"/>
      <c r="CV120" s="9" t="s">
        <v>465</v>
      </c>
      <c r="CW120" s="644"/>
      <c r="CX120" s="9" t="s">
        <v>465</v>
      </c>
      <c r="CY120" s="644"/>
      <c r="CZ120" s="9" t="s">
        <v>465</v>
      </c>
      <c r="DA120" s="644"/>
      <c r="DB120" s="9" t="s">
        <v>465</v>
      </c>
      <c r="DC120" s="644"/>
      <c r="DD120" s="5" t="s">
        <v>465</v>
      </c>
      <c r="DE120" s="644"/>
      <c r="DF120" s="644"/>
      <c r="DG120" s="644"/>
      <c r="DH120" s="9"/>
      <c r="DI120" s="644"/>
      <c r="DJ120" s="758"/>
      <c r="DK120" s="644"/>
      <c r="DL120" s="644"/>
      <c r="DM120" s="644"/>
      <c r="DN120" s="9"/>
      <c r="DO120" s="644"/>
      <c r="DP120" s="644"/>
      <c r="DQ120" s="644"/>
      <c r="DR120" s="644"/>
      <c r="DS120" s="644"/>
      <c r="DT120" s="644"/>
      <c r="DU120" s="644"/>
      <c r="DV120" s="9" t="s">
        <v>465</v>
      </c>
      <c r="DW120" s="644"/>
      <c r="DX120" s="9" t="s">
        <v>465</v>
      </c>
      <c r="DY120" s="644"/>
      <c r="DZ120" s="5" t="s">
        <v>465</v>
      </c>
      <c r="EA120" s="644"/>
      <c r="EB120" s="644"/>
      <c r="EC120" s="644"/>
      <c r="ED120" s="644"/>
      <c r="EE120" s="644"/>
      <c r="EF120" s="9" t="s">
        <v>504</v>
      </c>
      <c r="EG120" s="644"/>
      <c r="EH120" s="759" t="s">
        <v>504</v>
      </c>
      <c r="EI120" s="644"/>
      <c r="EJ120" s="644"/>
      <c r="EK120" s="644"/>
      <c r="EL120" s="644"/>
      <c r="EM120" s="644"/>
      <c r="EN120" s="9"/>
      <c r="EO120" s="644"/>
      <c r="EP120" s="9" t="s">
        <v>504</v>
      </c>
      <c r="EQ120" s="644"/>
      <c r="ER120" s="644"/>
      <c r="ES120" s="644"/>
      <c r="ET120" s="9" t="s">
        <v>465</v>
      </c>
      <c r="EU120" s="644"/>
      <c r="EV120" s="9" t="s">
        <v>465</v>
      </c>
      <c r="EW120" s="644"/>
      <c r="EX120" s="9"/>
      <c r="EY120" s="644"/>
      <c r="EZ120" s="9"/>
      <c r="FA120" s="644"/>
      <c r="FB120" s="9"/>
      <c r="FC120" s="644"/>
      <c r="FD120" s="9" t="s">
        <v>465</v>
      </c>
      <c r="FE120" s="644"/>
      <c r="FF120" s="9" t="s">
        <v>465</v>
      </c>
      <c r="FG120" s="644"/>
      <c r="FH120" s="9"/>
      <c r="FI120" s="644"/>
      <c r="FJ120" s="9"/>
      <c r="FK120" s="644"/>
      <c r="FL120" s="811" t="s">
        <v>504</v>
      </c>
      <c r="FM120" s="644"/>
      <c r="FN120" s="9"/>
      <c r="FO120" s="644"/>
      <c r="FP120" s="9"/>
      <c r="FQ120" s="644"/>
      <c r="FR120" s="644"/>
      <c r="FS120" s="644"/>
      <c r="FT120" s="644"/>
      <c r="FU120" s="644"/>
      <c r="FV120" s="644"/>
      <c r="FW120" s="644"/>
      <c r="FX120" s="5" t="s">
        <v>465</v>
      </c>
      <c r="FY120" s="644"/>
      <c r="FZ120" s="644"/>
      <c r="GA120" s="644"/>
      <c r="GB120" s="9"/>
      <c r="GC120" s="644"/>
      <c r="GD120" s="13" t="s">
        <v>2499</v>
      </c>
      <c r="GE120" s="644"/>
      <c r="GF120" s="5" t="s">
        <v>504</v>
      </c>
      <c r="GG120" s="644"/>
      <c r="GH120" s="9" t="s">
        <v>2008</v>
      </c>
      <c r="GI120" s="644"/>
      <c r="GJ120" s="760" t="s">
        <v>465</v>
      </c>
      <c r="GK120" s="644"/>
      <c r="GL120" s="9"/>
      <c r="GM120" s="644"/>
      <c r="GN120" s="9"/>
      <c r="GO120" s="644"/>
      <c r="GP120" s="9"/>
      <c r="GQ120" s="644"/>
      <c r="GR120" s="9"/>
      <c r="GS120" s="644"/>
      <c r="GT120" s="9"/>
      <c r="GU120" s="644"/>
      <c r="GV120" s="9"/>
      <c r="GW120" s="644"/>
      <c r="GX120" s="9"/>
      <c r="GY120" s="644"/>
      <c r="GZ120" s="9"/>
      <c r="HA120" s="644"/>
      <c r="HB120" s="9"/>
      <c r="HC120" s="644"/>
      <c r="HD120" s="9"/>
      <c r="HE120" s="644"/>
      <c r="HF120" s="9"/>
      <c r="HG120" s="644"/>
      <c r="HH120" s="9" t="s">
        <v>465</v>
      </c>
      <c r="HI120" s="644"/>
      <c r="HJ120" s="644"/>
      <c r="HK120" s="644"/>
      <c r="HL120" s="9"/>
      <c r="HM120" s="644"/>
      <c r="HN120" s="5" t="s">
        <v>465</v>
      </c>
      <c r="HO120" s="644"/>
      <c r="HP120" s="9"/>
      <c r="HQ120" s="644"/>
      <c r="HR120" s="9"/>
      <c r="HS120" s="644"/>
      <c r="HT120" s="656" t="s">
        <v>702</v>
      </c>
      <c r="HU120" s="644"/>
      <c r="HV120" s="9"/>
      <c r="HW120" s="644"/>
      <c r="HX120" s="9"/>
      <c r="HY120" s="644"/>
      <c r="HZ120" s="9"/>
      <c r="IA120" s="644"/>
      <c r="IB120" s="644"/>
      <c r="IC120" s="644"/>
      <c r="ID120" s="9"/>
      <c r="IE120" s="644"/>
      <c r="IF120" s="5"/>
      <c r="IG120" s="738"/>
      <c r="IH120" s="9"/>
      <c r="II120" s="644"/>
      <c r="IJ120" s="644"/>
      <c r="IK120" s="644"/>
      <c r="IL120" s="633" t="s">
        <v>465</v>
      </c>
      <c r="IM120" s="644"/>
      <c r="IN120" s="634" t="s">
        <v>465</v>
      </c>
      <c r="IO120" s="644"/>
      <c r="IP120" s="9"/>
      <c r="IQ120" s="644"/>
      <c r="IR120" s="9"/>
      <c r="IS120" s="644"/>
      <c r="IT120" s="9" t="s">
        <v>701</v>
      </c>
      <c r="IU120" s="644"/>
      <c r="IV120" s="13" t="s">
        <v>504</v>
      </c>
      <c r="IW120" s="644"/>
      <c r="IX120" s="710" t="s">
        <v>1104</v>
      </c>
      <c r="IY120" s="644"/>
      <c r="IZ120" s="9" t="s">
        <v>504</v>
      </c>
      <c r="JA120" s="644"/>
      <c r="JB120" s="9"/>
      <c r="JC120" s="644"/>
      <c r="JD120" s="9" t="s">
        <v>465</v>
      </c>
      <c r="JE120" s="644"/>
      <c r="JF120" s="644"/>
      <c r="JG120" s="644"/>
      <c r="JH120" s="9"/>
      <c r="JI120" s="644"/>
      <c r="JJ120" s="644"/>
      <c r="JK120" s="644"/>
      <c r="JL120" s="644"/>
      <c r="JM120" s="644"/>
      <c r="JN120" s="9" t="s">
        <v>504</v>
      </c>
      <c r="JO120" s="644"/>
      <c r="JP120" s="644"/>
      <c r="JQ120" s="644"/>
      <c r="JR120" s="20"/>
      <c r="JS120" s="644"/>
      <c r="JT120" s="9" t="s">
        <v>465</v>
      </c>
      <c r="JU120" s="644"/>
      <c r="JV120" s="9"/>
      <c r="JW120" s="644"/>
      <c r="JX120" s="9" t="s">
        <v>702</v>
      </c>
      <c r="JY120" s="644"/>
    </row>
    <row r="121" spans="1:285" ht="64.5" thickBot="1" x14ac:dyDescent="0.25">
      <c r="A121" s="1565"/>
      <c r="B121" s="1567"/>
      <c r="C121" s="1551"/>
      <c r="D121" s="1560"/>
      <c r="E121" s="755" t="s">
        <v>174</v>
      </c>
      <c r="F121" s="13"/>
      <c r="G121" s="738"/>
      <c r="H121" s="13" t="s">
        <v>465</v>
      </c>
      <c r="I121" s="644"/>
      <c r="J121" s="13" t="s">
        <v>465</v>
      </c>
      <c r="K121" s="644"/>
      <c r="L121" s="9" t="s">
        <v>465</v>
      </c>
      <c r="M121" s="644"/>
      <c r="N121" s="808" t="s">
        <v>465</v>
      </c>
      <c r="O121" s="644"/>
      <c r="P121" s="709" t="s">
        <v>465</v>
      </c>
      <c r="Q121" s="644"/>
      <c r="R121" s="13"/>
      <c r="S121" s="644"/>
      <c r="T121" s="644"/>
      <c r="U121" s="644"/>
      <c r="V121" s="644"/>
      <c r="W121" s="644"/>
      <c r="X121" s="644"/>
      <c r="Y121" s="644"/>
      <c r="Z121" s="13" t="s">
        <v>465</v>
      </c>
      <c r="AA121" s="644"/>
      <c r="AB121" s="703" t="s">
        <v>465</v>
      </c>
      <c r="AC121" s="644"/>
      <c r="AD121" s="5" t="s">
        <v>465</v>
      </c>
      <c r="AE121" s="644"/>
      <c r="AF121" s="644"/>
      <c r="AG121" s="644"/>
      <c r="AH121" s="644"/>
      <c r="AI121" s="644"/>
      <c r="AJ121" s="709"/>
      <c r="AK121" s="644"/>
      <c r="AL121" s="13"/>
      <c r="AM121" s="644"/>
      <c r="AN121" s="13"/>
      <c r="AO121" s="644"/>
      <c r="AP121" s="13"/>
      <c r="AQ121" s="644"/>
      <c r="AR121" s="13"/>
      <c r="AS121" s="644"/>
      <c r="AT121" s="13"/>
      <c r="AU121" s="644"/>
      <c r="AV121" s="808"/>
      <c r="AW121" s="644"/>
      <c r="AX121" s="13"/>
      <c r="AY121" s="644"/>
      <c r="AZ121" s="13"/>
      <c r="BA121" s="644"/>
      <c r="BB121" s="644"/>
      <c r="BC121" s="644"/>
      <c r="BD121" s="5"/>
      <c r="BE121" s="644"/>
      <c r="BF121" s="13"/>
      <c r="BG121" s="644"/>
      <c r="BH121" s="644"/>
      <c r="BI121" s="644"/>
      <c r="BJ121" s="13"/>
      <c r="BK121" s="644"/>
      <c r="BL121" s="13"/>
      <c r="BM121" s="644"/>
      <c r="BN121" s="13"/>
      <c r="BO121" s="644"/>
      <c r="BP121" s="13"/>
      <c r="BQ121" s="644"/>
      <c r="BR121" s="13"/>
      <c r="BS121" s="644"/>
      <c r="BT121" s="13"/>
      <c r="BU121" s="644"/>
      <c r="BV121" s="13"/>
      <c r="BW121" s="644"/>
      <c r="BX121" s="710"/>
      <c r="BY121" s="644"/>
      <c r="BZ121" s="710"/>
      <c r="CA121" s="644"/>
      <c r="CB121" s="13"/>
      <c r="CC121" s="644"/>
      <c r="CD121" s="644"/>
      <c r="CE121" s="644"/>
      <c r="CF121" s="644"/>
      <c r="CG121" s="644"/>
      <c r="CH121" s="710" t="s">
        <v>465</v>
      </c>
      <c r="CI121" s="13"/>
      <c r="CJ121" s="13" t="s">
        <v>465</v>
      </c>
      <c r="CK121" s="13"/>
      <c r="CL121" s="13" t="s">
        <v>504</v>
      </c>
      <c r="CM121" s="644"/>
      <c r="CN121" s="703" t="s">
        <v>2415</v>
      </c>
      <c r="CO121" s="644"/>
      <c r="CP121" s="703"/>
      <c r="CQ121" s="644"/>
      <c r="CR121" s="13"/>
      <c r="CS121" s="644"/>
      <c r="CT121" s="13"/>
      <c r="CU121" s="644"/>
      <c r="CV121" s="13" t="s">
        <v>465</v>
      </c>
      <c r="CW121" s="644"/>
      <c r="CX121" s="13" t="s">
        <v>465</v>
      </c>
      <c r="CY121" s="644"/>
      <c r="CZ121" s="13" t="s">
        <v>465</v>
      </c>
      <c r="DA121" s="644"/>
      <c r="DB121" s="13" t="s">
        <v>465</v>
      </c>
      <c r="DC121" s="644"/>
      <c r="DD121" s="703" t="s">
        <v>465</v>
      </c>
      <c r="DE121" s="644"/>
      <c r="DF121" s="644"/>
      <c r="DG121" s="644"/>
      <c r="DH121" s="13"/>
      <c r="DI121" s="644"/>
      <c r="DJ121" s="809"/>
      <c r="DK121" s="644"/>
      <c r="DL121" s="644"/>
      <c r="DM121" s="644"/>
      <c r="DN121" s="13"/>
      <c r="DO121" s="644"/>
      <c r="DP121" s="644"/>
      <c r="DQ121" s="644"/>
      <c r="DR121" s="644"/>
      <c r="DS121" s="644"/>
      <c r="DT121" s="644"/>
      <c r="DU121" s="644"/>
      <c r="DV121" s="13" t="s">
        <v>465</v>
      </c>
      <c r="DW121" s="644"/>
      <c r="DX121" s="13" t="s">
        <v>465</v>
      </c>
      <c r="DY121" s="644"/>
      <c r="DZ121" s="703" t="s">
        <v>465</v>
      </c>
      <c r="EA121" s="644"/>
      <c r="EB121" s="644"/>
      <c r="EC121" s="644"/>
      <c r="ED121" s="644"/>
      <c r="EE121" s="644"/>
      <c r="EF121" s="13" t="s">
        <v>504</v>
      </c>
      <c r="EG121" s="644"/>
      <c r="EH121" s="810" t="s">
        <v>504</v>
      </c>
      <c r="EI121" s="644"/>
      <c r="EJ121" s="644"/>
      <c r="EK121" s="644"/>
      <c r="EL121" s="644"/>
      <c r="EM121" s="644"/>
      <c r="EN121" s="13"/>
      <c r="EO121" s="644"/>
      <c r="EP121" s="13" t="s">
        <v>504</v>
      </c>
      <c r="EQ121" s="644"/>
      <c r="ER121" s="644"/>
      <c r="ES121" s="644"/>
      <c r="ET121" s="13" t="s">
        <v>465</v>
      </c>
      <c r="EU121" s="644"/>
      <c r="EV121" s="13" t="s">
        <v>465</v>
      </c>
      <c r="EW121" s="644"/>
      <c r="EX121" s="13"/>
      <c r="EY121" s="644"/>
      <c r="EZ121" s="13"/>
      <c r="FA121" s="644"/>
      <c r="FB121" s="13"/>
      <c r="FC121" s="644"/>
      <c r="FD121" s="13" t="s">
        <v>465</v>
      </c>
      <c r="FE121" s="644"/>
      <c r="FF121" s="13" t="s">
        <v>465</v>
      </c>
      <c r="FG121" s="644"/>
      <c r="FH121" s="13"/>
      <c r="FI121" s="644"/>
      <c r="FJ121" s="13"/>
      <c r="FK121" s="644"/>
      <c r="FL121" s="811">
        <v>0</v>
      </c>
      <c r="FM121" s="644"/>
      <c r="FN121" s="13"/>
      <c r="FO121" s="644"/>
      <c r="FP121" s="13"/>
      <c r="FQ121" s="644"/>
      <c r="FR121" s="644"/>
      <c r="FS121" s="644"/>
      <c r="FT121" s="644"/>
      <c r="FU121" s="644"/>
      <c r="FV121" s="644"/>
      <c r="FW121" s="644"/>
      <c r="FX121" s="703" t="s">
        <v>465</v>
      </c>
      <c r="FY121" s="644"/>
      <c r="FZ121" s="644"/>
      <c r="GA121" s="644"/>
      <c r="GB121" s="13"/>
      <c r="GC121" s="644"/>
      <c r="GD121" s="13" t="s">
        <v>2499</v>
      </c>
      <c r="GE121" s="644"/>
      <c r="GF121" s="17" t="s">
        <v>504</v>
      </c>
      <c r="GG121" s="644"/>
      <c r="GH121" s="13">
        <v>0</v>
      </c>
      <c r="GI121" s="644"/>
      <c r="GJ121" s="811" t="s">
        <v>465</v>
      </c>
      <c r="GK121" s="644"/>
      <c r="GL121" s="13"/>
      <c r="GM121" s="644"/>
      <c r="GN121" s="13"/>
      <c r="GO121" s="644"/>
      <c r="GP121" s="13"/>
      <c r="GQ121" s="644"/>
      <c r="GR121" s="13"/>
      <c r="GS121" s="644"/>
      <c r="GT121" s="13"/>
      <c r="GU121" s="644"/>
      <c r="GV121" s="13"/>
      <c r="GW121" s="644"/>
      <c r="GX121" s="13"/>
      <c r="GY121" s="644"/>
      <c r="GZ121" s="13"/>
      <c r="HA121" s="644"/>
      <c r="HB121" s="13"/>
      <c r="HC121" s="644"/>
      <c r="HD121" s="13"/>
      <c r="HE121" s="644"/>
      <c r="HF121" s="13"/>
      <c r="HG121" s="644"/>
      <c r="HH121" s="13" t="s">
        <v>465</v>
      </c>
      <c r="HI121" s="644"/>
      <c r="HJ121" s="644"/>
      <c r="HK121" s="644"/>
      <c r="HL121" s="13"/>
      <c r="HM121" s="644"/>
      <c r="HN121" s="703" t="s">
        <v>465</v>
      </c>
      <c r="HO121" s="644"/>
      <c r="HP121" s="13"/>
      <c r="HQ121" s="644"/>
      <c r="HR121" s="13"/>
      <c r="HS121" s="644"/>
      <c r="HT121" s="734" t="s">
        <v>702</v>
      </c>
      <c r="HU121" s="644"/>
      <c r="HV121" s="13"/>
      <c r="HW121" s="644"/>
      <c r="HX121" s="13"/>
      <c r="HY121" s="644"/>
      <c r="HZ121" s="13"/>
      <c r="IA121" s="644"/>
      <c r="IB121" s="644"/>
      <c r="IC121" s="644"/>
      <c r="ID121" s="13"/>
      <c r="IE121" s="644"/>
      <c r="IF121" s="703"/>
      <c r="IG121" s="738"/>
      <c r="IH121" s="13"/>
      <c r="II121" s="644"/>
      <c r="IJ121" s="644"/>
      <c r="IK121" s="644"/>
      <c r="IL121" s="711" t="s">
        <v>465</v>
      </c>
      <c r="IM121" s="644"/>
      <c r="IN121" s="712" t="s">
        <v>465</v>
      </c>
      <c r="IO121" s="644"/>
      <c r="IP121" s="13"/>
      <c r="IQ121" s="644"/>
      <c r="IR121" s="13"/>
      <c r="IS121" s="644"/>
      <c r="IT121" s="13" t="s">
        <v>701</v>
      </c>
      <c r="IU121" s="644"/>
      <c r="IV121" s="13" t="s">
        <v>504</v>
      </c>
      <c r="IW121" s="644"/>
      <c r="IX121" s="710" t="s">
        <v>1104</v>
      </c>
      <c r="IY121" s="644"/>
      <c r="IZ121" s="13" t="s">
        <v>504</v>
      </c>
      <c r="JA121" s="644"/>
      <c r="JB121" s="13"/>
      <c r="JC121" s="644"/>
      <c r="JD121" s="13" t="s">
        <v>465</v>
      </c>
      <c r="JE121" s="644"/>
      <c r="JF121" s="644"/>
      <c r="JG121" s="644"/>
      <c r="JH121" s="13"/>
      <c r="JI121" s="644"/>
      <c r="JJ121" s="644"/>
      <c r="JK121" s="644"/>
      <c r="JL121" s="644"/>
      <c r="JM121" s="644"/>
      <c r="JN121" s="13">
        <v>0</v>
      </c>
      <c r="JO121" s="644"/>
      <c r="JP121" s="644"/>
      <c r="JQ121" s="644"/>
      <c r="JR121" s="713"/>
      <c r="JS121" s="644"/>
      <c r="JT121" s="13" t="s">
        <v>465</v>
      </c>
      <c r="JU121" s="644"/>
      <c r="JV121" s="13"/>
      <c r="JW121" s="644"/>
      <c r="JX121" s="13" t="s">
        <v>702</v>
      </c>
      <c r="JY121" s="644"/>
    </row>
    <row r="122" spans="1:285" ht="25.5" x14ac:dyDescent="0.2">
      <c r="A122" s="1565"/>
      <c r="B122" s="1567"/>
      <c r="C122" s="1544" t="s">
        <v>243</v>
      </c>
      <c r="D122" s="1547" t="s">
        <v>239</v>
      </c>
      <c r="E122" s="755" t="s">
        <v>171</v>
      </c>
      <c r="F122" s="9" t="s">
        <v>504</v>
      </c>
      <c r="G122" s="738"/>
      <c r="H122" s="9" t="s">
        <v>504</v>
      </c>
      <c r="I122" s="644"/>
      <c r="J122" s="9" t="s">
        <v>656</v>
      </c>
      <c r="K122" s="644"/>
      <c r="L122" s="9" t="s">
        <v>465</v>
      </c>
      <c r="M122" s="644"/>
      <c r="N122" s="757" t="s">
        <v>479</v>
      </c>
      <c r="O122" s="644"/>
      <c r="P122" s="84" t="s">
        <v>504</v>
      </c>
      <c r="Q122" s="644"/>
      <c r="R122" s="9"/>
      <c r="S122" s="644"/>
      <c r="T122" s="644"/>
      <c r="U122" s="644"/>
      <c r="V122" s="644"/>
      <c r="W122" s="644"/>
      <c r="X122" s="644"/>
      <c r="Y122" s="644"/>
      <c r="Z122" s="9" t="s">
        <v>2307</v>
      </c>
      <c r="AA122" s="644"/>
      <c r="AB122" s="5" t="s">
        <v>2307</v>
      </c>
      <c r="AC122" s="644"/>
      <c r="AD122" s="5" t="s">
        <v>479</v>
      </c>
      <c r="AE122" s="644"/>
      <c r="AF122" s="644"/>
      <c r="AG122" s="644"/>
      <c r="AH122" s="644"/>
      <c r="AI122" s="644"/>
      <c r="AJ122" s="84" t="s">
        <v>504</v>
      </c>
      <c r="AK122" s="644"/>
      <c r="AL122" s="9"/>
      <c r="AM122" s="644"/>
      <c r="AN122" s="9"/>
      <c r="AO122" s="644"/>
      <c r="AP122" s="9" t="s">
        <v>479</v>
      </c>
      <c r="AQ122" s="644"/>
      <c r="AR122" s="9"/>
      <c r="AS122" s="644"/>
      <c r="AT122" s="9"/>
      <c r="AU122" s="644"/>
      <c r="AV122" s="757"/>
      <c r="AW122" s="644"/>
      <c r="AX122" s="9" t="s">
        <v>504</v>
      </c>
      <c r="AY122" s="644"/>
      <c r="AZ122" s="9" t="s">
        <v>504</v>
      </c>
      <c r="BA122" s="644"/>
      <c r="BB122" s="644"/>
      <c r="BC122" s="644"/>
      <c r="BD122" s="5" t="s">
        <v>504</v>
      </c>
      <c r="BE122" s="644"/>
      <c r="BF122" s="9"/>
      <c r="BG122" s="644"/>
      <c r="BH122" s="644"/>
      <c r="BI122" s="644"/>
      <c r="BJ122" s="9" t="s">
        <v>504</v>
      </c>
      <c r="BK122" s="644"/>
      <c r="BL122" s="9" t="s">
        <v>504</v>
      </c>
      <c r="BM122" s="644"/>
      <c r="BN122" s="9" t="s">
        <v>504</v>
      </c>
      <c r="BO122" s="644"/>
      <c r="BP122" s="9"/>
      <c r="BQ122" s="644"/>
      <c r="BR122" s="9" t="s">
        <v>504</v>
      </c>
      <c r="BS122" s="644"/>
      <c r="BT122" s="9"/>
      <c r="BU122" s="644"/>
      <c r="BV122" s="9" t="s">
        <v>504</v>
      </c>
      <c r="BW122" s="644"/>
      <c r="BX122" s="632" t="s">
        <v>504</v>
      </c>
      <c r="BY122" s="644"/>
      <c r="BZ122" s="710" t="s">
        <v>504</v>
      </c>
      <c r="CA122" s="644"/>
      <c r="CB122" s="9" t="s">
        <v>504</v>
      </c>
      <c r="CC122" s="644"/>
      <c r="CD122" s="644"/>
      <c r="CE122" s="644"/>
      <c r="CF122" s="644"/>
      <c r="CG122" s="644"/>
      <c r="CH122" s="632" t="s">
        <v>504</v>
      </c>
      <c r="CI122" s="9"/>
      <c r="CJ122" s="9" t="s">
        <v>504</v>
      </c>
      <c r="CK122" s="9"/>
      <c r="CL122" s="9" t="s">
        <v>504</v>
      </c>
      <c r="CM122" s="644"/>
      <c r="CN122" s="9"/>
      <c r="CO122" s="644"/>
      <c r="CP122" s="5" t="s">
        <v>500</v>
      </c>
      <c r="CQ122" s="644"/>
      <c r="CR122" s="9" t="s">
        <v>504</v>
      </c>
      <c r="CS122" s="644"/>
      <c r="CT122" s="9" t="s">
        <v>500</v>
      </c>
      <c r="CU122" s="644"/>
      <c r="CV122" s="9" t="s">
        <v>504</v>
      </c>
      <c r="CW122" s="644"/>
      <c r="CX122" s="9" t="s">
        <v>504</v>
      </c>
      <c r="CY122" s="644"/>
      <c r="CZ122" s="9" t="s">
        <v>504</v>
      </c>
      <c r="DA122" s="644"/>
      <c r="DB122" s="9" t="s">
        <v>504</v>
      </c>
      <c r="DC122" s="644"/>
      <c r="DD122" s="5" t="s">
        <v>504</v>
      </c>
      <c r="DE122" s="644"/>
      <c r="DF122" s="644"/>
      <c r="DG122" s="644"/>
      <c r="DH122" s="9"/>
      <c r="DI122" s="644"/>
      <c r="DJ122" s="758" t="s">
        <v>504</v>
      </c>
      <c r="DK122" s="644"/>
      <c r="DL122" s="644"/>
      <c r="DM122" s="644"/>
      <c r="DN122" s="9" t="s">
        <v>504</v>
      </c>
      <c r="DO122" s="644"/>
      <c r="DP122" s="644"/>
      <c r="DQ122" s="644"/>
      <c r="DR122" s="644"/>
      <c r="DS122" s="644"/>
      <c r="DT122" s="644"/>
      <c r="DU122" s="644"/>
      <c r="DV122" s="9" t="s">
        <v>504</v>
      </c>
      <c r="DW122" s="644"/>
      <c r="DX122" s="9" t="s">
        <v>504</v>
      </c>
      <c r="DY122" s="644"/>
      <c r="DZ122" s="5" t="s">
        <v>504</v>
      </c>
      <c r="EA122" s="644"/>
      <c r="EB122" s="644"/>
      <c r="EC122" s="644"/>
      <c r="ED122" s="644"/>
      <c r="EE122" s="644"/>
      <c r="EF122" s="9" t="s">
        <v>504</v>
      </c>
      <c r="EG122" s="644"/>
      <c r="EH122" s="759" t="s">
        <v>806</v>
      </c>
      <c r="EI122" s="644"/>
      <c r="EJ122" s="644"/>
      <c r="EK122" s="644"/>
      <c r="EL122" s="644"/>
      <c r="EM122" s="644"/>
      <c r="EN122" s="9" t="s">
        <v>504</v>
      </c>
      <c r="EO122" s="644"/>
      <c r="EP122" s="9" t="s">
        <v>504</v>
      </c>
      <c r="EQ122" s="644"/>
      <c r="ER122" s="644"/>
      <c r="ES122" s="644"/>
      <c r="ET122" s="9" t="s">
        <v>504</v>
      </c>
      <c r="EU122" s="644"/>
      <c r="EV122" s="9" t="s">
        <v>504</v>
      </c>
      <c r="EW122" s="644"/>
      <c r="EX122" s="9" t="s">
        <v>504</v>
      </c>
      <c r="EY122" s="644"/>
      <c r="EZ122" s="9" t="s">
        <v>504</v>
      </c>
      <c r="FA122" s="644"/>
      <c r="FB122" s="9" t="s">
        <v>504</v>
      </c>
      <c r="FC122" s="644"/>
      <c r="FD122" s="9" t="s">
        <v>500</v>
      </c>
      <c r="FE122" s="644"/>
      <c r="FF122" s="9" t="s">
        <v>504</v>
      </c>
      <c r="FG122" s="644"/>
      <c r="FH122" s="9" t="s">
        <v>504</v>
      </c>
      <c r="FI122" s="644"/>
      <c r="FJ122" s="9"/>
      <c r="FK122" s="644"/>
      <c r="FL122" s="811" t="s">
        <v>504</v>
      </c>
      <c r="FM122" s="644"/>
      <c r="FN122" s="9" t="s">
        <v>504</v>
      </c>
      <c r="FO122" s="644"/>
      <c r="FP122" s="9" t="s">
        <v>504</v>
      </c>
      <c r="FQ122" s="644"/>
      <c r="FR122" s="644"/>
      <c r="FS122" s="644"/>
      <c r="FT122" s="644"/>
      <c r="FU122" s="644"/>
      <c r="FV122" s="644"/>
      <c r="FW122" s="644"/>
      <c r="FX122" s="5" t="s">
        <v>504</v>
      </c>
      <c r="FY122" s="644"/>
      <c r="FZ122" s="644"/>
      <c r="GA122" s="644"/>
      <c r="GB122" s="9" t="s">
        <v>504</v>
      </c>
      <c r="GC122" s="644"/>
      <c r="GD122" s="13" t="s">
        <v>2499</v>
      </c>
      <c r="GE122" s="644"/>
      <c r="GF122" s="5" t="s">
        <v>504</v>
      </c>
      <c r="GG122" s="644"/>
      <c r="GH122" s="9" t="s">
        <v>504</v>
      </c>
      <c r="GI122" s="644"/>
      <c r="GJ122" s="780" t="s">
        <v>479</v>
      </c>
      <c r="GK122" s="644"/>
      <c r="GL122" s="9" t="s">
        <v>504</v>
      </c>
      <c r="GM122" s="644"/>
      <c r="GN122" s="9" t="s">
        <v>500</v>
      </c>
      <c r="GO122" s="644"/>
      <c r="GP122" s="9" t="s">
        <v>504</v>
      </c>
      <c r="GQ122" s="644"/>
      <c r="GR122" s="9"/>
      <c r="GS122" s="644"/>
      <c r="GT122" s="9" t="s">
        <v>504</v>
      </c>
      <c r="GU122" s="644"/>
      <c r="GV122" s="9" t="s">
        <v>504</v>
      </c>
      <c r="GW122" s="644"/>
      <c r="GX122" s="9" t="s">
        <v>504</v>
      </c>
      <c r="GY122" s="644"/>
      <c r="GZ122" s="9" t="s">
        <v>504</v>
      </c>
      <c r="HA122" s="644"/>
      <c r="HB122" s="9" t="s">
        <v>504</v>
      </c>
      <c r="HC122" s="644"/>
      <c r="HD122" s="9"/>
      <c r="HE122" s="644"/>
      <c r="HF122" s="9"/>
      <c r="HG122" s="644"/>
      <c r="HH122" s="9" t="s">
        <v>504</v>
      </c>
      <c r="HI122" s="644"/>
      <c r="HJ122" s="644"/>
      <c r="HK122" s="644"/>
      <c r="HL122" s="9" t="s">
        <v>504</v>
      </c>
      <c r="HM122" s="644"/>
      <c r="HN122" s="5" t="s">
        <v>504</v>
      </c>
      <c r="HO122" s="644"/>
      <c r="HP122" s="9" t="s">
        <v>504</v>
      </c>
      <c r="HQ122" s="644"/>
      <c r="HR122" s="780" t="s">
        <v>504</v>
      </c>
      <c r="HS122" s="644"/>
      <c r="HT122" s="633" t="s">
        <v>504</v>
      </c>
      <c r="HU122" s="644"/>
      <c r="HV122" s="9" t="s">
        <v>504</v>
      </c>
      <c r="HW122" s="644"/>
      <c r="HX122" s="9" t="s">
        <v>504</v>
      </c>
      <c r="HY122" s="644"/>
      <c r="HZ122" s="9" t="s">
        <v>504</v>
      </c>
      <c r="IA122" s="644"/>
      <c r="IB122" s="644"/>
      <c r="IC122" s="644"/>
      <c r="ID122" s="9" t="s">
        <v>504</v>
      </c>
      <c r="IE122" s="644"/>
      <c r="IF122" s="9" t="s">
        <v>504</v>
      </c>
      <c r="IG122" s="738"/>
      <c r="IH122" s="9" t="s">
        <v>504</v>
      </c>
      <c r="II122" s="644"/>
      <c r="IJ122" s="644"/>
      <c r="IK122" s="644"/>
      <c r="IL122" s="633" t="s">
        <v>504</v>
      </c>
      <c r="IM122" s="644"/>
      <c r="IN122" s="634" t="s">
        <v>504</v>
      </c>
      <c r="IO122" s="644"/>
      <c r="IP122" s="9" t="s">
        <v>504</v>
      </c>
      <c r="IQ122" s="644"/>
      <c r="IR122" s="9" t="s">
        <v>504</v>
      </c>
      <c r="IS122" s="644"/>
      <c r="IT122" s="9" t="s">
        <v>504</v>
      </c>
      <c r="IU122" s="644"/>
      <c r="IV122" s="13" t="s">
        <v>504</v>
      </c>
      <c r="IW122" s="644"/>
      <c r="IX122" s="632" t="s">
        <v>504</v>
      </c>
      <c r="IY122" s="644"/>
      <c r="IZ122" s="9" t="s">
        <v>504</v>
      </c>
      <c r="JA122" s="644"/>
      <c r="JB122" s="9"/>
      <c r="JC122" s="644"/>
      <c r="JD122" s="9" t="s">
        <v>479</v>
      </c>
      <c r="JE122" s="644"/>
      <c r="JF122" s="644"/>
      <c r="JG122" s="644"/>
      <c r="JH122" s="9"/>
      <c r="JI122" s="644"/>
      <c r="JJ122" s="644"/>
      <c r="JK122" s="644"/>
      <c r="JL122" s="644"/>
      <c r="JM122" s="644"/>
      <c r="JN122" s="9" t="s">
        <v>504</v>
      </c>
      <c r="JO122" s="644"/>
      <c r="JP122" s="644"/>
      <c r="JQ122" s="644"/>
      <c r="JR122" s="20" t="s">
        <v>504</v>
      </c>
      <c r="JS122" s="644"/>
      <c r="JT122" s="9" t="s">
        <v>504</v>
      </c>
      <c r="JU122" s="644"/>
      <c r="JV122" s="9"/>
      <c r="JW122" s="644"/>
      <c r="JX122" s="9" t="s">
        <v>504</v>
      </c>
      <c r="JY122" s="644"/>
    </row>
    <row r="123" spans="1:285" ht="344.25" x14ac:dyDescent="0.2">
      <c r="A123" s="1565"/>
      <c r="B123" s="1567"/>
      <c r="C123" s="1550"/>
      <c r="D123" s="1552"/>
      <c r="E123" s="755" t="s">
        <v>172</v>
      </c>
      <c r="F123" s="9"/>
      <c r="G123" s="738"/>
      <c r="H123" s="9" t="s">
        <v>465</v>
      </c>
      <c r="I123" s="644"/>
      <c r="J123" s="5" t="s">
        <v>2271</v>
      </c>
      <c r="K123" s="644"/>
      <c r="L123" s="9" t="s">
        <v>465</v>
      </c>
      <c r="M123" s="644"/>
      <c r="N123" s="757" t="s">
        <v>465</v>
      </c>
      <c r="O123" s="644"/>
      <c r="P123" s="84" t="s">
        <v>465</v>
      </c>
      <c r="Q123" s="644"/>
      <c r="R123" s="9"/>
      <c r="S123" s="644"/>
      <c r="T123" s="644"/>
      <c r="U123" s="644"/>
      <c r="V123" s="644"/>
      <c r="W123" s="644"/>
      <c r="X123" s="644"/>
      <c r="Y123" s="644"/>
      <c r="Z123" s="9" t="s">
        <v>465</v>
      </c>
      <c r="AA123" s="644"/>
      <c r="AB123" s="5" t="s">
        <v>465</v>
      </c>
      <c r="AC123" s="644"/>
      <c r="AD123" s="5" t="s">
        <v>465</v>
      </c>
      <c r="AE123" s="644"/>
      <c r="AF123" s="644"/>
      <c r="AG123" s="644"/>
      <c r="AH123" s="644"/>
      <c r="AI123" s="644"/>
      <c r="AJ123" s="84"/>
      <c r="AK123" s="644"/>
      <c r="AL123" s="9"/>
      <c r="AM123" s="644"/>
      <c r="AN123" s="9"/>
      <c r="AO123" s="644"/>
      <c r="AP123" s="9"/>
      <c r="AQ123" s="644"/>
      <c r="AR123" s="9"/>
      <c r="AS123" s="644"/>
      <c r="AT123" s="9"/>
      <c r="AU123" s="644"/>
      <c r="AV123" s="757"/>
      <c r="AW123" s="644"/>
      <c r="AX123" s="9"/>
      <c r="AY123" s="644"/>
      <c r="AZ123" s="9"/>
      <c r="BA123" s="644"/>
      <c r="BB123" s="644"/>
      <c r="BC123" s="644"/>
      <c r="BD123" s="5" t="s">
        <v>465</v>
      </c>
      <c r="BE123" s="644"/>
      <c r="BF123" s="9"/>
      <c r="BG123" s="644"/>
      <c r="BH123" s="644"/>
      <c r="BI123" s="644"/>
      <c r="BJ123" s="9"/>
      <c r="BK123" s="644"/>
      <c r="BL123" s="9"/>
      <c r="BM123" s="644"/>
      <c r="BN123" s="9"/>
      <c r="BO123" s="644"/>
      <c r="BP123" s="9"/>
      <c r="BQ123" s="644"/>
      <c r="BR123" s="9"/>
      <c r="BS123" s="644"/>
      <c r="BT123" s="9"/>
      <c r="BU123" s="644"/>
      <c r="BV123" s="9"/>
      <c r="BW123" s="644"/>
      <c r="BX123" s="632"/>
      <c r="BY123" s="644"/>
      <c r="BZ123" s="632"/>
      <c r="CA123" s="644"/>
      <c r="CB123" s="9"/>
      <c r="CC123" s="644"/>
      <c r="CD123" s="644"/>
      <c r="CE123" s="644"/>
      <c r="CF123" s="644"/>
      <c r="CG123" s="644"/>
      <c r="CH123" s="632" t="s">
        <v>465</v>
      </c>
      <c r="CI123" s="9"/>
      <c r="CJ123" s="9" t="s">
        <v>465</v>
      </c>
      <c r="CK123" s="9"/>
      <c r="CL123" s="9" t="s">
        <v>504</v>
      </c>
      <c r="CM123" s="644"/>
      <c r="CN123" s="9"/>
      <c r="CO123" s="644"/>
      <c r="CP123" s="5" t="s">
        <v>2441</v>
      </c>
      <c r="CQ123" s="644"/>
      <c r="CR123" s="9"/>
      <c r="CS123" s="644"/>
      <c r="CT123" s="9" t="s">
        <v>2229</v>
      </c>
      <c r="CU123" s="644"/>
      <c r="CV123" s="9" t="s">
        <v>465</v>
      </c>
      <c r="CW123" s="644"/>
      <c r="CX123" s="9" t="s">
        <v>465</v>
      </c>
      <c r="CY123" s="644"/>
      <c r="CZ123" s="9" t="s">
        <v>465</v>
      </c>
      <c r="DA123" s="644"/>
      <c r="DB123" s="9" t="s">
        <v>465</v>
      </c>
      <c r="DC123" s="644"/>
      <c r="DD123" s="5" t="s">
        <v>465</v>
      </c>
      <c r="DE123" s="644"/>
      <c r="DF123" s="644"/>
      <c r="DG123" s="644"/>
      <c r="DH123" s="9"/>
      <c r="DI123" s="644"/>
      <c r="DJ123" s="758"/>
      <c r="DK123" s="644"/>
      <c r="DL123" s="644"/>
      <c r="DM123" s="644"/>
      <c r="DN123" s="9"/>
      <c r="DO123" s="644"/>
      <c r="DP123" s="644"/>
      <c r="DQ123" s="644"/>
      <c r="DR123" s="644"/>
      <c r="DS123" s="644"/>
      <c r="DT123" s="644"/>
      <c r="DU123" s="644"/>
      <c r="DV123" s="9" t="s">
        <v>465</v>
      </c>
      <c r="DW123" s="644"/>
      <c r="DX123" s="9" t="s">
        <v>465</v>
      </c>
      <c r="DY123" s="644"/>
      <c r="DZ123" s="5" t="s">
        <v>465</v>
      </c>
      <c r="EA123" s="644"/>
      <c r="EB123" s="644"/>
      <c r="EC123" s="644"/>
      <c r="ED123" s="644"/>
      <c r="EE123" s="644"/>
      <c r="EF123" s="9" t="s">
        <v>504</v>
      </c>
      <c r="EG123" s="644"/>
      <c r="EH123" s="759" t="s">
        <v>806</v>
      </c>
      <c r="EI123" s="644"/>
      <c r="EJ123" s="644"/>
      <c r="EK123" s="644"/>
      <c r="EL123" s="644"/>
      <c r="EM123" s="644"/>
      <c r="EN123" s="9"/>
      <c r="EO123" s="644"/>
      <c r="EP123" s="9" t="s">
        <v>504</v>
      </c>
      <c r="EQ123" s="644"/>
      <c r="ER123" s="644"/>
      <c r="ES123" s="644"/>
      <c r="ET123" s="9" t="s">
        <v>465</v>
      </c>
      <c r="EU123" s="644"/>
      <c r="EV123" s="9" t="s">
        <v>465</v>
      </c>
      <c r="EW123" s="644"/>
      <c r="EX123" s="9"/>
      <c r="EY123" s="644"/>
      <c r="EZ123" s="9"/>
      <c r="FA123" s="644"/>
      <c r="FB123" s="9"/>
      <c r="FC123" s="644"/>
      <c r="FD123" s="9" t="s">
        <v>1529</v>
      </c>
      <c r="FE123" s="644"/>
      <c r="FF123" s="9" t="s">
        <v>465</v>
      </c>
      <c r="FG123" s="644"/>
      <c r="FH123" s="9"/>
      <c r="FI123" s="644"/>
      <c r="FJ123" s="9"/>
      <c r="FK123" s="644"/>
      <c r="FL123" s="811" t="s">
        <v>504</v>
      </c>
      <c r="FM123" s="644"/>
      <c r="FN123" s="9"/>
      <c r="FO123" s="644"/>
      <c r="FP123" s="9"/>
      <c r="FQ123" s="644"/>
      <c r="FR123" s="644"/>
      <c r="FS123" s="644"/>
      <c r="FT123" s="644"/>
      <c r="FU123" s="644"/>
      <c r="FV123" s="644"/>
      <c r="FW123" s="644"/>
      <c r="FX123" s="5" t="s">
        <v>465</v>
      </c>
      <c r="FY123" s="644"/>
      <c r="FZ123" s="644"/>
      <c r="GA123" s="644"/>
      <c r="GB123" s="9"/>
      <c r="GC123" s="644"/>
      <c r="GD123" s="13" t="s">
        <v>2499</v>
      </c>
      <c r="GE123" s="644"/>
      <c r="GF123" s="5" t="s">
        <v>504</v>
      </c>
      <c r="GG123" s="644"/>
      <c r="GH123" s="9" t="s">
        <v>2008</v>
      </c>
      <c r="GI123" s="644"/>
      <c r="GJ123" s="780" t="s">
        <v>465</v>
      </c>
      <c r="GK123" s="644"/>
      <c r="GL123" s="9"/>
      <c r="GM123" s="644"/>
      <c r="GN123" s="5" t="s">
        <v>1722</v>
      </c>
      <c r="GO123" s="644"/>
      <c r="GP123" s="9"/>
      <c r="GQ123" s="644"/>
      <c r="GR123" s="9"/>
      <c r="GS123" s="644"/>
      <c r="GT123" s="9"/>
      <c r="GU123" s="644"/>
      <c r="GV123" s="9"/>
      <c r="GW123" s="644"/>
      <c r="GX123" s="9"/>
      <c r="GY123" s="644"/>
      <c r="GZ123" s="9"/>
      <c r="HA123" s="644"/>
      <c r="HB123" s="9"/>
      <c r="HC123" s="644"/>
      <c r="HD123" s="9"/>
      <c r="HE123" s="644"/>
      <c r="HF123" s="9"/>
      <c r="HG123" s="644"/>
      <c r="HH123" s="9" t="s">
        <v>465</v>
      </c>
      <c r="HI123" s="644"/>
      <c r="HJ123" s="644"/>
      <c r="HK123" s="644"/>
      <c r="HL123" s="9"/>
      <c r="HM123" s="644"/>
      <c r="HN123" s="5" t="s">
        <v>465</v>
      </c>
      <c r="HO123" s="644"/>
      <c r="HP123" s="9"/>
      <c r="HQ123" s="644"/>
      <c r="HR123" s="9"/>
      <c r="HS123" s="644"/>
      <c r="HT123" s="656" t="s">
        <v>702</v>
      </c>
      <c r="HU123" s="644"/>
      <c r="HV123" s="9"/>
      <c r="HW123" s="644"/>
      <c r="HX123" s="9"/>
      <c r="HY123" s="644"/>
      <c r="HZ123" s="9"/>
      <c r="IA123" s="644"/>
      <c r="IB123" s="644"/>
      <c r="IC123" s="644"/>
      <c r="ID123" s="9"/>
      <c r="IE123" s="644"/>
      <c r="IF123" s="9"/>
      <c r="IG123" s="738"/>
      <c r="IH123" s="9"/>
      <c r="II123" s="644"/>
      <c r="IJ123" s="644"/>
      <c r="IK123" s="644"/>
      <c r="IL123" s="633" t="s">
        <v>465</v>
      </c>
      <c r="IM123" s="644"/>
      <c r="IN123" s="634" t="s">
        <v>465</v>
      </c>
      <c r="IO123" s="644"/>
      <c r="IP123" s="9"/>
      <c r="IQ123" s="644"/>
      <c r="IR123" s="9"/>
      <c r="IS123" s="644"/>
      <c r="IT123" s="9" t="s">
        <v>701</v>
      </c>
      <c r="IU123" s="644"/>
      <c r="IV123" s="13" t="s">
        <v>504</v>
      </c>
      <c r="IW123" s="644"/>
      <c r="IX123" s="710" t="s">
        <v>1104</v>
      </c>
      <c r="IY123" s="644"/>
      <c r="IZ123" s="9" t="s">
        <v>504</v>
      </c>
      <c r="JA123" s="644"/>
      <c r="JB123" s="9"/>
      <c r="JC123" s="644"/>
      <c r="JD123" s="9" t="s">
        <v>465</v>
      </c>
      <c r="JE123" s="644"/>
      <c r="JF123" s="644"/>
      <c r="JG123" s="644"/>
      <c r="JH123" s="9"/>
      <c r="JI123" s="644"/>
      <c r="JJ123" s="644"/>
      <c r="JK123" s="644"/>
      <c r="JL123" s="644"/>
      <c r="JM123" s="644"/>
      <c r="JN123" s="9" t="s">
        <v>504</v>
      </c>
      <c r="JO123" s="644"/>
      <c r="JP123" s="644"/>
      <c r="JQ123" s="644"/>
      <c r="JR123" s="20"/>
      <c r="JS123" s="644"/>
      <c r="JT123" s="9" t="s">
        <v>465</v>
      </c>
      <c r="JU123" s="644"/>
      <c r="JV123" s="9"/>
      <c r="JW123" s="644"/>
      <c r="JX123" s="9" t="s">
        <v>702</v>
      </c>
      <c r="JY123" s="644"/>
    </row>
    <row r="124" spans="1:285" ht="26.25" customHeight="1" thickBot="1" x14ac:dyDescent="0.25">
      <c r="A124" s="1565"/>
      <c r="B124" s="1567"/>
      <c r="C124" s="1551"/>
      <c r="D124" s="1560"/>
      <c r="E124" s="755" t="s">
        <v>174</v>
      </c>
      <c r="F124" s="13"/>
      <c r="G124" s="738"/>
      <c r="H124" s="13" t="s">
        <v>465</v>
      </c>
      <c r="I124" s="644"/>
      <c r="J124" s="13">
        <v>15</v>
      </c>
      <c r="K124" s="644"/>
      <c r="L124" s="9" t="s">
        <v>465</v>
      </c>
      <c r="M124" s="644"/>
      <c r="N124" s="808" t="s">
        <v>465</v>
      </c>
      <c r="O124" s="644"/>
      <c r="P124" s="709" t="s">
        <v>465</v>
      </c>
      <c r="Q124" s="644"/>
      <c r="R124" s="13"/>
      <c r="S124" s="644"/>
      <c r="T124" s="644"/>
      <c r="U124" s="644"/>
      <c r="V124" s="644"/>
      <c r="W124" s="644"/>
      <c r="X124" s="644"/>
      <c r="Y124" s="644"/>
      <c r="Z124" s="13" t="s">
        <v>465</v>
      </c>
      <c r="AA124" s="644"/>
      <c r="AB124" s="703" t="s">
        <v>465</v>
      </c>
      <c r="AC124" s="644"/>
      <c r="AD124" s="5" t="s">
        <v>465</v>
      </c>
      <c r="AE124" s="644"/>
      <c r="AF124" s="644"/>
      <c r="AG124" s="644"/>
      <c r="AH124" s="644"/>
      <c r="AI124" s="644"/>
      <c r="AJ124" s="709"/>
      <c r="AK124" s="644"/>
      <c r="AL124" s="13"/>
      <c r="AM124" s="644"/>
      <c r="AN124" s="13"/>
      <c r="AO124" s="644"/>
      <c r="AP124" s="13"/>
      <c r="AQ124" s="644"/>
      <c r="AR124" s="13"/>
      <c r="AS124" s="644"/>
      <c r="AT124" s="13"/>
      <c r="AU124" s="644"/>
      <c r="AV124" s="808"/>
      <c r="AW124" s="644"/>
      <c r="AX124" s="13"/>
      <c r="AY124" s="644"/>
      <c r="AZ124" s="13"/>
      <c r="BA124" s="644"/>
      <c r="BB124" s="644"/>
      <c r="BC124" s="644"/>
      <c r="BD124" s="5" t="s">
        <v>465</v>
      </c>
      <c r="BE124" s="644"/>
      <c r="BF124" s="13"/>
      <c r="BG124" s="644"/>
      <c r="BH124" s="644"/>
      <c r="BI124" s="644"/>
      <c r="BJ124" s="13"/>
      <c r="BK124" s="644"/>
      <c r="BL124" s="13"/>
      <c r="BM124" s="644"/>
      <c r="BN124" s="13"/>
      <c r="BO124" s="644"/>
      <c r="BP124" s="13"/>
      <c r="BQ124" s="644"/>
      <c r="BR124" s="13"/>
      <c r="BS124" s="644"/>
      <c r="BT124" s="13"/>
      <c r="BU124" s="644"/>
      <c r="BV124" s="13"/>
      <c r="BW124" s="644"/>
      <c r="BX124" s="710"/>
      <c r="BY124" s="644"/>
      <c r="BZ124" s="710"/>
      <c r="CA124" s="644"/>
      <c r="CB124" s="13"/>
      <c r="CC124" s="644"/>
      <c r="CD124" s="644"/>
      <c r="CE124" s="644"/>
      <c r="CF124" s="644"/>
      <c r="CG124" s="644"/>
      <c r="CH124" s="710" t="s">
        <v>465</v>
      </c>
      <c r="CI124" s="13"/>
      <c r="CJ124" s="13" t="s">
        <v>465</v>
      </c>
      <c r="CK124" s="13"/>
      <c r="CL124" s="13" t="s">
        <v>504</v>
      </c>
      <c r="CM124" s="644"/>
      <c r="CN124" s="13"/>
      <c r="CO124" s="644"/>
      <c r="CP124" s="703" t="s">
        <v>2429</v>
      </c>
      <c r="CQ124" s="644"/>
      <c r="CR124" s="13"/>
      <c r="CS124" s="644"/>
      <c r="CT124" s="13">
        <v>40</v>
      </c>
      <c r="CU124" s="644"/>
      <c r="CV124" s="13" t="s">
        <v>465</v>
      </c>
      <c r="CW124" s="644"/>
      <c r="CX124" s="13" t="s">
        <v>465</v>
      </c>
      <c r="CY124" s="644"/>
      <c r="CZ124" s="13" t="s">
        <v>465</v>
      </c>
      <c r="DA124" s="644"/>
      <c r="DB124" s="13" t="s">
        <v>465</v>
      </c>
      <c r="DC124" s="644"/>
      <c r="DD124" s="703" t="s">
        <v>465</v>
      </c>
      <c r="DE124" s="644"/>
      <c r="DF124" s="644"/>
      <c r="DG124" s="644"/>
      <c r="DH124" s="13"/>
      <c r="DI124" s="644"/>
      <c r="DJ124" s="809"/>
      <c r="DK124" s="644"/>
      <c r="DL124" s="644"/>
      <c r="DM124" s="644"/>
      <c r="DN124" s="13"/>
      <c r="DO124" s="644"/>
      <c r="DP124" s="644"/>
      <c r="DQ124" s="644"/>
      <c r="DR124" s="644"/>
      <c r="DS124" s="644"/>
      <c r="DT124" s="644"/>
      <c r="DU124" s="644"/>
      <c r="DV124" s="13" t="s">
        <v>465</v>
      </c>
      <c r="DW124" s="644"/>
      <c r="DX124" s="13" t="s">
        <v>465</v>
      </c>
      <c r="DY124" s="644"/>
      <c r="DZ124" s="703" t="s">
        <v>465</v>
      </c>
      <c r="EA124" s="644"/>
      <c r="EB124" s="644"/>
      <c r="EC124" s="644"/>
      <c r="ED124" s="644"/>
      <c r="EE124" s="644"/>
      <c r="EF124" s="13" t="s">
        <v>504</v>
      </c>
      <c r="EG124" s="644"/>
      <c r="EH124" s="810" t="s">
        <v>806</v>
      </c>
      <c r="EI124" s="644"/>
      <c r="EJ124" s="644"/>
      <c r="EK124" s="644"/>
      <c r="EL124" s="644"/>
      <c r="EM124" s="644"/>
      <c r="EN124" s="13"/>
      <c r="EO124" s="644"/>
      <c r="EP124" s="13" t="s">
        <v>504</v>
      </c>
      <c r="EQ124" s="644"/>
      <c r="ER124" s="644"/>
      <c r="ES124" s="644"/>
      <c r="ET124" s="13" t="s">
        <v>465</v>
      </c>
      <c r="EU124" s="644"/>
      <c r="EV124" s="13" t="s">
        <v>465</v>
      </c>
      <c r="EW124" s="644"/>
      <c r="EX124" s="13"/>
      <c r="EY124" s="644"/>
      <c r="EZ124" s="13"/>
      <c r="FA124" s="644"/>
      <c r="FB124" s="13"/>
      <c r="FC124" s="644"/>
      <c r="FD124" s="13">
        <v>95</v>
      </c>
      <c r="FE124" s="644"/>
      <c r="FF124" s="13" t="s">
        <v>465</v>
      </c>
      <c r="FG124" s="644"/>
      <c r="FH124" s="13"/>
      <c r="FI124" s="644"/>
      <c r="FJ124" s="13"/>
      <c r="FK124" s="644"/>
      <c r="FL124" s="811">
        <v>0</v>
      </c>
      <c r="FM124" s="644"/>
      <c r="FN124" s="13"/>
      <c r="FO124" s="644"/>
      <c r="FP124" s="13"/>
      <c r="FQ124" s="644"/>
      <c r="FR124" s="644"/>
      <c r="FS124" s="644"/>
      <c r="FT124" s="644"/>
      <c r="FU124" s="644"/>
      <c r="FV124" s="644"/>
      <c r="FW124" s="644"/>
      <c r="FX124" s="703" t="s">
        <v>465</v>
      </c>
      <c r="FY124" s="644"/>
      <c r="FZ124" s="644"/>
      <c r="GA124" s="644"/>
      <c r="GB124" s="13"/>
      <c r="GC124" s="644"/>
      <c r="GD124" s="13" t="s">
        <v>2499</v>
      </c>
      <c r="GE124" s="644"/>
      <c r="GF124" s="5" t="s">
        <v>504</v>
      </c>
      <c r="GG124" s="644"/>
      <c r="GH124" s="13">
        <v>0</v>
      </c>
      <c r="GI124" s="644"/>
      <c r="GJ124" s="811" t="s">
        <v>465</v>
      </c>
      <c r="GK124" s="644"/>
      <c r="GL124" s="13"/>
      <c r="GM124" s="644"/>
      <c r="GN124" s="14">
        <f>15*2*6</f>
        <v>180</v>
      </c>
      <c r="GO124" s="644"/>
      <c r="GP124" s="13"/>
      <c r="GQ124" s="644"/>
      <c r="GR124" s="13"/>
      <c r="GS124" s="644"/>
      <c r="GT124" s="13"/>
      <c r="GU124" s="644"/>
      <c r="GV124" s="13"/>
      <c r="GW124" s="644"/>
      <c r="GX124" s="13"/>
      <c r="GY124" s="644"/>
      <c r="GZ124" s="13"/>
      <c r="HA124" s="644"/>
      <c r="HB124" s="13"/>
      <c r="HC124" s="644"/>
      <c r="HD124" s="13"/>
      <c r="HE124" s="644"/>
      <c r="HF124" s="13"/>
      <c r="HG124" s="644"/>
      <c r="HH124" s="13" t="s">
        <v>465</v>
      </c>
      <c r="HI124" s="644"/>
      <c r="HJ124" s="644"/>
      <c r="HK124" s="644"/>
      <c r="HL124" s="13"/>
      <c r="HM124" s="644"/>
      <c r="HN124" s="703" t="s">
        <v>465</v>
      </c>
      <c r="HO124" s="644"/>
      <c r="HP124" s="13"/>
      <c r="HQ124" s="644"/>
      <c r="HR124" s="13"/>
      <c r="HS124" s="644"/>
      <c r="HT124" s="734" t="s">
        <v>702</v>
      </c>
      <c r="HU124" s="644"/>
      <c r="HV124" s="13"/>
      <c r="HW124" s="644"/>
      <c r="HX124" s="13"/>
      <c r="HY124" s="644"/>
      <c r="HZ124" s="13"/>
      <c r="IA124" s="644"/>
      <c r="IB124" s="644"/>
      <c r="IC124" s="644"/>
      <c r="ID124" s="13"/>
      <c r="IE124" s="644"/>
      <c r="IF124" s="13"/>
      <c r="IG124" s="738"/>
      <c r="IH124" s="13"/>
      <c r="II124" s="644"/>
      <c r="IJ124" s="644"/>
      <c r="IK124" s="644"/>
      <c r="IL124" s="711" t="s">
        <v>465</v>
      </c>
      <c r="IM124" s="644"/>
      <c r="IN124" s="712" t="s">
        <v>465</v>
      </c>
      <c r="IO124" s="644"/>
      <c r="IP124" s="13"/>
      <c r="IQ124" s="644"/>
      <c r="IR124" s="13"/>
      <c r="IS124" s="644"/>
      <c r="IT124" s="13" t="s">
        <v>701</v>
      </c>
      <c r="IU124" s="644"/>
      <c r="IV124" s="13" t="s">
        <v>504</v>
      </c>
      <c r="IW124" s="644"/>
      <c r="IX124" s="710" t="s">
        <v>1104</v>
      </c>
      <c r="IY124" s="644"/>
      <c r="IZ124" s="13" t="s">
        <v>504</v>
      </c>
      <c r="JA124" s="644"/>
      <c r="JB124" s="13"/>
      <c r="JC124" s="644"/>
      <c r="JD124" s="13" t="s">
        <v>465</v>
      </c>
      <c r="JE124" s="644"/>
      <c r="JF124" s="644"/>
      <c r="JG124" s="644"/>
      <c r="JH124" s="13"/>
      <c r="JI124" s="644"/>
      <c r="JJ124" s="644"/>
      <c r="JK124" s="644"/>
      <c r="JL124" s="644"/>
      <c r="JM124" s="644"/>
      <c r="JN124" s="13">
        <v>0</v>
      </c>
      <c r="JO124" s="644"/>
      <c r="JP124" s="644"/>
      <c r="JQ124" s="644"/>
      <c r="JR124" s="713"/>
      <c r="JS124" s="644"/>
      <c r="JT124" s="13" t="s">
        <v>465</v>
      </c>
      <c r="JU124" s="644"/>
      <c r="JV124" s="13"/>
      <c r="JW124" s="644"/>
      <c r="JX124" s="13" t="s">
        <v>702</v>
      </c>
      <c r="JY124" s="644"/>
    </row>
    <row r="125" spans="1:285" ht="26.25" customHeight="1" x14ac:dyDescent="0.2">
      <c r="A125" s="1565"/>
      <c r="B125" s="1567"/>
      <c r="C125" s="1544" t="s">
        <v>244</v>
      </c>
      <c r="D125" s="1547" t="s">
        <v>44</v>
      </c>
      <c r="E125" s="755" t="s">
        <v>171</v>
      </c>
      <c r="F125" s="9" t="s">
        <v>504</v>
      </c>
      <c r="G125" s="738"/>
      <c r="H125" s="9" t="s">
        <v>500</v>
      </c>
      <c r="I125" s="644"/>
      <c r="J125" s="9" t="s">
        <v>500</v>
      </c>
      <c r="K125" s="644"/>
      <c r="L125" s="9" t="s">
        <v>465</v>
      </c>
      <c r="M125" s="644"/>
      <c r="N125" s="757" t="s">
        <v>471</v>
      </c>
      <c r="O125" s="644"/>
      <c r="P125" s="84" t="s">
        <v>504</v>
      </c>
      <c r="Q125" s="644"/>
      <c r="R125" s="9"/>
      <c r="S125" s="644"/>
      <c r="T125" s="644"/>
      <c r="U125" s="644"/>
      <c r="V125" s="644"/>
      <c r="W125" s="644"/>
      <c r="X125" s="644"/>
      <c r="Y125" s="644"/>
      <c r="Z125" s="9" t="s">
        <v>2307</v>
      </c>
      <c r="AA125" s="644"/>
      <c r="AB125" s="5" t="s">
        <v>2307</v>
      </c>
      <c r="AC125" s="644"/>
      <c r="AD125" s="5" t="s">
        <v>479</v>
      </c>
      <c r="AE125" s="644"/>
      <c r="AF125" s="644"/>
      <c r="AG125" s="644"/>
      <c r="AH125" s="644"/>
      <c r="AI125" s="644"/>
      <c r="AJ125" s="84" t="s">
        <v>504</v>
      </c>
      <c r="AK125" s="644"/>
      <c r="AL125" s="9" t="s">
        <v>500</v>
      </c>
      <c r="AM125" s="644"/>
      <c r="AN125" s="9"/>
      <c r="AO125" s="644"/>
      <c r="AP125" s="9" t="s">
        <v>471</v>
      </c>
      <c r="AQ125" s="644"/>
      <c r="AR125" s="9"/>
      <c r="AS125" s="644"/>
      <c r="AT125" s="9"/>
      <c r="AU125" s="644"/>
      <c r="AV125" s="757"/>
      <c r="AW125" s="644"/>
      <c r="AX125" s="4"/>
      <c r="AY125" s="644"/>
      <c r="AZ125" s="9" t="s">
        <v>504</v>
      </c>
      <c r="BA125" s="644"/>
      <c r="BB125" s="644"/>
      <c r="BC125" s="644"/>
      <c r="BD125" s="5"/>
      <c r="BE125" s="644"/>
      <c r="BF125" s="9"/>
      <c r="BG125" s="644"/>
      <c r="BH125" s="644"/>
      <c r="BI125" s="644"/>
      <c r="BJ125" s="9" t="s">
        <v>504</v>
      </c>
      <c r="BK125" s="644"/>
      <c r="BL125" s="9" t="s">
        <v>500</v>
      </c>
      <c r="BM125" s="644"/>
      <c r="BN125" s="9" t="s">
        <v>504</v>
      </c>
      <c r="BO125" s="644"/>
      <c r="BP125" s="9"/>
      <c r="BQ125" s="644"/>
      <c r="BR125" s="9" t="s">
        <v>504</v>
      </c>
      <c r="BS125" s="644"/>
      <c r="BT125" s="9" t="s">
        <v>500</v>
      </c>
      <c r="BU125" s="644"/>
      <c r="BV125" s="9" t="s">
        <v>500</v>
      </c>
      <c r="BW125" s="644"/>
      <c r="BX125" s="632" t="s">
        <v>504</v>
      </c>
      <c r="BY125" s="644"/>
      <c r="BZ125" s="710" t="s">
        <v>504</v>
      </c>
      <c r="CA125" s="644"/>
      <c r="CB125" s="9" t="s">
        <v>504</v>
      </c>
      <c r="CC125" s="644"/>
      <c r="CD125" s="644"/>
      <c r="CE125" s="644"/>
      <c r="CF125" s="644"/>
      <c r="CG125" s="644"/>
      <c r="CH125" s="632" t="s">
        <v>504</v>
      </c>
      <c r="CI125" s="9"/>
      <c r="CJ125" s="9" t="s">
        <v>504</v>
      </c>
      <c r="CK125" s="9"/>
      <c r="CL125" s="9" t="s">
        <v>500</v>
      </c>
      <c r="CM125" s="644"/>
      <c r="CN125" s="9"/>
      <c r="CO125" s="644"/>
      <c r="CP125" s="9" t="s">
        <v>504</v>
      </c>
      <c r="CQ125" s="644"/>
      <c r="CR125" s="9" t="s">
        <v>500</v>
      </c>
      <c r="CS125" s="644"/>
      <c r="CT125" s="5" t="s">
        <v>500</v>
      </c>
      <c r="CU125" s="644"/>
      <c r="CV125" s="9" t="s">
        <v>504</v>
      </c>
      <c r="CW125" s="644"/>
      <c r="CX125" s="9" t="s">
        <v>500</v>
      </c>
      <c r="CY125" s="644"/>
      <c r="CZ125" s="9" t="s">
        <v>504</v>
      </c>
      <c r="DA125" s="644"/>
      <c r="DB125" s="9" t="s">
        <v>500</v>
      </c>
      <c r="DC125" s="644"/>
      <c r="DD125" s="5" t="s">
        <v>500</v>
      </c>
      <c r="DE125" s="644"/>
      <c r="DF125" s="644"/>
      <c r="DG125" s="644"/>
      <c r="DH125" s="5" t="s">
        <v>500</v>
      </c>
      <c r="DI125" s="644"/>
      <c r="DJ125" s="758" t="s">
        <v>504</v>
      </c>
      <c r="DK125" s="644"/>
      <c r="DL125" s="644"/>
      <c r="DM125" s="644"/>
      <c r="DN125" s="9" t="s">
        <v>504</v>
      </c>
      <c r="DO125" s="644"/>
      <c r="DP125" s="644"/>
      <c r="DQ125" s="644"/>
      <c r="DR125" s="644"/>
      <c r="DS125" s="644"/>
      <c r="DT125" s="644"/>
      <c r="DU125" s="644"/>
      <c r="DV125" s="9" t="s">
        <v>500</v>
      </c>
      <c r="DW125" s="772" t="s">
        <v>1184</v>
      </c>
      <c r="DX125" s="9" t="s">
        <v>1176</v>
      </c>
      <c r="DY125" s="644"/>
      <c r="DZ125" s="5" t="s">
        <v>500</v>
      </c>
      <c r="EA125" s="644"/>
      <c r="EB125" s="644"/>
      <c r="EC125" s="644"/>
      <c r="ED125" s="644"/>
      <c r="EE125" s="644"/>
      <c r="EF125" s="9" t="s">
        <v>504</v>
      </c>
      <c r="EG125" s="644"/>
      <c r="EH125" s="759" t="s">
        <v>500</v>
      </c>
      <c r="EI125" s="644"/>
      <c r="EJ125" s="644"/>
      <c r="EK125" s="644"/>
      <c r="EL125" s="644"/>
      <c r="EM125" s="644"/>
      <c r="EN125" s="9" t="s">
        <v>504</v>
      </c>
      <c r="EO125" s="644"/>
      <c r="EP125" s="9" t="s">
        <v>504</v>
      </c>
      <c r="EQ125" s="644"/>
      <c r="ER125" s="644"/>
      <c r="ES125" s="644"/>
      <c r="ET125" s="9" t="s">
        <v>504</v>
      </c>
      <c r="EU125" s="644"/>
      <c r="EV125" s="9" t="s">
        <v>504</v>
      </c>
      <c r="EW125" s="644"/>
      <c r="EX125" s="9" t="s">
        <v>504</v>
      </c>
      <c r="EY125" s="644"/>
      <c r="EZ125" s="9" t="s">
        <v>504</v>
      </c>
      <c r="FA125" s="644"/>
      <c r="FB125" s="9" t="s">
        <v>504</v>
      </c>
      <c r="FC125" s="644"/>
      <c r="FD125" s="9" t="s">
        <v>504</v>
      </c>
      <c r="FE125" s="644"/>
      <c r="FF125" s="9" t="s">
        <v>500</v>
      </c>
      <c r="FG125" s="644"/>
      <c r="FH125" s="9" t="s">
        <v>504</v>
      </c>
      <c r="FI125" s="644"/>
      <c r="FJ125" s="9"/>
      <c r="FK125" s="644"/>
      <c r="FL125" s="811" t="s">
        <v>504</v>
      </c>
      <c r="FM125" s="644"/>
      <c r="FN125" s="9" t="s">
        <v>504</v>
      </c>
      <c r="FO125" s="644"/>
      <c r="FP125" s="9" t="s">
        <v>500</v>
      </c>
      <c r="FQ125" s="644"/>
      <c r="FR125" s="644"/>
      <c r="FS125" s="644"/>
      <c r="FT125" s="644"/>
      <c r="FU125" s="644"/>
      <c r="FV125" s="644"/>
      <c r="FW125" s="644"/>
      <c r="FX125" s="5"/>
      <c r="FY125" s="644"/>
      <c r="FZ125" s="644"/>
      <c r="GA125" s="644"/>
      <c r="GB125" s="9" t="s">
        <v>504</v>
      </c>
      <c r="GC125" s="644"/>
      <c r="GD125" s="13" t="s">
        <v>2499</v>
      </c>
      <c r="GE125" s="644"/>
      <c r="GF125" s="5" t="s">
        <v>500</v>
      </c>
      <c r="GG125" s="644"/>
      <c r="GH125" s="9" t="s">
        <v>504</v>
      </c>
      <c r="GI125" s="644"/>
      <c r="GJ125" s="780" t="s">
        <v>479</v>
      </c>
      <c r="GK125" s="644"/>
      <c r="GL125" s="9" t="s">
        <v>504</v>
      </c>
      <c r="GM125" s="644"/>
      <c r="GN125" s="9" t="s">
        <v>504</v>
      </c>
      <c r="GO125" s="644"/>
      <c r="GP125" s="9" t="s">
        <v>504</v>
      </c>
      <c r="GQ125" s="644"/>
      <c r="GR125" s="9" t="s">
        <v>500</v>
      </c>
      <c r="GS125" s="644"/>
      <c r="GT125" s="9" t="s">
        <v>500</v>
      </c>
      <c r="GU125" s="644"/>
      <c r="GV125" s="9" t="s">
        <v>500</v>
      </c>
      <c r="GW125" s="644"/>
      <c r="GX125" s="9" t="s">
        <v>504</v>
      </c>
      <c r="GY125" s="644"/>
      <c r="GZ125" s="9" t="s">
        <v>504</v>
      </c>
      <c r="HA125" s="644"/>
      <c r="HB125" s="9" t="s">
        <v>504</v>
      </c>
      <c r="HC125" s="644"/>
      <c r="HD125" s="13" t="s">
        <v>500</v>
      </c>
      <c r="HE125" s="644"/>
      <c r="HF125" s="9"/>
      <c r="HG125" s="644"/>
      <c r="HH125" s="9" t="s">
        <v>500</v>
      </c>
      <c r="HI125" s="644"/>
      <c r="HJ125" s="644"/>
      <c r="HK125" s="644"/>
      <c r="HL125" s="9" t="s">
        <v>504</v>
      </c>
      <c r="HM125" s="644"/>
      <c r="HN125" s="5" t="s">
        <v>504</v>
      </c>
      <c r="HO125" s="644"/>
      <c r="HP125" s="9" t="s">
        <v>504</v>
      </c>
      <c r="HQ125" s="644"/>
      <c r="HR125" s="780" t="s">
        <v>504</v>
      </c>
      <c r="HS125" s="644"/>
      <c r="HT125" s="633" t="s">
        <v>504</v>
      </c>
      <c r="HU125" s="644"/>
      <c r="HV125" s="9" t="s">
        <v>500</v>
      </c>
      <c r="HW125" s="644"/>
      <c r="HX125" s="9" t="s">
        <v>504</v>
      </c>
      <c r="HY125" s="644"/>
      <c r="HZ125" s="9" t="s">
        <v>504</v>
      </c>
      <c r="IA125" s="644"/>
      <c r="IB125" s="644"/>
      <c r="IC125" s="644"/>
      <c r="ID125" s="9" t="s">
        <v>500</v>
      </c>
      <c r="IE125" s="644"/>
      <c r="IF125" s="5" t="s">
        <v>500</v>
      </c>
      <c r="IG125" s="756"/>
      <c r="IH125" s="9"/>
      <c r="II125" s="644"/>
      <c r="IJ125" s="644"/>
      <c r="IK125" s="644"/>
      <c r="IL125" s="633" t="s">
        <v>500</v>
      </c>
      <c r="IM125" s="644"/>
      <c r="IN125" s="634" t="s">
        <v>504</v>
      </c>
      <c r="IO125" s="644"/>
      <c r="IP125" s="9" t="s">
        <v>504</v>
      </c>
      <c r="IQ125" s="644"/>
      <c r="IR125" s="9" t="s">
        <v>504</v>
      </c>
      <c r="IS125" s="644"/>
      <c r="IT125" s="9" t="s">
        <v>500</v>
      </c>
      <c r="IU125" s="644"/>
      <c r="IV125" s="13" t="s">
        <v>504</v>
      </c>
      <c r="IW125" s="644"/>
      <c r="IX125" s="632" t="s">
        <v>504</v>
      </c>
      <c r="IY125" s="644"/>
      <c r="IZ125" s="9" t="s">
        <v>504</v>
      </c>
      <c r="JA125" s="644"/>
      <c r="JB125" s="9"/>
      <c r="JC125" s="644"/>
      <c r="JD125" s="9" t="s">
        <v>479</v>
      </c>
      <c r="JE125" s="644"/>
      <c r="JF125" s="644"/>
      <c r="JG125" s="644"/>
      <c r="JH125" s="9"/>
      <c r="JI125" s="644"/>
      <c r="JJ125" s="644"/>
      <c r="JK125" s="644"/>
      <c r="JL125" s="644"/>
      <c r="JM125" s="644"/>
      <c r="JN125" s="9" t="s">
        <v>504</v>
      </c>
      <c r="JO125" s="644"/>
      <c r="JP125" s="644"/>
      <c r="JQ125" s="644"/>
      <c r="JR125" s="20" t="s">
        <v>500</v>
      </c>
      <c r="JS125" s="644"/>
      <c r="JT125" s="9" t="s">
        <v>500</v>
      </c>
      <c r="JU125" s="644"/>
      <c r="JV125" s="9"/>
      <c r="JW125" s="644"/>
      <c r="JX125" s="9" t="s">
        <v>504</v>
      </c>
      <c r="JY125" s="644"/>
    </row>
    <row r="126" spans="1:285" ht="26.25" customHeight="1" x14ac:dyDescent="0.2">
      <c r="A126" s="1565"/>
      <c r="B126" s="1567"/>
      <c r="C126" s="1550"/>
      <c r="D126" s="1552"/>
      <c r="E126" s="755" t="s">
        <v>172</v>
      </c>
      <c r="F126" s="9"/>
      <c r="G126" s="738"/>
      <c r="H126" s="5" t="s">
        <v>2255</v>
      </c>
      <c r="I126" s="644"/>
      <c r="J126" s="5" t="s">
        <v>2272</v>
      </c>
      <c r="K126" s="644"/>
      <c r="L126" s="9" t="s">
        <v>465</v>
      </c>
      <c r="M126" s="644"/>
      <c r="N126" s="757" t="s">
        <v>480</v>
      </c>
      <c r="O126" s="644"/>
      <c r="P126" s="84" t="s">
        <v>465</v>
      </c>
      <c r="Q126" s="644"/>
      <c r="R126" s="9"/>
      <c r="S126" s="644"/>
      <c r="T126" s="644"/>
      <c r="U126" s="644"/>
      <c r="V126" s="644"/>
      <c r="W126" s="644"/>
      <c r="X126" s="644"/>
      <c r="Y126" s="644"/>
      <c r="Z126" s="9" t="s">
        <v>465</v>
      </c>
      <c r="AA126" s="644"/>
      <c r="AB126" s="5" t="s">
        <v>465</v>
      </c>
      <c r="AC126" s="644"/>
      <c r="AD126" s="5" t="s">
        <v>465</v>
      </c>
      <c r="AE126" s="644"/>
      <c r="AF126" s="644"/>
      <c r="AG126" s="644"/>
      <c r="AH126" s="644"/>
      <c r="AI126" s="644"/>
      <c r="AJ126" s="84"/>
      <c r="AK126" s="644"/>
      <c r="AL126" s="9" t="s">
        <v>2370</v>
      </c>
      <c r="AM126" s="644"/>
      <c r="AN126" s="9"/>
      <c r="AO126" s="644"/>
      <c r="AP126" s="9" t="s">
        <v>1002</v>
      </c>
      <c r="AQ126" s="644"/>
      <c r="AR126" s="9"/>
      <c r="AS126" s="644"/>
      <c r="AT126" s="9"/>
      <c r="AU126" s="644"/>
      <c r="AV126" s="757"/>
      <c r="AW126" s="644"/>
      <c r="AX126" s="9"/>
      <c r="AY126" s="644"/>
      <c r="AZ126" s="9"/>
      <c r="BA126" s="644"/>
      <c r="BB126" s="644"/>
      <c r="BC126" s="644"/>
      <c r="BD126" s="5"/>
      <c r="BE126" s="644"/>
      <c r="BF126" s="9"/>
      <c r="BG126" s="644"/>
      <c r="BH126" s="644"/>
      <c r="BI126" s="644"/>
      <c r="BJ126" s="9"/>
      <c r="BK126" s="644"/>
      <c r="BL126" s="9" t="s">
        <v>935</v>
      </c>
      <c r="BM126" s="644"/>
      <c r="BN126" s="9"/>
      <c r="BO126" s="644"/>
      <c r="BP126" s="9"/>
      <c r="BQ126" s="644"/>
      <c r="BR126" s="9"/>
      <c r="BS126" s="644"/>
      <c r="BT126" s="9" t="s">
        <v>935</v>
      </c>
      <c r="BU126" s="644"/>
      <c r="BV126" s="9" t="s">
        <v>957</v>
      </c>
      <c r="BW126" s="644"/>
      <c r="BX126" s="632"/>
      <c r="BY126" s="644"/>
      <c r="BZ126" s="632"/>
      <c r="CA126" s="644"/>
      <c r="CB126" s="9"/>
      <c r="CC126" s="644"/>
      <c r="CD126" s="644"/>
      <c r="CE126" s="644"/>
      <c r="CF126" s="644"/>
      <c r="CG126" s="644"/>
      <c r="CH126" s="632" t="s">
        <v>465</v>
      </c>
      <c r="CI126" s="9"/>
      <c r="CJ126" s="9" t="s">
        <v>465</v>
      </c>
      <c r="CK126" s="9"/>
      <c r="CL126" s="9" t="s">
        <v>631</v>
      </c>
      <c r="CM126" s="644"/>
      <c r="CN126" s="9"/>
      <c r="CO126" s="644"/>
      <c r="CP126" s="9"/>
      <c r="CQ126" s="644"/>
      <c r="CR126" s="9" t="s">
        <v>2456</v>
      </c>
      <c r="CS126" s="644"/>
      <c r="CT126" s="5" t="s">
        <v>2230</v>
      </c>
      <c r="CU126" s="644"/>
      <c r="CV126" s="9" t="s">
        <v>465</v>
      </c>
      <c r="CW126" s="644"/>
      <c r="CX126" s="9" t="s">
        <v>480</v>
      </c>
      <c r="CY126" s="644"/>
      <c r="CZ126" s="9" t="s">
        <v>465</v>
      </c>
      <c r="DA126" s="644"/>
      <c r="DB126" s="9" t="s">
        <v>796</v>
      </c>
      <c r="DC126" s="644"/>
      <c r="DD126" s="5" t="s">
        <v>2477</v>
      </c>
      <c r="DE126" s="644"/>
      <c r="DF126" s="644"/>
      <c r="DG126" s="644"/>
      <c r="DH126" s="23" t="s">
        <v>877</v>
      </c>
      <c r="DI126" s="644"/>
      <c r="DJ126" s="758"/>
      <c r="DK126" s="644"/>
      <c r="DL126" s="644"/>
      <c r="DM126" s="644"/>
      <c r="DN126" s="9"/>
      <c r="DO126" s="644"/>
      <c r="DP126" s="644"/>
      <c r="DQ126" s="644"/>
      <c r="DR126" s="644"/>
      <c r="DS126" s="644"/>
      <c r="DT126" s="644"/>
      <c r="DU126" s="644"/>
      <c r="DV126" s="9" t="s">
        <v>1177</v>
      </c>
      <c r="DW126" s="644"/>
      <c r="DX126" s="9" t="s">
        <v>1177</v>
      </c>
      <c r="DY126" s="644"/>
      <c r="DZ126" s="5" t="s">
        <v>2530</v>
      </c>
      <c r="EA126" s="644"/>
      <c r="EB126" s="644"/>
      <c r="EC126" s="644"/>
      <c r="ED126" s="644"/>
      <c r="EE126" s="644"/>
      <c r="EF126" s="9" t="s">
        <v>504</v>
      </c>
      <c r="EG126" s="644"/>
      <c r="EH126" s="759" t="s">
        <v>2064</v>
      </c>
      <c r="EI126" s="644"/>
      <c r="EJ126" s="644"/>
      <c r="EK126" s="644"/>
      <c r="EL126" s="644"/>
      <c r="EM126" s="644"/>
      <c r="EN126" s="9"/>
      <c r="EO126" s="644"/>
      <c r="EP126" s="9" t="s">
        <v>504</v>
      </c>
      <c r="EQ126" s="644"/>
      <c r="ER126" s="644"/>
      <c r="ES126" s="644"/>
      <c r="ET126" s="9" t="s">
        <v>465</v>
      </c>
      <c r="EU126" s="644"/>
      <c r="EV126" s="9" t="s">
        <v>465</v>
      </c>
      <c r="EW126" s="644"/>
      <c r="EX126" s="9"/>
      <c r="EY126" s="644"/>
      <c r="EZ126" s="9"/>
      <c r="FA126" s="644"/>
      <c r="FB126" s="9"/>
      <c r="FC126" s="644"/>
      <c r="FD126" s="9" t="s">
        <v>465</v>
      </c>
      <c r="FE126" s="644"/>
      <c r="FF126" s="9" t="s">
        <v>1553</v>
      </c>
      <c r="FG126" s="644"/>
      <c r="FH126" s="9"/>
      <c r="FI126" s="644"/>
      <c r="FJ126" s="9"/>
      <c r="FK126" s="644"/>
      <c r="FL126" s="811" t="s">
        <v>504</v>
      </c>
      <c r="FM126" s="644"/>
      <c r="FN126" s="9"/>
      <c r="FO126" s="644"/>
      <c r="FP126" s="9" t="s">
        <v>681</v>
      </c>
      <c r="FQ126" s="644"/>
      <c r="FR126" s="644"/>
      <c r="FS126" s="644"/>
      <c r="FT126" s="644"/>
      <c r="FU126" s="644"/>
      <c r="FV126" s="644"/>
      <c r="FW126" s="644"/>
      <c r="FX126" s="5"/>
      <c r="FY126" s="644"/>
      <c r="FZ126" s="644"/>
      <c r="GA126" s="644"/>
      <c r="GB126" s="5"/>
      <c r="GC126" s="644"/>
      <c r="GD126" s="13" t="s">
        <v>2499</v>
      </c>
      <c r="GE126" s="644"/>
      <c r="GF126" s="5" t="s">
        <v>1999</v>
      </c>
      <c r="GG126" s="644"/>
      <c r="GH126" s="9" t="s">
        <v>2008</v>
      </c>
      <c r="GI126" s="644"/>
      <c r="GJ126" s="780" t="s">
        <v>465</v>
      </c>
      <c r="GK126" s="644"/>
      <c r="GL126" s="9"/>
      <c r="GM126" s="644"/>
      <c r="GN126" s="9"/>
      <c r="GO126" s="644"/>
      <c r="GP126" s="9"/>
      <c r="GQ126" s="644"/>
      <c r="GR126" s="9" t="s">
        <v>1959</v>
      </c>
      <c r="GS126" s="644"/>
      <c r="GT126" s="9" t="s">
        <v>2092</v>
      </c>
      <c r="GU126" s="644"/>
      <c r="GV126" s="34" t="s">
        <v>1894</v>
      </c>
      <c r="GW126" s="644"/>
      <c r="GX126" s="9"/>
      <c r="GY126" s="644"/>
      <c r="GZ126" s="9"/>
      <c r="HA126" s="644"/>
      <c r="HB126" s="9"/>
      <c r="HC126" s="644"/>
      <c r="HD126" s="13" t="s">
        <v>1839</v>
      </c>
      <c r="HE126" s="644"/>
      <c r="HF126" s="9"/>
      <c r="HG126" s="644"/>
      <c r="HH126" s="9" t="s">
        <v>1931</v>
      </c>
      <c r="HI126" s="644"/>
      <c r="HJ126" s="644"/>
      <c r="HK126" s="644"/>
      <c r="HL126" s="5"/>
      <c r="HM126" s="644"/>
      <c r="HN126" s="5" t="s">
        <v>465</v>
      </c>
      <c r="HO126" s="644"/>
      <c r="HP126" s="9"/>
      <c r="HQ126" s="644"/>
      <c r="HR126" s="9"/>
      <c r="HS126" s="644"/>
      <c r="HT126" s="656" t="s">
        <v>702</v>
      </c>
      <c r="HU126" s="644"/>
      <c r="HV126" s="9" t="s">
        <v>1315</v>
      </c>
      <c r="HW126" s="644"/>
      <c r="HX126" s="9"/>
      <c r="HY126" s="644"/>
      <c r="HZ126" s="9"/>
      <c r="IA126" s="644"/>
      <c r="IB126" s="644"/>
      <c r="IC126" s="644"/>
      <c r="ID126" s="9" t="s">
        <v>1233</v>
      </c>
      <c r="IE126" s="644"/>
      <c r="IF126" s="5" t="s">
        <v>1261</v>
      </c>
      <c r="IG126" s="756"/>
      <c r="IH126" s="9"/>
      <c r="II126" s="644"/>
      <c r="IJ126" s="644"/>
      <c r="IK126" s="644"/>
      <c r="IL126" s="633" t="s">
        <v>1348</v>
      </c>
      <c r="IM126" s="644"/>
      <c r="IN126" s="634" t="s">
        <v>465</v>
      </c>
      <c r="IO126" s="644"/>
      <c r="IP126" s="9"/>
      <c r="IQ126" s="644"/>
      <c r="IR126" s="9"/>
      <c r="IS126" s="644"/>
      <c r="IT126" s="9" t="s">
        <v>1082</v>
      </c>
      <c r="IU126" s="644"/>
      <c r="IV126" s="13" t="s">
        <v>504</v>
      </c>
      <c r="IW126" s="644"/>
      <c r="IX126" s="735" t="e">
        <f>-#REF!</f>
        <v>#REF!</v>
      </c>
      <c r="IY126" s="644"/>
      <c r="IZ126" s="9" t="s">
        <v>504</v>
      </c>
      <c r="JA126" s="644"/>
      <c r="JB126" s="9"/>
      <c r="JC126" s="644"/>
      <c r="JD126" s="9" t="s">
        <v>465</v>
      </c>
      <c r="JE126" s="644"/>
      <c r="JF126" s="644"/>
      <c r="JG126" s="644"/>
      <c r="JH126" s="9"/>
      <c r="JI126" s="644"/>
      <c r="JJ126" s="644"/>
      <c r="JK126" s="644"/>
      <c r="JL126" s="644"/>
      <c r="JM126" s="644"/>
      <c r="JN126" s="9" t="s">
        <v>504</v>
      </c>
      <c r="JO126" s="644"/>
      <c r="JP126" s="644"/>
      <c r="JQ126" s="644"/>
      <c r="JR126" s="664" t="s">
        <v>1059</v>
      </c>
      <c r="JS126" s="644"/>
      <c r="JT126" s="9" t="s">
        <v>1133</v>
      </c>
      <c r="JU126" s="644"/>
      <c r="JV126" s="9"/>
      <c r="JW126" s="644"/>
      <c r="JX126" s="9" t="s">
        <v>702</v>
      </c>
      <c r="JY126" s="644"/>
    </row>
    <row r="127" spans="1:285" ht="26.25" customHeight="1" thickBot="1" x14ac:dyDescent="0.25">
      <c r="A127" s="1565"/>
      <c r="B127" s="1567"/>
      <c r="C127" s="1550"/>
      <c r="D127" s="1552"/>
      <c r="E127" s="755" t="s">
        <v>174</v>
      </c>
      <c r="F127" s="13"/>
      <c r="G127" s="738"/>
      <c r="H127" s="13">
        <v>6</v>
      </c>
      <c r="I127" s="644"/>
      <c r="J127" s="13">
        <v>12</v>
      </c>
      <c r="K127" s="644"/>
      <c r="L127" s="9" t="s">
        <v>465</v>
      </c>
      <c r="M127" s="644"/>
      <c r="N127" s="808">
        <v>13</v>
      </c>
      <c r="O127" s="644"/>
      <c r="P127" s="709" t="s">
        <v>465</v>
      </c>
      <c r="Q127" s="644"/>
      <c r="R127" s="13"/>
      <c r="S127" s="644"/>
      <c r="T127" s="644"/>
      <c r="U127" s="644"/>
      <c r="V127" s="644"/>
      <c r="W127" s="644"/>
      <c r="X127" s="644"/>
      <c r="Y127" s="644"/>
      <c r="Z127" s="13" t="s">
        <v>465</v>
      </c>
      <c r="AA127" s="644"/>
      <c r="AB127" s="703" t="s">
        <v>465</v>
      </c>
      <c r="AC127" s="644"/>
      <c r="AD127" s="5" t="s">
        <v>465</v>
      </c>
      <c r="AE127" s="644"/>
      <c r="AF127" s="644"/>
      <c r="AG127" s="644"/>
      <c r="AH127" s="644"/>
      <c r="AI127" s="644"/>
      <c r="AJ127" s="709"/>
      <c r="AK127" s="644"/>
      <c r="AL127" s="13">
        <v>12</v>
      </c>
      <c r="AM127" s="644"/>
      <c r="AN127" s="13"/>
      <c r="AO127" s="644"/>
      <c r="AP127" s="13">
        <v>7</v>
      </c>
      <c r="AQ127" s="644"/>
      <c r="AR127" s="13"/>
      <c r="AS127" s="644"/>
      <c r="AT127" s="13"/>
      <c r="AU127" s="644"/>
      <c r="AV127" s="808"/>
      <c r="AW127" s="644"/>
      <c r="AX127" s="13"/>
      <c r="AY127" s="644"/>
      <c r="AZ127" s="13"/>
      <c r="BA127" s="644"/>
      <c r="BB127" s="644"/>
      <c r="BC127" s="644"/>
      <c r="BD127" s="5"/>
      <c r="BE127" s="644"/>
      <c r="BF127" s="13"/>
      <c r="BG127" s="644"/>
      <c r="BH127" s="644"/>
      <c r="BI127" s="644"/>
      <c r="BJ127" s="13"/>
      <c r="BK127" s="644"/>
      <c r="BL127" s="13"/>
      <c r="BM127" s="644"/>
      <c r="BN127" s="13"/>
      <c r="BO127" s="644"/>
      <c r="BP127" s="13"/>
      <c r="BQ127" s="644"/>
      <c r="BR127" s="13"/>
      <c r="BS127" s="644"/>
      <c r="BT127" s="13">
        <v>37</v>
      </c>
      <c r="BU127" s="644"/>
      <c r="BV127" s="13">
        <v>46</v>
      </c>
      <c r="BW127" s="644"/>
      <c r="BX127" s="710"/>
      <c r="BY127" s="644"/>
      <c r="BZ127" s="710"/>
      <c r="CA127" s="644"/>
      <c r="CB127" s="13"/>
      <c r="CC127" s="644"/>
      <c r="CD127" s="644"/>
      <c r="CE127" s="644"/>
      <c r="CF127" s="644"/>
      <c r="CG127" s="644"/>
      <c r="CH127" s="710" t="s">
        <v>465</v>
      </c>
      <c r="CI127" s="13"/>
      <c r="CJ127" s="13" t="s">
        <v>465</v>
      </c>
      <c r="CK127" s="13"/>
      <c r="CL127" s="13">
        <v>8</v>
      </c>
      <c r="CM127" s="644"/>
      <c r="CN127" s="13"/>
      <c r="CO127" s="644"/>
      <c r="CP127" s="13"/>
      <c r="CQ127" s="644"/>
      <c r="CR127" s="13">
        <v>18</v>
      </c>
      <c r="CS127" s="644"/>
      <c r="CT127" s="703">
        <v>16</v>
      </c>
      <c r="CU127" s="644"/>
      <c r="CV127" s="13" t="s">
        <v>465</v>
      </c>
      <c r="CW127" s="644"/>
      <c r="CX127" s="13">
        <v>23</v>
      </c>
      <c r="CY127" s="644"/>
      <c r="CZ127" s="13" t="s">
        <v>465</v>
      </c>
      <c r="DA127" s="644"/>
      <c r="DB127" s="13">
        <v>41</v>
      </c>
      <c r="DC127" s="644"/>
      <c r="DD127" s="703">
        <v>13</v>
      </c>
      <c r="DE127" s="644"/>
      <c r="DF127" s="644"/>
      <c r="DG127" s="644"/>
      <c r="DH127" s="703">
        <v>57000</v>
      </c>
      <c r="DI127" s="644"/>
      <c r="DJ127" s="809"/>
      <c r="DK127" s="644"/>
      <c r="DL127" s="644"/>
      <c r="DM127" s="644"/>
      <c r="DN127" s="13"/>
      <c r="DO127" s="644"/>
      <c r="DP127" s="644"/>
      <c r="DQ127" s="644"/>
      <c r="DR127" s="644"/>
      <c r="DS127" s="644"/>
      <c r="DT127" s="644"/>
      <c r="DU127" s="644"/>
      <c r="DV127" s="13">
        <v>780</v>
      </c>
      <c r="DW127" s="644"/>
      <c r="DX127" s="13">
        <v>915</v>
      </c>
      <c r="DY127" s="644"/>
      <c r="DZ127" s="13">
        <v>249</v>
      </c>
      <c r="EA127" s="644"/>
      <c r="EB127" s="644"/>
      <c r="EC127" s="644"/>
      <c r="ED127" s="644"/>
      <c r="EE127" s="644"/>
      <c r="EF127" s="13" t="s">
        <v>504</v>
      </c>
      <c r="EG127" s="644"/>
      <c r="EH127" s="810" t="s">
        <v>2065</v>
      </c>
      <c r="EI127" s="644"/>
      <c r="EJ127" s="644"/>
      <c r="EK127" s="644"/>
      <c r="EL127" s="644"/>
      <c r="EM127" s="644"/>
      <c r="EN127" s="13"/>
      <c r="EO127" s="644"/>
      <c r="EP127" s="13" t="s">
        <v>504</v>
      </c>
      <c r="EQ127" s="644"/>
      <c r="ER127" s="644"/>
      <c r="ES127" s="644"/>
      <c r="ET127" s="13" t="s">
        <v>465</v>
      </c>
      <c r="EU127" s="644"/>
      <c r="EV127" s="13" t="s">
        <v>465</v>
      </c>
      <c r="EW127" s="644"/>
      <c r="EX127" s="13"/>
      <c r="EY127" s="644"/>
      <c r="EZ127" s="13"/>
      <c r="FA127" s="644"/>
      <c r="FB127" s="13"/>
      <c r="FC127" s="644"/>
      <c r="FD127" s="13" t="s">
        <v>465</v>
      </c>
      <c r="FE127" s="644"/>
      <c r="FF127" s="13">
        <v>13</v>
      </c>
      <c r="FG127" s="644"/>
      <c r="FH127" s="13"/>
      <c r="FI127" s="644"/>
      <c r="FJ127" s="13"/>
      <c r="FK127" s="644"/>
      <c r="FL127" s="811">
        <v>0</v>
      </c>
      <c r="FM127" s="644"/>
      <c r="FN127" s="13"/>
      <c r="FO127" s="644"/>
      <c r="FP127" s="13">
        <v>9</v>
      </c>
      <c r="FQ127" s="644"/>
      <c r="FR127" s="644"/>
      <c r="FS127" s="644"/>
      <c r="FT127" s="644"/>
      <c r="FU127" s="644"/>
      <c r="FV127" s="644"/>
      <c r="FW127" s="644"/>
      <c r="FX127" s="5"/>
      <c r="FY127" s="644"/>
      <c r="FZ127" s="644"/>
      <c r="GA127" s="644"/>
      <c r="GB127" s="703"/>
      <c r="GC127" s="644"/>
      <c r="GD127" s="13" t="s">
        <v>2499</v>
      </c>
      <c r="GE127" s="644"/>
      <c r="GF127" s="5">
        <v>6</v>
      </c>
      <c r="GG127" s="644"/>
      <c r="GH127" s="13">
        <v>0</v>
      </c>
      <c r="GI127" s="644"/>
      <c r="GJ127" s="811" t="s">
        <v>465</v>
      </c>
      <c r="GK127" s="644"/>
      <c r="GL127" s="13"/>
      <c r="GM127" s="644"/>
      <c r="GN127" s="13"/>
      <c r="GO127" s="644"/>
      <c r="GP127" s="13"/>
      <c r="GQ127" s="644"/>
      <c r="GR127" s="13">
        <v>17</v>
      </c>
      <c r="GS127" s="644"/>
      <c r="GT127" s="13">
        <v>13</v>
      </c>
      <c r="GU127" s="644"/>
      <c r="GV127" s="13">
        <v>11</v>
      </c>
      <c r="GW127" s="644"/>
      <c r="GX127" s="13"/>
      <c r="GY127" s="644"/>
      <c r="GZ127" s="13"/>
      <c r="HA127" s="644"/>
      <c r="HB127" s="13"/>
      <c r="HC127" s="644"/>
      <c r="HD127" s="13">
        <v>14</v>
      </c>
      <c r="HE127" s="644"/>
      <c r="HF127" s="13"/>
      <c r="HG127" s="644"/>
      <c r="HH127" s="13">
        <v>16</v>
      </c>
      <c r="HI127" s="644"/>
      <c r="HJ127" s="644"/>
      <c r="HK127" s="644"/>
      <c r="HL127" s="13"/>
      <c r="HM127" s="644"/>
      <c r="HN127" s="703" t="s">
        <v>465</v>
      </c>
      <c r="HO127" s="644"/>
      <c r="HP127" s="13"/>
      <c r="HQ127" s="644"/>
      <c r="HR127" s="13"/>
      <c r="HS127" s="644"/>
      <c r="HT127" s="734" t="s">
        <v>702</v>
      </c>
      <c r="HU127" s="644"/>
      <c r="HV127" s="13">
        <v>8</v>
      </c>
      <c r="HW127" s="644"/>
      <c r="HX127" s="13"/>
      <c r="HY127" s="644"/>
      <c r="HZ127" s="13"/>
      <c r="IA127" s="644"/>
      <c r="IB127" s="644"/>
      <c r="IC127" s="644"/>
      <c r="ID127" s="13">
        <v>21</v>
      </c>
      <c r="IE127" s="644"/>
      <c r="IF127" s="13">
        <v>6</v>
      </c>
      <c r="IG127" s="663" t="s">
        <v>1262</v>
      </c>
      <c r="IH127" s="13"/>
      <c r="II127" s="644"/>
      <c r="IJ127" s="644"/>
      <c r="IK127" s="644"/>
      <c r="IL127" s="711">
        <v>5</v>
      </c>
      <c r="IM127" s="644"/>
      <c r="IN127" s="712" t="s">
        <v>465</v>
      </c>
      <c r="IO127" s="644"/>
      <c r="IP127" s="13"/>
      <c r="IQ127" s="644"/>
      <c r="IR127" s="13"/>
      <c r="IS127" s="644"/>
      <c r="IT127" s="13">
        <v>17</v>
      </c>
      <c r="IU127" s="644"/>
      <c r="IV127" s="13" t="s">
        <v>504</v>
      </c>
      <c r="IW127" s="644"/>
      <c r="IX127" s="710"/>
      <c r="IY127" s="644"/>
      <c r="IZ127" s="13" t="s">
        <v>504</v>
      </c>
      <c r="JA127" s="644"/>
      <c r="JB127" s="13"/>
      <c r="JC127" s="644"/>
      <c r="JD127" s="13" t="s">
        <v>465</v>
      </c>
      <c r="JE127" s="644"/>
      <c r="JF127" s="644"/>
      <c r="JG127" s="644"/>
      <c r="JH127" s="13"/>
      <c r="JI127" s="644"/>
      <c r="JJ127" s="644"/>
      <c r="JK127" s="644"/>
      <c r="JL127" s="644"/>
      <c r="JM127" s="644"/>
      <c r="JN127" s="13">
        <v>0</v>
      </c>
      <c r="JO127" s="644"/>
      <c r="JP127" s="644"/>
      <c r="JQ127" s="644"/>
      <c r="JR127" s="713">
        <v>24</v>
      </c>
      <c r="JS127" s="644"/>
      <c r="JT127" s="13">
        <f>9+8+9+8</f>
        <v>34</v>
      </c>
      <c r="JU127" s="644"/>
      <c r="JV127" s="13"/>
      <c r="JW127" s="644"/>
      <c r="JX127" s="13">
        <v>29</v>
      </c>
      <c r="JY127" s="644"/>
    </row>
    <row r="128" spans="1:285" ht="51" x14ac:dyDescent="0.2">
      <c r="A128" s="1565"/>
      <c r="B128" s="1567"/>
      <c r="C128" s="1544" t="s">
        <v>245</v>
      </c>
      <c r="D128" s="1547" t="s">
        <v>222</v>
      </c>
      <c r="E128" s="755" t="s">
        <v>171</v>
      </c>
      <c r="F128" s="13"/>
      <c r="G128" s="738"/>
      <c r="H128" s="13" t="s">
        <v>504</v>
      </c>
      <c r="I128" s="644"/>
      <c r="J128" s="13" t="s">
        <v>504</v>
      </c>
      <c r="K128" s="644"/>
      <c r="L128" s="9" t="s">
        <v>465</v>
      </c>
      <c r="M128" s="644"/>
      <c r="N128" s="808" t="s">
        <v>479</v>
      </c>
      <c r="O128" s="644"/>
      <c r="P128" s="709" t="s">
        <v>504</v>
      </c>
      <c r="Q128" s="644"/>
      <c r="R128" s="13"/>
      <c r="S128" s="644"/>
      <c r="T128" s="644"/>
      <c r="U128" s="644"/>
      <c r="V128" s="644"/>
      <c r="W128" s="644"/>
      <c r="X128" s="644"/>
      <c r="Y128" s="644"/>
      <c r="Z128" s="13" t="s">
        <v>471</v>
      </c>
      <c r="AA128" s="644"/>
      <c r="AB128" s="5" t="s">
        <v>2307</v>
      </c>
      <c r="AC128" s="644"/>
      <c r="AD128" s="5" t="s">
        <v>479</v>
      </c>
      <c r="AE128" s="644"/>
      <c r="AF128" s="644"/>
      <c r="AG128" s="644"/>
      <c r="AH128" s="644"/>
      <c r="AI128" s="644"/>
      <c r="AJ128" s="709" t="s">
        <v>504</v>
      </c>
      <c r="AK128" s="644"/>
      <c r="AL128" s="13"/>
      <c r="AM128" s="644"/>
      <c r="AN128" s="13"/>
      <c r="AO128" s="644"/>
      <c r="AP128" s="13" t="s">
        <v>479</v>
      </c>
      <c r="AQ128" s="644"/>
      <c r="AR128" s="13"/>
      <c r="AS128" s="644"/>
      <c r="AT128" s="13"/>
      <c r="AU128" s="644"/>
      <c r="AV128" s="757" t="s">
        <v>471</v>
      </c>
      <c r="AW128" s="644"/>
      <c r="AX128" s="13" t="s">
        <v>504</v>
      </c>
      <c r="AY128" s="644"/>
      <c r="AZ128" s="13" t="s">
        <v>504</v>
      </c>
      <c r="BA128" s="644"/>
      <c r="BB128" s="644"/>
      <c r="BC128" s="644"/>
      <c r="BD128" s="5"/>
      <c r="BE128" s="644"/>
      <c r="BF128" s="13"/>
      <c r="BG128" s="644"/>
      <c r="BH128" s="644"/>
      <c r="BI128" s="644"/>
      <c r="BJ128" s="13" t="s">
        <v>504</v>
      </c>
      <c r="BK128" s="644"/>
      <c r="BL128" s="13" t="s">
        <v>504</v>
      </c>
      <c r="BM128" s="644"/>
      <c r="BN128" s="13" t="s">
        <v>504</v>
      </c>
      <c r="BO128" s="644"/>
      <c r="BP128" s="13"/>
      <c r="BQ128" s="644"/>
      <c r="BR128" s="13" t="s">
        <v>500</v>
      </c>
      <c r="BS128" s="644"/>
      <c r="BT128" s="13"/>
      <c r="BU128" s="644"/>
      <c r="BV128" s="13" t="s">
        <v>504</v>
      </c>
      <c r="BW128" s="644"/>
      <c r="BX128" s="710" t="s">
        <v>504</v>
      </c>
      <c r="BY128" s="644"/>
      <c r="BZ128" s="710" t="s">
        <v>504</v>
      </c>
      <c r="CA128" s="644"/>
      <c r="CB128" s="13" t="s">
        <v>504</v>
      </c>
      <c r="CC128" s="644"/>
      <c r="CD128" s="644"/>
      <c r="CE128" s="644"/>
      <c r="CF128" s="644"/>
      <c r="CG128" s="644"/>
      <c r="CH128" s="632" t="s">
        <v>504</v>
      </c>
      <c r="CI128" s="13"/>
      <c r="CJ128" s="9" t="s">
        <v>504</v>
      </c>
      <c r="CK128" s="13"/>
      <c r="CL128" s="13" t="s">
        <v>504</v>
      </c>
      <c r="CM128" s="644"/>
      <c r="CN128" s="13"/>
      <c r="CO128" s="644"/>
      <c r="CP128" s="13" t="s">
        <v>504</v>
      </c>
      <c r="CQ128" s="644"/>
      <c r="CR128" s="13" t="s">
        <v>504</v>
      </c>
      <c r="CS128" s="644"/>
      <c r="CT128" s="13"/>
      <c r="CU128" s="644"/>
      <c r="CV128" s="9" t="s">
        <v>504</v>
      </c>
      <c r="CW128" s="644"/>
      <c r="CX128" s="13" t="s">
        <v>504</v>
      </c>
      <c r="CY128" s="644"/>
      <c r="CZ128" s="9" t="s">
        <v>504</v>
      </c>
      <c r="DA128" s="644"/>
      <c r="DB128" s="13" t="s">
        <v>504</v>
      </c>
      <c r="DC128" s="644"/>
      <c r="DD128" s="5" t="s">
        <v>504</v>
      </c>
      <c r="DE128" s="644"/>
      <c r="DF128" s="644"/>
      <c r="DG128" s="644"/>
      <c r="DH128" s="5"/>
      <c r="DI128" s="644"/>
      <c r="DJ128" s="809" t="s">
        <v>504</v>
      </c>
      <c r="DK128" s="644"/>
      <c r="DL128" s="644"/>
      <c r="DM128" s="644"/>
      <c r="DN128" s="13" t="s">
        <v>500</v>
      </c>
      <c r="DO128" s="644"/>
      <c r="DP128" s="644"/>
      <c r="DQ128" s="644"/>
      <c r="DR128" s="644"/>
      <c r="DS128" s="644"/>
      <c r="DT128" s="644"/>
      <c r="DU128" s="644"/>
      <c r="DV128" s="9" t="s">
        <v>504</v>
      </c>
      <c r="DW128" s="644"/>
      <c r="DX128" s="9" t="s">
        <v>504</v>
      </c>
      <c r="DY128" s="644"/>
      <c r="DZ128" s="5" t="s">
        <v>504</v>
      </c>
      <c r="EA128" s="644"/>
      <c r="EB128" s="644"/>
      <c r="EC128" s="644"/>
      <c r="ED128" s="644"/>
      <c r="EE128" s="644"/>
      <c r="EF128" s="13" t="s">
        <v>504</v>
      </c>
      <c r="EG128" s="644"/>
      <c r="EH128" s="13" t="s">
        <v>806</v>
      </c>
      <c r="EI128" s="644"/>
      <c r="EJ128" s="644"/>
      <c r="EK128" s="644"/>
      <c r="EL128" s="644"/>
      <c r="EM128" s="644"/>
      <c r="EN128" s="13" t="s">
        <v>500</v>
      </c>
      <c r="EO128" s="644"/>
      <c r="EP128" s="13" t="s">
        <v>500</v>
      </c>
      <c r="EQ128" s="644"/>
      <c r="ER128" s="644"/>
      <c r="ES128" s="644"/>
      <c r="ET128" s="9" t="s">
        <v>504</v>
      </c>
      <c r="EU128" s="644"/>
      <c r="EV128" s="13" t="s">
        <v>500</v>
      </c>
      <c r="EW128" s="644"/>
      <c r="EX128" s="13" t="s">
        <v>504</v>
      </c>
      <c r="EY128" s="644"/>
      <c r="EZ128" s="13" t="s">
        <v>504</v>
      </c>
      <c r="FA128" s="644"/>
      <c r="FB128" s="13" t="s">
        <v>504</v>
      </c>
      <c r="FC128" s="644"/>
      <c r="FD128" s="13" t="s">
        <v>504</v>
      </c>
      <c r="FE128" s="644"/>
      <c r="FF128" s="13" t="s">
        <v>504</v>
      </c>
      <c r="FG128" s="644"/>
      <c r="FH128" s="13" t="s">
        <v>504</v>
      </c>
      <c r="FI128" s="644"/>
      <c r="FJ128" s="13"/>
      <c r="FK128" s="644"/>
      <c r="FL128" s="811" t="s">
        <v>504</v>
      </c>
      <c r="FM128" s="644"/>
      <c r="FN128" s="13" t="s">
        <v>504</v>
      </c>
      <c r="FO128" s="644"/>
      <c r="FP128" s="13" t="s">
        <v>504</v>
      </c>
      <c r="FQ128" s="644"/>
      <c r="FR128" s="644"/>
      <c r="FS128" s="644"/>
      <c r="FT128" s="644"/>
      <c r="FU128" s="644"/>
      <c r="FV128" s="644"/>
      <c r="FW128" s="644"/>
      <c r="FX128" s="5" t="s">
        <v>500</v>
      </c>
      <c r="FY128" s="644"/>
      <c r="FZ128" s="644"/>
      <c r="GA128" s="644"/>
      <c r="GB128" s="13" t="s">
        <v>500</v>
      </c>
      <c r="GC128" s="644"/>
      <c r="GD128" s="13" t="s">
        <v>2499</v>
      </c>
      <c r="GE128" s="644"/>
      <c r="GF128" s="5" t="s">
        <v>504</v>
      </c>
      <c r="GG128" s="644"/>
      <c r="GH128" s="13" t="s">
        <v>500</v>
      </c>
      <c r="GI128" s="644"/>
      <c r="GJ128" s="780" t="s">
        <v>471</v>
      </c>
      <c r="GK128" s="644"/>
      <c r="GL128" s="13" t="s">
        <v>504</v>
      </c>
      <c r="GM128" s="644"/>
      <c r="GN128" s="13" t="s">
        <v>504</v>
      </c>
      <c r="GO128" s="644"/>
      <c r="GP128" s="13" t="s">
        <v>504</v>
      </c>
      <c r="GQ128" s="644"/>
      <c r="GR128" s="13"/>
      <c r="GS128" s="644"/>
      <c r="GT128" s="13" t="s">
        <v>504</v>
      </c>
      <c r="GU128" s="644"/>
      <c r="GV128" s="13" t="s">
        <v>504</v>
      </c>
      <c r="GW128" s="644"/>
      <c r="GX128" s="9" t="s">
        <v>504</v>
      </c>
      <c r="GY128" s="644"/>
      <c r="GZ128" s="13" t="s">
        <v>504</v>
      </c>
      <c r="HA128" s="644"/>
      <c r="HB128" s="13" t="s">
        <v>500</v>
      </c>
      <c r="HC128" s="644"/>
      <c r="HD128" s="13"/>
      <c r="HE128" s="644"/>
      <c r="HF128" s="13"/>
      <c r="HG128" s="644"/>
      <c r="HH128" s="13" t="s">
        <v>504</v>
      </c>
      <c r="HI128" s="644"/>
      <c r="HJ128" s="644"/>
      <c r="HK128" s="644"/>
      <c r="HL128" s="9" t="s">
        <v>500</v>
      </c>
      <c r="HM128" s="644"/>
      <c r="HN128" s="5" t="s">
        <v>504</v>
      </c>
      <c r="HO128" s="644"/>
      <c r="HP128" s="13" t="s">
        <v>504</v>
      </c>
      <c r="HQ128" s="644"/>
      <c r="HR128" s="780" t="s">
        <v>504</v>
      </c>
      <c r="HS128" s="644"/>
      <c r="HT128" s="711" t="s">
        <v>504</v>
      </c>
      <c r="HU128" s="644"/>
      <c r="HV128" s="13" t="s">
        <v>504</v>
      </c>
      <c r="HW128" s="644"/>
      <c r="HX128" s="13" t="s">
        <v>504</v>
      </c>
      <c r="HY128" s="644"/>
      <c r="HZ128" s="13" t="s">
        <v>504</v>
      </c>
      <c r="IA128" s="644"/>
      <c r="IB128" s="644"/>
      <c r="IC128" s="644"/>
      <c r="ID128" s="13" t="s">
        <v>504</v>
      </c>
      <c r="IE128" s="644"/>
      <c r="IF128" s="13" t="s">
        <v>504</v>
      </c>
      <c r="IG128" s="738"/>
      <c r="IH128" s="9" t="s">
        <v>500</v>
      </c>
      <c r="II128" s="644"/>
      <c r="IJ128" s="644"/>
      <c r="IK128" s="644"/>
      <c r="IL128" s="711" t="s">
        <v>504</v>
      </c>
      <c r="IM128" s="644"/>
      <c r="IN128" s="712" t="s">
        <v>504</v>
      </c>
      <c r="IO128" s="644"/>
      <c r="IP128" s="5" t="s">
        <v>500</v>
      </c>
      <c r="IQ128" s="644"/>
      <c r="IR128" s="5" t="s">
        <v>768</v>
      </c>
      <c r="IS128" s="644"/>
      <c r="IT128" s="13" t="s">
        <v>504</v>
      </c>
      <c r="IU128" s="644"/>
      <c r="IV128" s="13" t="s">
        <v>504</v>
      </c>
      <c r="IW128" s="644"/>
      <c r="IX128" s="710"/>
      <c r="IY128" s="644"/>
      <c r="IZ128" s="13" t="s">
        <v>656</v>
      </c>
      <c r="JA128" s="644"/>
      <c r="JB128" s="13"/>
      <c r="JC128" s="644"/>
      <c r="JD128" s="13" t="s">
        <v>479</v>
      </c>
      <c r="JE128" s="644"/>
      <c r="JF128" s="644"/>
      <c r="JG128" s="644"/>
      <c r="JH128" s="13"/>
      <c r="JI128" s="644"/>
      <c r="JJ128" s="644"/>
      <c r="JK128" s="644"/>
      <c r="JL128" s="644"/>
      <c r="JM128" s="644"/>
      <c r="JN128" s="13" t="s">
        <v>504</v>
      </c>
      <c r="JO128" s="644"/>
      <c r="JP128" s="644"/>
      <c r="JQ128" s="644"/>
      <c r="JR128" s="713" t="s">
        <v>500</v>
      </c>
      <c r="JS128" s="644"/>
      <c r="JT128" s="13" t="s">
        <v>504</v>
      </c>
      <c r="JU128" s="644"/>
      <c r="JV128" s="13"/>
      <c r="JW128" s="644"/>
      <c r="JX128" s="13" t="s">
        <v>500</v>
      </c>
      <c r="JY128" s="644"/>
    </row>
    <row r="129" spans="1:285" ht="165.95" customHeight="1" x14ac:dyDescent="0.2">
      <c r="A129" s="1565"/>
      <c r="B129" s="1567"/>
      <c r="C129" s="1545"/>
      <c r="D129" s="1548"/>
      <c r="E129" s="755" t="s">
        <v>172</v>
      </c>
      <c r="F129" s="13" t="s">
        <v>1656</v>
      </c>
      <c r="G129" s="738"/>
      <c r="H129" s="13" t="s">
        <v>465</v>
      </c>
      <c r="I129" s="644"/>
      <c r="J129" s="13" t="s">
        <v>465</v>
      </c>
      <c r="K129" s="644"/>
      <c r="L129" s="9" t="s">
        <v>465</v>
      </c>
      <c r="M129" s="644"/>
      <c r="N129" s="808" t="s">
        <v>465</v>
      </c>
      <c r="O129" s="644"/>
      <c r="P129" s="709" t="s">
        <v>465</v>
      </c>
      <c r="Q129" s="644"/>
      <c r="R129" s="13"/>
      <c r="S129" s="644"/>
      <c r="T129" s="644"/>
      <c r="U129" s="644"/>
      <c r="V129" s="644"/>
      <c r="W129" s="644"/>
      <c r="X129" s="644"/>
      <c r="Y129" s="644"/>
      <c r="Z129" s="13" t="s">
        <v>2308</v>
      </c>
      <c r="AA129" s="644"/>
      <c r="AB129" s="5" t="s">
        <v>465</v>
      </c>
      <c r="AC129" s="644"/>
      <c r="AD129" s="5" t="s">
        <v>465</v>
      </c>
      <c r="AE129" s="644"/>
      <c r="AF129" s="644"/>
      <c r="AG129" s="644"/>
      <c r="AH129" s="644"/>
      <c r="AI129" s="644"/>
      <c r="AJ129" s="709"/>
      <c r="AK129" s="644"/>
      <c r="AL129" s="13"/>
      <c r="AM129" s="644"/>
      <c r="AN129" s="13"/>
      <c r="AO129" s="644"/>
      <c r="AP129" s="13"/>
      <c r="AQ129" s="644"/>
      <c r="AR129" s="13"/>
      <c r="AS129" s="644"/>
      <c r="AT129" s="13"/>
      <c r="AU129" s="644"/>
      <c r="AV129" s="757" t="s">
        <v>582</v>
      </c>
      <c r="AW129" s="644"/>
      <c r="AX129" s="13"/>
      <c r="AY129" s="644"/>
      <c r="AZ129" s="13"/>
      <c r="BA129" s="644"/>
      <c r="BB129" s="644"/>
      <c r="BC129" s="644"/>
      <c r="BD129" s="5"/>
      <c r="BE129" s="644"/>
      <c r="BF129" s="13"/>
      <c r="BG129" s="644"/>
      <c r="BH129" s="644"/>
      <c r="BI129" s="644"/>
      <c r="BJ129" s="13"/>
      <c r="BK129" s="644"/>
      <c r="BL129" s="13"/>
      <c r="BM129" s="644"/>
      <c r="BN129" s="13"/>
      <c r="BO129" s="644"/>
      <c r="BP129" s="13"/>
      <c r="BQ129" s="644"/>
      <c r="BR129" s="13" t="s">
        <v>971</v>
      </c>
      <c r="BS129" s="644"/>
      <c r="BT129" s="13"/>
      <c r="BU129" s="644"/>
      <c r="BV129" s="13"/>
      <c r="BW129" s="644"/>
      <c r="BX129" s="710"/>
      <c r="BY129" s="644"/>
      <c r="BZ129" s="710"/>
      <c r="CA129" s="644"/>
      <c r="CB129" s="13"/>
      <c r="CC129" s="644"/>
      <c r="CD129" s="644"/>
      <c r="CE129" s="644"/>
      <c r="CF129" s="644"/>
      <c r="CG129" s="644"/>
      <c r="CH129" s="632" t="s">
        <v>465</v>
      </c>
      <c r="CI129" s="13"/>
      <c r="CJ129" s="9" t="s">
        <v>465</v>
      </c>
      <c r="CK129" s="13"/>
      <c r="CL129" s="13" t="s">
        <v>504</v>
      </c>
      <c r="CM129" s="644"/>
      <c r="CN129" s="13"/>
      <c r="CO129" s="644"/>
      <c r="CP129" s="13"/>
      <c r="CQ129" s="644"/>
      <c r="CR129" s="13"/>
      <c r="CS129" s="644"/>
      <c r="CT129" s="13"/>
      <c r="CU129" s="644"/>
      <c r="CV129" s="13" t="s">
        <v>465</v>
      </c>
      <c r="CW129" s="644"/>
      <c r="CX129" s="13" t="s">
        <v>465</v>
      </c>
      <c r="CY129" s="644"/>
      <c r="CZ129" s="9" t="s">
        <v>465</v>
      </c>
      <c r="DA129" s="644"/>
      <c r="DB129" s="13" t="s">
        <v>465</v>
      </c>
      <c r="DC129" s="644"/>
      <c r="DD129" s="5" t="s">
        <v>465</v>
      </c>
      <c r="DE129" s="644"/>
      <c r="DF129" s="644"/>
      <c r="DG129" s="644"/>
      <c r="DH129" s="23"/>
      <c r="DI129" s="644"/>
      <c r="DJ129" s="809"/>
      <c r="DK129" s="644"/>
      <c r="DL129" s="644"/>
      <c r="DM129" s="644"/>
      <c r="DN129" s="13" t="s">
        <v>1150</v>
      </c>
      <c r="DO129" s="644"/>
      <c r="DP129" s="644"/>
      <c r="DQ129" s="644"/>
      <c r="DR129" s="644"/>
      <c r="DS129" s="644"/>
      <c r="DT129" s="644"/>
      <c r="DU129" s="644"/>
      <c r="DV129" s="9" t="s">
        <v>465</v>
      </c>
      <c r="DW129" s="644"/>
      <c r="DX129" s="9" t="s">
        <v>465</v>
      </c>
      <c r="DY129" s="644"/>
      <c r="DZ129" s="5" t="s">
        <v>465</v>
      </c>
      <c r="EA129" s="644"/>
      <c r="EB129" s="644"/>
      <c r="EC129" s="644"/>
      <c r="ED129" s="644"/>
      <c r="EE129" s="644"/>
      <c r="EF129" s="13" t="s">
        <v>504</v>
      </c>
      <c r="EG129" s="644"/>
      <c r="EH129" s="759" t="s">
        <v>806</v>
      </c>
      <c r="EI129" s="644"/>
      <c r="EJ129" s="644"/>
      <c r="EK129" s="644"/>
      <c r="EL129" s="644"/>
      <c r="EM129" s="644"/>
      <c r="EN129" s="13" t="s">
        <v>480</v>
      </c>
      <c r="EO129" s="644"/>
      <c r="EP129" s="13" t="s">
        <v>1213</v>
      </c>
      <c r="EQ129" s="644"/>
      <c r="ER129" s="644"/>
      <c r="ES129" s="644"/>
      <c r="ET129" s="9" t="s">
        <v>465</v>
      </c>
      <c r="EU129" s="644"/>
      <c r="EV129" s="13" t="s">
        <v>1472</v>
      </c>
      <c r="EW129" s="644"/>
      <c r="EX129" s="13"/>
      <c r="EY129" s="644"/>
      <c r="EZ129" s="13"/>
      <c r="FA129" s="644"/>
      <c r="FB129" s="13"/>
      <c r="FC129" s="644"/>
      <c r="FD129" s="13" t="s">
        <v>465</v>
      </c>
      <c r="FE129" s="644"/>
      <c r="FF129" s="13" t="s">
        <v>465</v>
      </c>
      <c r="FG129" s="644"/>
      <c r="FH129" s="13"/>
      <c r="FI129" s="644"/>
      <c r="FJ129" s="13"/>
      <c r="FK129" s="644"/>
      <c r="FL129" s="811" t="s">
        <v>504</v>
      </c>
      <c r="FM129" s="644"/>
      <c r="FN129" s="13"/>
      <c r="FO129" s="644"/>
      <c r="FP129" s="13"/>
      <c r="FQ129" s="644"/>
      <c r="FR129" s="644"/>
      <c r="FS129" s="644"/>
      <c r="FT129" s="644"/>
      <c r="FU129" s="644"/>
      <c r="FV129" s="644"/>
      <c r="FW129" s="644"/>
      <c r="FX129" s="5" t="s">
        <v>1880</v>
      </c>
      <c r="FY129" s="644"/>
      <c r="FZ129" s="644"/>
      <c r="GA129" s="644"/>
      <c r="GB129" s="5" t="s">
        <v>1638</v>
      </c>
      <c r="GC129" s="644"/>
      <c r="GD129" s="13" t="s">
        <v>2499</v>
      </c>
      <c r="GE129" s="644"/>
      <c r="GF129" s="5" t="s">
        <v>504</v>
      </c>
      <c r="GG129" s="644"/>
      <c r="GH129" s="13" t="s">
        <v>2019</v>
      </c>
      <c r="GI129" s="644"/>
      <c r="GJ129" s="760" t="s">
        <v>1689</v>
      </c>
      <c r="GK129" s="644"/>
      <c r="GL129" s="13"/>
      <c r="GM129" s="644"/>
      <c r="GN129" s="13"/>
      <c r="GO129" s="644"/>
      <c r="GP129" s="13"/>
      <c r="GQ129" s="644"/>
      <c r="GR129" s="13"/>
      <c r="GS129" s="644"/>
      <c r="GT129" s="13"/>
      <c r="GU129" s="644"/>
      <c r="GV129" s="13"/>
      <c r="GW129" s="644"/>
      <c r="GX129" s="13"/>
      <c r="GY129" s="644"/>
      <c r="GZ129" s="13"/>
      <c r="HA129" s="644"/>
      <c r="HB129" s="13" t="s">
        <v>1810</v>
      </c>
      <c r="HC129" s="644"/>
      <c r="HD129" s="13"/>
      <c r="HE129" s="644"/>
      <c r="HF129" s="13"/>
      <c r="HG129" s="644"/>
      <c r="HH129" s="13" t="s">
        <v>465</v>
      </c>
      <c r="HI129" s="644"/>
      <c r="HJ129" s="644"/>
      <c r="HK129" s="644"/>
      <c r="HL129" s="5" t="s">
        <v>1761</v>
      </c>
      <c r="HM129" s="644"/>
      <c r="HN129" s="5" t="s">
        <v>465</v>
      </c>
      <c r="HO129" s="644"/>
      <c r="HP129" s="13"/>
      <c r="HQ129" s="644"/>
      <c r="HR129" s="13"/>
      <c r="HS129" s="644"/>
      <c r="HT129" s="734" t="s">
        <v>702</v>
      </c>
      <c r="HU129" s="644"/>
      <c r="HV129" s="13"/>
      <c r="HW129" s="644"/>
      <c r="HX129" s="13"/>
      <c r="HY129" s="644"/>
      <c r="HZ129" s="13"/>
      <c r="IA129" s="644"/>
      <c r="IB129" s="644"/>
      <c r="IC129" s="644"/>
      <c r="ID129" s="13"/>
      <c r="IE129" s="644"/>
      <c r="IF129" s="13"/>
      <c r="IG129" s="738"/>
      <c r="IH129" s="9" t="s">
        <v>1333</v>
      </c>
      <c r="II129" s="644"/>
      <c r="IJ129" s="644"/>
      <c r="IK129" s="644"/>
      <c r="IL129" s="711" t="s">
        <v>465</v>
      </c>
      <c r="IM129" s="644"/>
      <c r="IN129" s="712" t="s">
        <v>465</v>
      </c>
      <c r="IO129" s="644"/>
      <c r="IP129" s="5" t="s">
        <v>751</v>
      </c>
      <c r="IQ129" s="644"/>
      <c r="IR129" s="5" t="s">
        <v>769</v>
      </c>
      <c r="IS129" s="644"/>
      <c r="IT129" s="13" t="s">
        <v>701</v>
      </c>
      <c r="IU129" s="644"/>
      <c r="IV129" s="13" t="s">
        <v>504</v>
      </c>
      <c r="IW129" s="644"/>
      <c r="IX129" s="737"/>
      <c r="IY129" s="644"/>
      <c r="IZ129" s="13" t="s">
        <v>1383</v>
      </c>
      <c r="JA129" s="644"/>
      <c r="JB129" s="13"/>
      <c r="JC129" s="644"/>
      <c r="JD129" s="13" t="s">
        <v>465</v>
      </c>
      <c r="JE129" s="644"/>
      <c r="JF129" s="644"/>
      <c r="JG129" s="644"/>
      <c r="JH129" s="13"/>
      <c r="JI129" s="644"/>
      <c r="JJ129" s="644"/>
      <c r="JK129" s="644"/>
      <c r="JL129" s="644"/>
      <c r="JM129" s="644"/>
      <c r="JN129" s="13" t="s">
        <v>504</v>
      </c>
      <c r="JO129" s="644"/>
      <c r="JP129" s="644"/>
      <c r="JQ129" s="644"/>
      <c r="JR129" s="713" t="s">
        <v>1055</v>
      </c>
      <c r="JS129" s="644"/>
      <c r="JT129" s="13" t="s">
        <v>465</v>
      </c>
      <c r="JU129" s="644"/>
      <c r="JV129" s="13"/>
      <c r="JW129" s="644"/>
      <c r="JX129" s="13" t="s">
        <v>720</v>
      </c>
      <c r="JY129" s="644"/>
    </row>
    <row r="130" spans="1:285" ht="24.75" customHeight="1" thickBot="1" x14ac:dyDescent="0.25">
      <c r="A130" s="1565"/>
      <c r="B130" s="1567"/>
      <c r="C130" s="1546"/>
      <c r="D130" s="1549"/>
      <c r="E130" s="755" t="s">
        <v>174</v>
      </c>
      <c r="F130" s="13">
        <v>13</v>
      </c>
      <c r="G130" s="738"/>
      <c r="H130" s="13" t="s">
        <v>465</v>
      </c>
      <c r="I130" s="644"/>
      <c r="J130" s="13" t="s">
        <v>465</v>
      </c>
      <c r="K130" s="644"/>
      <c r="L130" s="9" t="s">
        <v>465</v>
      </c>
      <c r="M130" s="644"/>
      <c r="N130" s="808" t="s">
        <v>465</v>
      </c>
      <c r="O130" s="644"/>
      <c r="P130" s="709" t="s">
        <v>465</v>
      </c>
      <c r="Q130" s="644"/>
      <c r="R130" s="13"/>
      <c r="S130" s="644"/>
      <c r="T130" s="644"/>
      <c r="U130" s="644"/>
      <c r="V130" s="644"/>
      <c r="W130" s="644"/>
      <c r="X130" s="644"/>
      <c r="Y130" s="644"/>
      <c r="Z130" s="13">
        <v>14</v>
      </c>
      <c r="AA130" s="644"/>
      <c r="AB130" s="703" t="s">
        <v>465</v>
      </c>
      <c r="AC130" s="644"/>
      <c r="AD130" s="5" t="s">
        <v>465</v>
      </c>
      <c r="AE130" s="644"/>
      <c r="AF130" s="644"/>
      <c r="AG130" s="644"/>
      <c r="AH130" s="644"/>
      <c r="AI130" s="644"/>
      <c r="AJ130" s="709"/>
      <c r="AK130" s="644"/>
      <c r="AL130" s="13"/>
      <c r="AM130" s="644"/>
      <c r="AN130" s="13"/>
      <c r="AO130" s="644"/>
      <c r="AP130" s="13"/>
      <c r="AQ130" s="644"/>
      <c r="AR130" s="13"/>
      <c r="AS130" s="644"/>
      <c r="AT130" s="13"/>
      <c r="AU130" s="644"/>
      <c r="AV130" s="808">
        <v>14</v>
      </c>
      <c r="AW130" s="644"/>
      <c r="AX130" s="13"/>
      <c r="AY130" s="644"/>
      <c r="AZ130" s="13"/>
      <c r="BA130" s="644"/>
      <c r="BB130" s="644"/>
      <c r="BC130" s="644"/>
      <c r="BD130" s="5"/>
      <c r="BE130" s="644"/>
      <c r="BF130" s="13"/>
      <c r="BG130" s="644"/>
      <c r="BH130" s="644"/>
      <c r="BI130" s="644"/>
      <c r="BJ130" s="13"/>
      <c r="BK130" s="644"/>
      <c r="BL130" s="13"/>
      <c r="BM130" s="644"/>
      <c r="BN130" s="13"/>
      <c r="BO130" s="644"/>
      <c r="BP130" s="13"/>
      <c r="BQ130" s="644"/>
      <c r="BR130" s="13"/>
      <c r="BS130" s="644"/>
      <c r="BT130" s="13"/>
      <c r="BU130" s="644"/>
      <c r="BV130" s="13"/>
      <c r="BW130" s="644"/>
      <c r="BX130" s="710"/>
      <c r="BY130" s="644"/>
      <c r="BZ130" s="710"/>
      <c r="CA130" s="644"/>
      <c r="CB130" s="13"/>
      <c r="CC130" s="644"/>
      <c r="CD130" s="644"/>
      <c r="CE130" s="644"/>
      <c r="CF130" s="644"/>
      <c r="CG130" s="644"/>
      <c r="CH130" s="710" t="s">
        <v>465</v>
      </c>
      <c r="CI130" s="13"/>
      <c r="CJ130" s="13" t="s">
        <v>465</v>
      </c>
      <c r="CK130" s="13"/>
      <c r="CL130" s="13" t="s">
        <v>504</v>
      </c>
      <c r="CM130" s="644"/>
      <c r="CN130" s="13"/>
      <c r="CO130" s="644"/>
      <c r="CP130" s="13"/>
      <c r="CQ130" s="644"/>
      <c r="CR130" s="13"/>
      <c r="CS130" s="644"/>
      <c r="CT130" s="13"/>
      <c r="CU130" s="644"/>
      <c r="CV130" s="13" t="s">
        <v>465</v>
      </c>
      <c r="CW130" s="644"/>
      <c r="CX130" s="13" t="s">
        <v>465</v>
      </c>
      <c r="CY130" s="644"/>
      <c r="CZ130" s="13" t="s">
        <v>465</v>
      </c>
      <c r="DA130" s="644"/>
      <c r="DB130" s="13" t="s">
        <v>465</v>
      </c>
      <c r="DC130" s="644"/>
      <c r="DD130" s="5" t="s">
        <v>465</v>
      </c>
      <c r="DE130" s="644"/>
      <c r="DF130" s="644"/>
      <c r="DG130" s="644"/>
      <c r="DH130" s="703"/>
      <c r="DI130" s="644"/>
      <c r="DJ130" s="809"/>
      <c r="DK130" s="644"/>
      <c r="DL130" s="644"/>
      <c r="DM130" s="644"/>
      <c r="DN130" s="13" t="s">
        <v>1151</v>
      </c>
      <c r="DO130" s="644"/>
      <c r="DP130" s="644"/>
      <c r="DQ130" s="644"/>
      <c r="DR130" s="644"/>
      <c r="DS130" s="644"/>
      <c r="DT130" s="644"/>
      <c r="DU130" s="644"/>
      <c r="DV130" s="13" t="s">
        <v>465</v>
      </c>
      <c r="DW130" s="644"/>
      <c r="DX130" s="13" t="s">
        <v>465</v>
      </c>
      <c r="DY130" s="644"/>
      <c r="DZ130" s="703" t="s">
        <v>465</v>
      </c>
      <c r="EA130" s="644"/>
      <c r="EB130" s="644"/>
      <c r="EC130" s="644"/>
      <c r="ED130" s="644"/>
      <c r="EE130" s="644"/>
      <c r="EF130" s="13" t="s">
        <v>504</v>
      </c>
      <c r="EG130" s="644"/>
      <c r="EH130" s="810" t="s">
        <v>806</v>
      </c>
      <c r="EI130" s="644"/>
      <c r="EJ130" s="644"/>
      <c r="EK130" s="644"/>
      <c r="EL130" s="644"/>
      <c r="EM130" s="644"/>
      <c r="EN130" s="13">
        <v>13</v>
      </c>
      <c r="EO130" s="644"/>
      <c r="EP130" s="13">
        <v>11</v>
      </c>
      <c r="EQ130" s="644"/>
      <c r="ER130" s="644"/>
      <c r="ES130" s="644"/>
      <c r="ET130" s="13" t="s">
        <v>465</v>
      </c>
      <c r="EU130" s="644"/>
      <c r="EV130" s="13">
        <v>10</v>
      </c>
      <c r="EW130" s="644"/>
      <c r="EX130" s="13"/>
      <c r="EY130" s="644"/>
      <c r="EZ130" s="13"/>
      <c r="FA130" s="644"/>
      <c r="FB130" s="13"/>
      <c r="FC130" s="644"/>
      <c r="FD130" s="13" t="s">
        <v>465</v>
      </c>
      <c r="FE130" s="644"/>
      <c r="FF130" s="13" t="s">
        <v>465</v>
      </c>
      <c r="FG130" s="644"/>
      <c r="FH130" s="13"/>
      <c r="FI130" s="644"/>
      <c r="FJ130" s="13"/>
      <c r="FK130" s="644"/>
      <c r="FL130" s="811">
        <v>0</v>
      </c>
      <c r="FM130" s="644"/>
      <c r="FN130" s="13"/>
      <c r="FO130" s="644"/>
      <c r="FP130" s="13"/>
      <c r="FQ130" s="644"/>
      <c r="FR130" s="644"/>
      <c r="FS130" s="644"/>
      <c r="FT130" s="644"/>
      <c r="FU130" s="644"/>
      <c r="FV130" s="644"/>
      <c r="FW130" s="644"/>
      <c r="FX130" s="5">
        <v>11</v>
      </c>
      <c r="FY130" s="644"/>
      <c r="FZ130" s="644"/>
      <c r="GA130" s="644"/>
      <c r="GB130" s="703">
        <v>7</v>
      </c>
      <c r="GC130" s="644"/>
      <c r="GD130" s="13" t="s">
        <v>2499</v>
      </c>
      <c r="GE130" s="644"/>
      <c r="GF130" s="5" t="s">
        <v>504</v>
      </c>
      <c r="GG130" s="644"/>
      <c r="GH130" s="13">
        <v>8</v>
      </c>
      <c r="GI130" s="644"/>
      <c r="GJ130" s="825">
        <v>24</v>
      </c>
      <c r="GK130" s="644"/>
      <c r="GL130" s="13"/>
      <c r="GM130" s="644"/>
      <c r="GN130" s="13"/>
      <c r="GO130" s="644"/>
      <c r="GP130" s="13"/>
      <c r="GQ130" s="644"/>
      <c r="GR130" s="13"/>
      <c r="GS130" s="644"/>
      <c r="GT130" s="13"/>
      <c r="GU130" s="644"/>
      <c r="GV130" s="13"/>
      <c r="GW130" s="644"/>
      <c r="GX130" s="13"/>
      <c r="GY130" s="644"/>
      <c r="GZ130" s="13"/>
      <c r="HA130" s="644"/>
      <c r="HB130" s="13" t="s">
        <v>1811</v>
      </c>
      <c r="HC130" s="644"/>
      <c r="HD130" s="13"/>
      <c r="HE130" s="644"/>
      <c r="HF130" s="13"/>
      <c r="HG130" s="644"/>
      <c r="HH130" s="13" t="s">
        <v>465</v>
      </c>
      <c r="HI130" s="644"/>
      <c r="HJ130" s="644"/>
      <c r="HK130" s="644"/>
      <c r="HL130" s="13">
        <v>7</v>
      </c>
      <c r="HM130" s="644"/>
      <c r="HN130" s="703" t="s">
        <v>465</v>
      </c>
      <c r="HO130" s="644"/>
      <c r="HP130" s="13"/>
      <c r="HQ130" s="644"/>
      <c r="HR130" s="13"/>
      <c r="HS130" s="644"/>
      <c r="HT130" s="734" t="s">
        <v>702</v>
      </c>
      <c r="HU130" s="644"/>
      <c r="HV130" s="13"/>
      <c r="HW130" s="644"/>
      <c r="HX130" s="13"/>
      <c r="HY130" s="644"/>
      <c r="HZ130" s="13"/>
      <c r="IA130" s="644"/>
      <c r="IB130" s="644"/>
      <c r="IC130" s="644"/>
      <c r="ID130" s="13"/>
      <c r="IE130" s="644"/>
      <c r="IF130" s="13"/>
      <c r="IG130" s="738"/>
      <c r="IH130" s="13">
        <v>16</v>
      </c>
      <c r="II130" s="644"/>
      <c r="IJ130" s="644"/>
      <c r="IK130" s="644"/>
      <c r="IL130" s="711" t="s">
        <v>465</v>
      </c>
      <c r="IM130" s="644"/>
      <c r="IN130" s="712" t="s">
        <v>465</v>
      </c>
      <c r="IO130" s="644"/>
      <c r="IP130" s="703">
        <v>22</v>
      </c>
      <c r="IQ130" s="644"/>
      <c r="IR130" s="703">
        <v>14</v>
      </c>
      <c r="IS130" s="644"/>
      <c r="IT130" s="13" t="s">
        <v>701</v>
      </c>
      <c r="IU130" s="644"/>
      <c r="IV130" s="13" t="s">
        <v>504</v>
      </c>
      <c r="IW130" s="644"/>
      <c r="IX130" s="710" t="s">
        <v>1104</v>
      </c>
      <c r="IY130" s="644"/>
      <c r="IZ130" s="13">
        <v>15</v>
      </c>
      <c r="JA130" s="644"/>
      <c r="JB130" s="13"/>
      <c r="JC130" s="644"/>
      <c r="JD130" s="13" t="s">
        <v>465</v>
      </c>
      <c r="JE130" s="644"/>
      <c r="JF130" s="644"/>
      <c r="JG130" s="644"/>
      <c r="JH130" s="13"/>
      <c r="JI130" s="644"/>
      <c r="JJ130" s="644"/>
      <c r="JK130" s="644"/>
      <c r="JL130" s="644"/>
      <c r="JM130" s="644"/>
      <c r="JN130" s="13">
        <v>0</v>
      </c>
      <c r="JO130" s="644"/>
      <c r="JP130" s="644"/>
      <c r="JQ130" s="644"/>
      <c r="JR130" s="713">
        <v>15</v>
      </c>
      <c r="JS130" s="644"/>
      <c r="JT130" s="13" t="s">
        <v>465</v>
      </c>
      <c r="JU130" s="644"/>
      <c r="JV130" s="13"/>
      <c r="JW130" s="644"/>
      <c r="JX130" s="13">
        <v>36</v>
      </c>
      <c r="JY130" s="644"/>
    </row>
    <row r="131" spans="1:285" ht="204.95" customHeight="1" x14ac:dyDescent="0.2">
      <c r="A131" s="1565"/>
      <c r="B131" s="1567"/>
      <c r="C131" s="1544" t="s">
        <v>246</v>
      </c>
      <c r="D131" s="1547" t="s">
        <v>146</v>
      </c>
      <c r="E131" s="755" t="s">
        <v>171</v>
      </c>
      <c r="F131" s="9" t="s">
        <v>504</v>
      </c>
      <c r="G131" s="738"/>
      <c r="H131" s="9" t="s">
        <v>504</v>
      </c>
      <c r="I131" s="644"/>
      <c r="J131" s="9" t="s">
        <v>504</v>
      </c>
      <c r="K131" s="644"/>
      <c r="L131" s="9" t="s">
        <v>465</v>
      </c>
      <c r="M131" s="644"/>
      <c r="N131" s="757" t="s">
        <v>479</v>
      </c>
      <c r="O131" s="644"/>
      <c r="P131" s="84" t="s">
        <v>500</v>
      </c>
      <c r="Q131" s="644"/>
      <c r="R131" s="9"/>
      <c r="S131" s="644"/>
      <c r="T131" s="644"/>
      <c r="U131" s="644"/>
      <c r="V131" s="644"/>
      <c r="W131" s="644"/>
      <c r="X131" s="644"/>
      <c r="Y131" s="644"/>
      <c r="Z131" s="5" t="s">
        <v>471</v>
      </c>
      <c r="AA131" s="644"/>
      <c r="AB131" s="5" t="s">
        <v>2307</v>
      </c>
      <c r="AC131" s="644"/>
      <c r="AD131" s="5" t="s">
        <v>479</v>
      </c>
      <c r="AE131" s="644"/>
      <c r="AF131" s="644"/>
      <c r="AG131" s="644"/>
      <c r="AH131" s="644"/>
      <c r="AI131" s="644"/>
      <c r="AJ131" s="84" t="s">
        <v>504</v>
      </c>
      <c r="AK131" s="644"/>
      <c r="AL131" s="9"/>
      <c r="AM131" s="644"/>
      <c r="AN131" s="9"/>
      <c r="AO131" s="644"/>
      <c r="AP131" s="9"/>
      <c r="AQ131" s="644"/>
      <c r="AR131" s="9" t="s">
        <v>504</v>
      </c>
      <c r="AS131" s="644"/>
      <c r="AT131" s="9"/>
      <c r="AU131" s="644"/>
      <c r="AV131" s="757"/>
      <c r="AW131" s="644"/>
      <c r="AX131" s="5" t="s">
        <v>545</v>
      </c>
      <c r="AY131" s="644"/>
      <c r="AZ131" s="5" t="s">
        <v>500</v>
      </c>
      <c r="BA131" s="644"/>
      <c r="BB131" s="644"/>
      <c r="BC131" s="644"/>
      <c r="BD131" s="5"/>
      <c r="BE131" s="644"/>
      <c r="BF131" s="9"/>
      <c r="BG131" s="644"/>
      <c r="BH131" s="644"/>
      <c r="BI131" s="644"/>
      <c r="BJ131" s="9" t="s">
        <v>504</v>
      </c>
      <c r="BK131" s="644"/>
      <c r="BL131" s="9" t="s">
        <v>504</v>
      </c>
      <c r="BM131" s="644"/>
      <c r="BN131" s="9" t="s">
        <v>504</v>
      </c>
      <c r="BO131" s="644"/>
      <c r="BP131" s="632" t="s">
        <v>1977</v>
      </c>
      <c r="BQ131" s="644"/>
      <c r="BR131" s="9" t="s">
        <v>504</v>
      </c>
      <c r="BS131" s="644"/>
      <c r="BT131" s="9"/>
      <c r="BU131" s="644"/>
      <c r="BV131" s="9" t="s">
        <v>504</v>
      </c>
      <c r="BW131" s="644"/>
      <c r="BX131" s="632" t="s">
        <v>504</v>
      </c>
      <c r="BY131" s="644"/>
      <c r="BZ131" s="632"/>
      <c r="CA131" s="644"/>
      <c r="CB131" s="9" t="s">
        <v>504</v>
      </c>
      <c r="CC131" s="644"/>
      <c r="CD131" s="644"/>
      <c r="CE131" s="644"/>
      <c r="CF131" s="644"/>
      <c r="CG131" s="644"/>
      <c r="CH131" s="632" t="s">
        <v>504</v>
      </c>
      <c r="CI131" s="9"/>
      <c r="CJ131" s="9" t="s">
        <v>504</v>
      </c>
      <c r="CK131" s="9"/>
      <c r="CL131" s="9" t="s">
        <v>504</v>
      </c>
      <c r="CM131" s="644"/>
      <c r="CN131" s="9"/>
      <c r="CO131" s="644"/>
      <c r="CP131" s="9" t="s">
        <v>504</v>
      </c>
      <c r="CQ131" s="644"/>
      <c r="CR131" s="9" t="s">
        <v>504</v>
      </c>
      <c r="CS131" s="644"/>
      <c r="CT131" s="9"/>
      <c r="CU131" s="644"/>
      <c r="CV131" s="9" t="s">
        <v>504</v>
      </c>
      <c r="CW131" s="644"/>
      <c r="CX131" s="9" t="s">
        <v>504</v>
      </c>
      <c r="CY131" s="644"/>
      <c r="CZ131" s="9" t="s">
        <v>504</v>
      </c>
      <c r="DA131" s="644"/>
      <c r="DB131" s="9" t="s">
        <v>504</v>
      </c>
      <c r="DC131" s="644"/>
      <c r="DD131" s="5" t="s">
        <v>504</v>
      </c>
      <c r="DE131" s="644"/>
      <c r="DF131" s="644"/>
      <c r="DG131" s="644"/>
      <c r="DH131" s="9"/>
      <c r="DI131" s="644"/>
      <c r="DJ131" s="758" t="s">
        <v>504</v>
      </c>
      <c r="DK131" s="644"/>
      <c r="DL131" s="644"/>
      <c r="DM131" s="644"/>
      <c r="DN131" s="9" t="s">
        <v>504</v>
      </c>
      <c r="DO131" s="644"/>
      <c r="DP131" s="644"/>
      <c r="DQ131" s="644"/>
      <c r="DR131" s="644"/>
      <c r="DS131" s="644"/>
      <c r="DT131" s="644"/>
      <c r="DU131" s="644"/>
      <c r="DV131" s="9" t="s">
        <v>504</v>
      </c>
      <c r="DW131" s="644"/>
      <c r="DX131" s="9" t="s">
        <v>504</v>
      </c>
      <c r="DY131" s="644"/>
      <c r="DZ131" s="5" t="s">
        <v>504</v>
      </c>
      <c r="EA131" s="644"/>
      <c r="EB131" s="644"/>
      <c r="EC131" s="644"/>
      <c r="ED131" s="644"/>
      <c r="EE131" s="644"/>
      <c r="EF131" s="9" t="s">
        <v>500</v>
      </c>
      <c r="EG131" s="644"/>
      <c r="EH131" s="759" t="s">
        <v>504</v>
      </c>
      <c r="EI131" s="644"/>
      <c r="EJ131" s="644"/>
      <c r="EK131" s="644"/>
      <c r="EL131" s="644"/>
      <c r="EM131" s="644"/>
      <c r="EN131" s="9" t="s">
        <v>504</v>
      </c>
      <c r="EO131" s="644"/>
      <c r="EP131" s="9" t="s">
        <v>504</v>
      </c>
      <c r="EQ131" s="644"/>
      <c r="ER131" s="644"/>
      <c r="ES131" s="644"/>
      <c r="ET131" s="9" t="s">
        <v>504</v>
      </c>
      <c r="EU131" s="644"/>
      <c r="EV131" s="9" t="s">
        <v>504</v>
      </c>
      <c r="EW131" s="644"/>
      <c r="EX131" s="9" t="s">
        <v>504</v>
      </c>
      <c r="EY131" s="644"/>
      <c r="EZ131" s="9"/>
      <c r="FA131" s="644"/>
      <c r="FB131" s="9"/>
      <c r="FC131" s="644"/>
      <c r="FD131" s="9" t="s">
        <v>504</v>
      </c>
      <c r="FE131" s="644"/>
      <c r="FF131" s="9" t="s">
        <v>504</v>
      </c>
      <c r="FG131" s="644"/>
      <c r="FH131" s="9" t="s">
        <v>504</v>
      </c>
      <c r="FI131" s="644"/>
      <c r="FJ131" s="9"/>
      <c r="FK131" s="644"/>
      <c r="FL131" s="811" t="s">
        <v>504</v>
      </c>
      <c r="FM131" s="644"/>
      <c r="FN131" s="9" t="s">
        <v>504</v>
      </c>
      <c r="FO131" s="644"/>
      <c r="FP131" s="9" t="s">
        <v>500</v>
      </c>
      <c r="FQ131" s="644"/>
      <c r="FR131" s="644"/>
      <c r="FS131" s="644"/>
      <c r="FT131" s="644"/>
      <c r="FU131" s="644"/>
      <c r="FV131" s="644"/>
      <c r="FW131" s="644"/>
      <c r="FX131" s="5" t="s">
        <v>504</v>
      </c>
      <c r="FY131" s="644"/>
      <c r="FZ131" s="644"/>
      <c r="GA131" s="644"/>
      <c r="GB131" s="9" t="s">
        <v>504</v>
      </c>
      <c r="GC131" s="644"/>
      <c r="GD131" s="13" t="s">
        <v>2499</v>
      </c>
      <c r="GE131" s="644"/>
      <c r="GF131" s="5" t="s">
        <v>504</v>
      </c>
      <c r="GG131" s="644"/>
      <c r="GH131" s="9" t="s">
        <v>504</v>
      </c>
      <c r="GI131" s="644"/>
      <c r="GJ131" s="760" t="s">
        <v>471</v>
      </c>
      <c r="GK131" s="644"/>
      <c r="GL131" s="9" t="s">
        <v>504</v>
      </c>
      <c r="GM131" s="644"/>
      <c r="GN131" s="9" t="s">
        <v>500</v>
      </c>
      <c r="GO131" s="644"/>
      <c r="GP131" s="9" t="s">
        <v>504</v>
      </c>
      <c r="GQ131" s="644"/>
      <c r="GR131" s="9"/>
      <c r="GS131" s="644"/>
      <c r="GT131" s="9" t="s">
        <v>504</v>
      </c>
      <c r="GU131" s="644"/>
      <c r="GV131" s="9" t="s">
        <v>500</v>
      </c>
      <c r="GW131" s="644"/>
      <c r="GX131" s="9"/>
      <c r="GY131" s="644"/>
      <c r="GZ131" s="9" t="s">
        <v>500</v>
      </c>
      <c r="HA131" s="644"/>
      <c r="HB131" s="9" t="s">
        <v>1812</v>
      </c>
      <c r="HC131" s="644"/>
      <c r="HD131" s="13" t="s">
        <v>500</v>
      </c>
      <c r="HE131" s="644"/>
      <c r="HF131" s="9"/>
      <c r="HG131" s="644"/>
      <c r="HH131" s="9" t="s">
        <v>504</v>
      </c>
      <c r="HI131" s="644"/>
      <c r="HJ131" s="644"/>
      <c r="HK131" s="644"/>
      <c r="HL131" s="9" t="s">
        <v>504</v>
      </c>
      <c r="HM131" s="644"/>
      <c r="HN131" s="5" t="s">
        <v>504</v>
      </c>
      <c r="HO131" s="644"/>
      <c r="HP131" s="9" t="s">
        <v>504</v>
      </c>
      <c r="HQ131" s="644"/>
      <c r="HR131" s="780" t="s">
        <v>504</v>
      </c>
      <c r="HS131" s="644"/>
      <c r="HT131" s="633" t="s">
        <v>504</v>
      </c>
      <c r="HU131" s="644"/>
      <c r="HV131" s="9" t="s">
        <v>504</v>
      </c>
      <c r="HW131" s="644"/>
      <c r="HX131" s="9" t="s">
        <v>504</v>
      </c>
      <c r="HY131" s="644"/>
      <c r="HZ131" s="9" t="s">
        <v>500</v>
      </c>
      <c r="IA131" s="644"/>
      <c r="IB131" s="644"/>
      <c r="IC131" s="644"/>
      <c r="ID131" s="9" t="s">
        <v>504</v>
      </c>
      <c r="IE131" s="644"/>
      <c r="IF131" s="9" t="s">
        <v>504</v>
      </c>
      <c r="IG131" s="738"/>
      <c r="IH131" s="9" t="s">
        <v>504</v>
      </c>
      <c r="II131" s="644"/>
      <c r="IJ131" s="644"/>
      <c r="IK131" s="644"/>
      <c r="IL131" s="633" t="s">
        <v>504</v>
      </c>
      <c r="IM131" s="644"/>
      <c r="IN131" s="634" t="s">
        <v>504</v>
      </c>
      <c r="IO131" s="644"/>
      <c r="IP131" s="9" t="s">
        <v>504</v>
      </c>
      <c r="IQ131" s="644"/>
      <c r="IR131" s="9" t="s">
        <v>770</v>
      </c>
      <c r="IS131" s="644"/>
      <c r="IT131" s="9" t="s">
        <v>504</v>
      </c>
      <c r="IU131" s="644"/>
      <c r="IV131" s="13" t="s">
        <v>504</v>
      </c>
      <c r="IW131" s="644"/>
      <c r="IX131" s="632" t="s">
        <v>504</v>
      </c>
      <c r="IY131" s="644"/>
      <c r="IZ131" s="9" t="s">
        <v>504</v>
      </c>
      <c r="JA131" s="644"/>
      <c r="JB131" s="9"/>
      <c r="JC131" s="644"/>
      <c r="JD131" s="9" t="s">
        <v>479</v>
      </c>
      <c r="JE131" s="644"/>
      <c r="JF131" s="644"/>
      <c r="JG131" s="644"/>
      <c r="JH131" s="9"/>
      <c r="JI131" s="644"/>
      <c r="JJ131" s="644"/>
      <c r="JK131" s="644"/>
      <c r="JL131" s="644"/>
      <c r="JM131" s="644"/>
      <c r="JN131" s="9" t="s">
        <v>504</v>
      </c>
      <c r="JO131" s="644"/>
      <c r="JP131" s="644"/>
      <c r="JQ131" s="644"/>
      <c r="JR131" s="20" t="s">
        <v>504</v>
      </c>
      <c r="JS131" s="644"/>
      <c r="JT131" s="9" t="s">
        <v>504</v>
      </c>
      <c r="JU131" s="644"/>
      <c r="JV131" s="9"/>
      <c r="JW131" s="644"/>
      <c r="JX131" s="9" t="s">
        <v>504</v>
      </c>
      <c r="JY131" s="644"/>
    </row>
    <row r="132" spans="1:285" ht="56.1" customHeight="1" x14ac:dyDescent="0.2">
      <c r="A132" s="1565"/>
      <c r="B132" s="1567"/>
      <c r="C132" s="1550"/>
      <c r="D132" s="1552"/>
      <c r="E132" s="755" t="s">
        <v>172</v>
      </c>
      <c r="F132" s="9"/>
      <c r="G132" s="738"/>
      <c r="H132" s="9" t="s">
        <v>465</v>
      </c>
      <c r="I132" s="644"/>
      <c r="J132" s="9" t="s">
        <v>465</v>
      </c>
      <c r="K132" s="644"/>
      <c r="L132" s="9" t="s">
        <v>465</v>
      </c>
      <c r="M132" s="644"/>
      <c r="N132" s="757" t="s">
        <v>465</v>
      </c>
      <c r="O132" s="644"/>
      <c r="P132" s="84" t="s">
        <v>506</v>
      </c>
      <c r="Q132" s="644"/>
      <c r="R132" s="9"/>
      <c r="S132" s="644"/>
      <c r="T132" s="644"/>
      <c r="U132" s="644"/>
      <c r="V132" s="644"/>
      <c r="W132" s="644"/>
      <c r="X132" s="644"/>
      <c r="Y132" s="644"/>
      <c r="Z132" s="16" t="s">
        <v>2309</v>
      </c>
      <c r="AA132" s="644"/>
      <c r="AB132" s="5" t="s">
        <v>465</v>
      </c>
      <c r="AC132" s="644"/>
      <c r="AD132" s="5" t="s">
        <v>465</v>
      </c>
      <c r="AE132" s="644"/>
      <c r="AF132" s="644"/>
      <c r="AG132" s="644"/>
      <c r="AH132" s="644"/>
      <c r="AI132" s="644"/>
      <c r="AJ132" s="84"/>
      <c r="AK132" s="644"/>
      <c r="AL132" s="9"/>
      <c r="AM132" s="644"/>
      <c r="AN132" s="9"/>
      <c r="AO132" s="644"/>
      <c r="AP132" s="9"/>
      <c r="AQ132" s="644"/>
      <c r="AR132" s="9" t="s">
        <v>1017</v>
      </c>
      <c r="AS132" s="644"/>
      <c r="AT132" s="9"/>
      <c r="AU132" s="644"/>
      <c r="AV132" s="757"/>
      <c r="AW132" s="644"/>
      <c r="AX132" s="9"/>
      <c r="AY132" s="644"/>
      <c r="AZ132" s="5" t="s">
        <v>562</v>
      </c>
      <c r="BA132" s="644"/>
      <c r="BB132" s="644"/>
      <c r="BC132" s="644"/>
      <c r="BD132" s="5"/>
      <c r="BE132" s="644"/>
      <c r="BF132" s="9"/>
      <c r="BG132" s="644"/>
      <c r="BH132" s="644"/>
      <c r="BI132" s="644"/>
      <c r="BJ132" s="9"/>
      <c r="BK132" s="644"/>
      <c r="BL132" s="9"/>
      <c r="BM132" s="644"/>
      <c r="BN132" s="9"/>
      <c r="BO132" s="644"/>
      <c r="BP132" s="9"/>
      <c r="BQ132" s="644"/>
      <c r="BR132" s="9"/>
      <c r="BS132" s="644"/>
      <c r="BT132" s="9"/>
      <c r="BU132" s="644"/>
      <c r="BV132" s="9"/>
      <c r="BW132" s="644"/>
      <c r="BX132" s="9"/>
      <c r="BY132" s="644"/>
      <c r="BZ132" s="632"/>
      <c r="CA132" s="644"/>
      <c r="CB132" s="9"/>
      <c r="CC132" s="644"/>
      <c r="CD132" s="644"/>
      <c r="CE132" s="644"/>
      <c r="CF132" s="644"/>
      <c r="CG132" s="644"/>
      <c r="CH132" s="632" t="s">
        <v>465</v>
      </c>
      <c r="CI132" s="9"/>
      <c r="CJ132" s="9" t="s">
        <v>465</v>
      </c>
      <c r="CK132" s="9"/>
      <c r="CL132" s="9" t="s">
        <v>504</v>
      </c>
      <c r="CM132" s="644"/>
      <c r="CN132" s="9"/>
      <c r="CO132" s="644"/>
      <c r="CP132" s="9"/>
      <c r="CQ132" s="644"/>
      <c r="CR132" s="9"/>
      <c r="CS132" s="644"/>
      <c r="CT132" s="9"/>
      <c r="CU132" s="644"/>
      <c r="CV132" s="9" t="s">
        <v>465</v>
      </c>
      <c r="CW132" s="644"/>
      <c r="CX132" s="9" t="s">
        <v>465</v>
      </c>
      <c r="CY132" s="644"/>
      <c r="CZ132" s="9" t="s">
        <v>465</v>
      </c>
      <c r="DA132" s="644"/>
      <c r="DB132" s="9" t="s">
        <v>465</v>
      </c>
      <c r="DC132" s="644"/>
      <c r="DD132" s="23"/>
      <c r="DE132" s="644"/>
      <c r="DF132" s="644"/>
      <c r="DG132" s="644"/>
      <c r="DH132" s="9"/>
      <c r="DI132" s="644"/>
      <c r="DJ132" s="758"/>
      <c r="DK132" s="644"/>
      <c r="DL132" s="644"/>
      <c r="DM132" s="644"/>
      <c r="DN132" s="9"/>
      <c r="DO132" s="644"/>
      <c r="DP132" s="644"/>
      <c r="DQ132" s="644"/>
      <c r="DR132" s="644"/>
      <c r="DS132" s="644"/>
      <c r="DT132" s="644"/>
      <c r="DU132" s="644"/>
      <c r="DV132" s="9" t="s">
        <v>465</v>
      </c>
      <c r="DW132" s="644"/>
      <c r="DX132" s="9" t="s">
        <v>465</v>
      </c>
      <c r="DY132" s="644"/>
      <c r="DZ132" s="5" t="s">
        <v>465</v>
      </c>
      <c r="EA132" s="644"/>
      <c r="EB132" s="644"/>
      <c r="EC132" s="644"/>
      <c r="ED132" s="644"/>
      <c r="EE132" s="644"/>
      <c r="EF132" s="9" t="s">
        <v>2039</v>
      </c>
      <c r="EG132" s="644"/>
      <c r="EH132" s="759" t="s">
        <v>504</v>
      </c>
      <c r="EI132" s="644"/>
      <c r="EJ132" s="644"/>
      <c r="EK132" s="644"/>
      <c r="EL132" s="644"/>
      <c r="EM132" s="644"/>
      <c r="EN132" s="9"/>
      <c r="EO132" s="644"/>
      <c r="EP132" s="9" t="s">
        <v>504</v>
      </c>
      <c r="EQ132" s="644"/>
      <c r="ER132" s="644"/>
      <c r="ES132" s="644"/>
      <c r="ET132" s="9" t="s">
        <v>465</v>
      </c>
      <c r="EU132" s="644"/>
      <c r="EV132" s="9" t="s">
        <v>465</v>
      </c>
      <c r="EW132" s="644"/>
      <c r="EX132" s="9"/>
      <c r="EY132" s="644"/>
      <c r="EZ132" s="9"/>
      <c r="FA132" s="644"/>
      <c r="FB132" s="9"/>
      <c r="FC132" s="644"/>
      <c r="FD132" s="9" t="s">
        <v>465</v>
      </c>
      <c r="FE132" s="644"/>
      <c r="FF132" s="9" t="s">
        <v>465</v>
      </c>
      <c r="FG132" s="644"/>
      <c r="FH132" s="9"/>
      <c r="FI132" s="644"/>
      <c r="FJ132" s="9"/>
      <c r="FK132" s="644"/>
      <c r="FL132" s="811" t="s">
        <v>504</v>
      </c>
      <c r="FM132" s="644"/>
      <c r="FN132" s="9"/>
      <c r="FO132" s="644"/>
      <c r="FP132" s="9" t="s">
        <v>682</v>
      </c>
      <c r="FQ132" s="644"/>
      <c r="FR132" s="644"/>
      <c r="FS132" s="644"/>
      <c r="FT132" s="644"/>
      <c r="FU132" s="644"/>
      <c r="FV132" s="644"/>
      <c r="FW132" s="644"/>
      <c r="FX132" s="5" t="s">
        <v>465</v>
      </c>
      <c r="FY132" s="644"/>
      <c r="FZ132" s="644"/>
      <c r="GA132" s="644"/>
      <c r="GB132" s="9"/>
      <c r="GC132" s="644"/>
      <c r="GD132" s="13" t="s">
        <v>2499</v>
      </c>
      <c r="GE132" s="644"/>
      <c r="GF132" s="5" t="s">
        <v>504</v>
      </c>
      <c r="GG132" s="644"/>
      <c r="GH132" s="9" t="s">
        <v>2008</v>
      </c>
      <c r="GI132" s="644"/>
      <c r="GJ132" s="760" t="s">
        <v>1690</v>
      </c>
      <c r="GK132" s="644"/>
      <c r="GL132" s="9"/>
      <c r="GM132" s="644"/>
      <c r="GN132" s="649" t="s">
        <v>2564</v>
      </c>
      <c r="GO132" s="644"/>
      <c r="GP132" s="9" t="s">
        <v>1745</v>
      </c>
      <c r="GQ132" s="644"/>
      <c r="GR132" s="9"/>
      <c r="GS132" s="644"/>
      <c r="GT132" s="9"/>
      <c r="GU132" s="644"/>
      <c r="GV132" s="5" t="s">
        <v>1895</v>
      </c>
      <c r="GW132" s="644"/>
      <c r="GX132" s="9"/>
      <c r="GY132" s="644"/>
      <c r="GZ132" s="9" t="s">
        <v>1922</v>
      </c>
      <c r="HA132" s="644"/>
      <c r="HB132" s="9" t="s">
        <v>1813</v>
      </c>
      <c r="HC132" s="644"/>
      <c r="HD132" s="13" t="s">
        <v>1840</v>
      </c>
      <c r="HE132" s="644"/>
      <c r="HF132" s="9"/>
      <c r="HG132" s="644"/>
      <c r="HH132" s="9" t="s">
        <v>465</v>
      </c>
      <c r="HI132" s="644"/>
      <c r="HJ132" s="644"/>
      <c r="HK132" s="644"/>
      <c r="HL132" s="9"/>
      <c r="HM132" s="644"/>
      <c r="HN132" s="5" t="s">
        <v>465</v>
      </c>
      <c r="HO132" s="644"/>
      <c r="HP132" s="9"/>
      <c r="HQ132" s="644"/>
      <c r="HR132" s="9"/>
      <c r="HS132" s="644"/>
      <c r="HT132" s="656" t="s">
        <v>702</v>
      </c>
      <c r="HU132" s="644"/>
      <c r="HV132" s="9"/>
      <c r="HW132" s="644"/>
      <c r="HX132" s="9"/>
      <c r="HY132" s="644"/>
      <c r="HZ132" s="9" t="s">
        <v>2203</v>
      </c>
      <c r="IA132" s="644"/>
      <c r="IB132" s="644"/>
      <c r="IC132" s="644"/>
      <c r="ID132" s="9"/>
      <c r="IE132" s="644"/>
      <c r="IF132" s="9"/>
      <c r="IG132" s="738"/>
      <c r="IH132" s="9"/>
      <c r="II132" s="644"/>
      <c r="IJ132" s="644"/>
      <c r="IK132" s="644"/>
      <c r="IL132" s="633" t="s">
        <v>465</v>
      </c>
      <c r="IM132" s="644"/>
      <c r="IN132" s="634" t="s">
        <v>465</v>
      </c>
      <c r="IO132" s="644"/>
      <c r="IP132" s="9"/>
      <c r="IQ132" s="644"/>
      <c r="IR132" s="9" t="s">
        <v>771</v>
      </c>
      <c r="IS132" s="644"/>
      <c r="IT132" s="9" t="s">
        <v>701</v>
      </c>
      <c r="IU132" s="644"/>
      <c r="IV132" s="13" t="s">
        <v>504</v>
      </c>
      <c r="IW132" s="644"/>
      <c r="IX132" s="632" t="s">
        <v>1104</v>
      </c>
      <c r="IY132" s="644"/>
      <c r="IZ132" s="9" t="s">
        <v>504</v>
      </c>
      <c r="JA132" s="644"/>
      <c r="JB132" s="9"/>
      <c r="JC132" s="644"/>
      <c r="JD132" s="9" t="s">
        <v>465</v>
      </c>
      <c r="JE132" s="644"/>
      <c r="JF132" s="644"/>
      <c r="JG132" s="644"/>
      <c r="JH132" s="9"/>
      <c r="JI132" s="644"/>
      <c r="JJ132" s="644"/>
      <c r="JK132" s="644"/>
      <c r="JL132" s="644"/>
      <c r="JM132" s="644"/>
      <c r="JN132" s="9" t="s">
        <v>504</v>
      </c>
      <c r="JO132" s="644"/>
      <c r="JP132" s="644"/>
      <c r="JQ132" s="644"/>
      <c r="JR132" s="20"/>
      <c r="JS132" s="644"/>
      <c r="JT132" s="9" t="s">
        <v>465</v>
      </c>
      <c r="JU132" s="644"/>
      <c r="JV132" s="9"/>
      <c r="JW132" s="644"/>
      <c r="JX132" s="9" t="s">
        <v>702</v>
      </c>
      <c r="JY132" s="644"/>
    </row>
    <row r="133" spans="1:285" ht="26.25" thickBot="1" x14ac:dyDescent="0.25">
      <c r="A133" s="1568"/>
      <c r="B133" s="1569"/>
      <c r="C133" s="1550"/>
      <c r="D133" s="1552"/>
      <c r="E133" s="755" t="s">
        <v>174</v>
      </c>
      <c r="F133" s="13"/>
      <c r="G133" s="738"/>
      <c r="H133" s="13" t="s">
        <v>465</v>
      </c>
      <c r="I133" s="644"/>
      <c r="J133" s="13" t="s">
        <v>465</v>
      </c>
      <c r="K133" s="644"/>
      <c r="L133" s="9" t="s">
        <v>465</v>
      </c>
      <c r="M133" s="644"/>
      <c r="N133" s="808" t="s">
        <v>465</v>
      </c>
      <c r="O133" s="644"/>
      <c r="P133" s="709">
        <v>1476</v>
      </c>
      <c r="Q133" s="644"/>
      <c r="R133" s="13"/>
      <c r="S133" s="644"/>
      <c r="T133" s="644"/>
      <c r="U133" s="644"/>
      <c r="V133" s="644"/>
      <c r="W133" s="644"/>
      <c r="X133" s="644"/>
      <c r="Y133" s="644"/>
      <c r="Z133" s="13"/>
      <c r="AA133" s="644"/>
      <c r="AB133" s="703" t="s">
        <v>465</v>
      </c>
      <c r="AC133" s="644"/>
      <c r="AD133" s="5" t="s">
        <v>465</v>
      </c>
      <c r="AE133" s="644"/>
      <c r="AF133" s="644"/>
      <c r="AG133" s="644"/>
      <c r="AH133" s="644"/>
      <c r="AI133" s="644"/>
      <c r="AJ133" s="709"/>
      <c r="AK133" s="644"/>
      <c r="AL133" s="13"/>
      <c r="AM133" s="644"/>
      <c r="AN133" s="13"/>
      <c r="AO133" s="644"/>
      <c r="AP133" s="13"/>
      <c r="AQ133" s="644"/>
      <c r="AR133" s="13">
        <v>10489</v>
      </c>
      <c r="AS133" s="644"/>
      <c r="AT133" s="13"/>
      <c r="AU133" s="644"/>
      <c r="AV133" s="808"/>
      <c r="AW133" s="644"/>
      <c r="AX133" s="13"/>
      <c r="AY133" s="644"/>
      <c r="AZ133" s="13">
        <v>12</v>
      </c>
      <c r="BA133" s="644"/>
      <c r="BB133" s="644"/>
      <c r="BC133" s="644"/>
      <c r="BD133" s="5"/>
      <c r="BE133" s="644"/>
      <c r="BF133" s="13"/>
      <c r="BG133" s="644"/>
      <c r="BH133" s="644"/>
      <c r="BI133" s="644"/>
      <c r="BJ133" s="13"/>
      <c r="BK133" s="644"/>
      <c r="BL133" s="13"/>
      <c r="BM133" s="644"/>
      <c r="BN133" s="13"/>
      <c r="BO133" s="644"/>
      <c r="BP133" s="13"/>
      <c r="BQ133" s="644"/>
      <c r="BR133" s="13"/>
      <c r="BS133" s="644"/>
      <c r="BT133" s="13"/>
      <c r="BU133" s="644"/>
      <c r="BV133" s="13"/>
      <c r="BW133" s="644"/>
      <c r="BX133" s="710"/>
      <c r="BY133" s="644"/>
      <c r="BZ133" s="710"/>
      <c r="CA133" s="644"/>
      <c r="CB133" s="13"/>
      <c r="CC133" s="644"/>
      <c r="CD133" s="644"/>
      <c r="CE133" s="644"/>
      <c r="CF133" s="644"/>
      <c r="CG133" s="644"/>
      <c r="CH133" s="710" t="s">
        <v>465</v>
      </c>
      <c r="CI133" s="13"/>
      <c r="CJ133" s="13" t="s">
        <v>465</v>
      </c>
      <c r="CK133" s="13"/>
      <c r="CL133" s="13" t="s">
        <v>504</v>
      </c>
      <c r="CM133" s="644"/>
      <c r="CN133" s="13"/>
      <c r="CO133" s="644"/>
      <c r="CP133" s="13"/>
      <c r="CQ133" s="644"/>
      <c r="CR133" s="13"/>
      <c r="CS133" s="644"/>
      <c r="CT133" s="13"/>
      <c r="CU133" s="644"/>
      <c r="CV133" s="13" t="s">
        <v>465</v>
      </c>
      <c r="CW133" s="644"/>
      <c r="CX133" s="13" t="s">
        <v>465</v>
      </c>
      <c r="CY133" s="644"/>
      <c r="CZ133" s="13" t="s">
        <v>465</v>
      </c>
      <c r="DA133" s="644"/>
      <c r="DB133" s="13" t="s">
        <v>465</v>
      </c>
      <c r="DC133" s="644"/>
      <c r="DD133" s="5" t="s">
        <v>465</v>
      </c>
      <c r="DE133" s="644"/>
      <c r="DF133" s="644"/>
      <c r="DG133" s="644"/>
      <c r="DH133" s="13"/>
      <c r="DI133" s="644"/>
      <c r="DJ133" s="809"/>
      <c r="DK133" s="644"/>
      <c r="DL133" s="644"/>
      <c r="DM133" s="644"/>
      <c r="DN133" s="13"/>
      <c r="DO133" s="644"/>
      <c r="DP133" s="644"/>
      <c r="DQ133" s="644"/>
      <c r="DR133" s="644"/>
      <c r="DS133" s="644"/>
      <c r="DT133" s="644"/>
      <c r="DU133" s="644"/>
      <c r="DV133" s="13" t="s">
        <v>465</v>
      </c>
      <c r="DW133" s="644"/>
      <c r="DX133" s="13" t="s">
        <v>465</v>
      </c>
      <c r="DY133" s="644"/>
      <c r="DZ133" s="703" t="s">
        <v>465</v>
      </c>
      <c r="EA133" s="644"/>
      <c r="EB133" s="644"/>
      <c r="EC133" s="644"/>
      <c r="ED133" s="644"/>
      <c r="EE133" s="644"/>
      <c r="EF133" s="13">
        <v>17723</v>
      </c>
      <c r="EG133" s="644"/>
      <c r="EH133" s="810" t="s">
        <v>504</v>
      </c>
      <c r="EI133" s="644"/>
      <c r="EJ133" s="644"/>
      <c r="EK133" s="644"/>
      <c r="EL133" s="644"/>
      <c r="EM133" s="644"/>
      <c r="EN133" s="13"/>
      <c r="EO133" s="644"/>
      <c r="EP133" s="13" t="s">
        <v>504</v>
      </c>
      <c r="EQ133" s="644"/>
      <c r="ER133" s="644"/>
      <c r="ES133" s="644"/>
      <c r="ET133" s="13" t="s">
        <v>465</v>
      </c>
      <c r="EU133" s="644"/>
      <c r="EV133" s="13" t="s">
        <v>465</v>
      </c>
      <c r="EW133" s="644"/>
      <c r="EX133" s="13"/>
      <c r="EY133" s="644"/>
      <c r="EZ133" s="13"/>
      <c r="FA133" s="644"/>
      <c r="FB133" s="13"/>
      <c r="FC133" s="644"/>
      <c r="FD133" s="13" t="s">
        <v>465</v>
      </c>
      <c r="FE133" s="644"/>
      <c r="FF133" s="13" t="s">
        <v>465</v>
      </c>
      <c r="FG133" s="644"/>
      <c r="FH133" s="13"/>
      <c r="FI133" s="644"/>
      <c r="FJ133" s="13"/>
      <c r="FK133" s="644"/>
      <c r="FL133" s="811">
        <v>0</v>
      </c>
      <c r="FM133" s="644"/>
      <c r="FN133" s="13"/>
      <c r="FO133" s="644"/>
      <c r="FP133" s="13"/>
      <c r="FQ133" s="644"/>
      <c r="FR133" s="644"/>
      <c r="FS133" s="644"/>
      <c r="FT133" s="644"/>
      <c r="FU133" s="644"/>
      <c r="FV133" s="644"/>
      <c r="FW133" s="644"/>
      <c r="FX133" s="703" t="s">
        <v>465</v>
      </c>
      <c r="FY133" s="644"/>
      <c r="FZ133" s="644"/>
      <c r="GA133" s="644"/>
      <c r="GB133" s="13"/>
      <c r="GC133" s="644"/>
      <c r="GD133" s="13" t="s">
        <v>2499</v>
      </c>
      <c r="GE133" s="644"/>
      <c r="GF133" s="5" t="s">
        <v>504</v>
      </c>
      <c r="GG133" s="644"/>
      <c r="GH133" s="13">
        <v>0</v>
      </c>
      <c r="GI133" s="644"/>
      <c r="GJ133" s="825">
        <v>3</v>
      </c>
      <c r="GK133" s="644"/>
      <c r="GL133" s="13"/>
      <c r="GM133" s="644"/>
      <c r="GN133" s="14">
        <v>2760</v>
      </c>
      <c r="GO133" s="644"/>
      <c r="GP133" s="14">
        <v>129</v>
      </c>
      <c r="GQ133" s="644"/>
      <c r="GR133" s="13"/>
      <c r="GS133" s="644"/>
      <c r="GT133" s="13"/>
      <c r="GU133" s="644"/>
      <c r="GV133" s="13"/>
      <c r="GW133" s="644"/>
      <c r="GX133" s="13"/>
      <c r="GY133" s="644"/>
      <c r="GZ133" s="13">
        <v>8607</v>
      </c>
      <c r="HA133" s="644"/>
      <c r="HB133" s="13">
        <v>1980</v>
      </c>
      <c r="HC133" s="644"/>
      <c r="HD133" s="13">
        <v>594200</v>
      </c>
      <c r="HE133" s="644"/>
      <c r="HF133" s="13"/>
      <c r="HG133" s="644"/>
      <c r="HH133" s="13" t="s">
        <v>465</v>
      </c>
      <c r="HI133" s="644"/>
      <c r="HJ133" s="644"/>
      <c r="HK133" s="644"/>
      <c r="HL133" s="13"/>
      <c r="HM133" s="644"/>
      <c r="HN133" s="703" t="s">
        <v>465</v>
      </c>
      <c r="HO133" s="644"/>
      <c r="HP133" s="13"/>
      <c r="HQ133" s="644"/>
      <c r="HR133" s="13"/>
      <c r="HS133" s="644"/>
      <c r="HT133" s="734" t="s">
        <v>702</v>
      </c>
      <c r="HU133" s="644"/>
      <c r="HV133" s="13"/>
      <c r="HW133" s="644"/>
      <c r="HX133" s="13"/>
      <c r="HY133" s="644"/>
      <c r="HZ133" s="13">
        <v>35</v>
      </c>
      <c r="IA133" s="644"/>
      <c r="IB133" s="644"/>
      <c r="IC133" s="644"/>
      <c r="ID133" s="13"/>
      <c r="IE133" s="644"/>
      <c r="IF133" s="13"/>
      <c r="IG133" s="738"/>
      <c r="IH133" s="13"/>
      <c r="II133" s="644"/>
      <c r="IJ133" s="644"/>
      <c r="IK133" s="644"/>
      <c r="IL133" s="711" t="s">
        <v>465</v>
      </c>
      <c r="IM133" s="644"/>
      <c r="IN133" s="712" t="s">
        <v>465</v>
      </c>
      <c r="IO133" s="644"/>
      <c r="IP133" s="13"/>
      <c r="IQ133" s="644"/>
      <c r="IR133" s="13">
        <v>1049</v>
      </c>
      <c r="IS133" s="644"/>
      <c r="IT133" s="13" t="s">
        <v>701</v>
      </c>
      <c r="IU133" s="644"/>
      <c r="IV133" s="13" t="s">
        <v>504</v>
      </c>
      <c r="IW133" s="644"/>
      <c r="IX133" s="710" t="s">
        <v>1104</v>
      </c>
      <c r="IY133" s="644"/>
      <c r="IZ133" s="13" t="s">
        <v>504</v>
      </c>
      <c r="JA133" s="644"/>
      <c r="JB133" s="13"/>
      <c r="JC133" s="644"/>
      <c r="JD133" s="13" t="s">
        <v>465</v>
      </c>
      <c r="JE133" s="644"/>
      <c r="JF133" s="644"/>
      <c r="JG133" s="644"/>
      <c r="JH133" s="13"/>
      <c r="JI133" s="644"/>
      <c r="JJ133" s="644"/>
      <c r="JK133" s="644"/>
      <c r="JL133" s="644"/>
      <c r="JM133" s="644"/>
      <c r="JN133" s="13">
        <v>0</v>
      </c>
      <c r="JO133" s="644"/>
      <c r="JP133" s="644"/>
      <c r="JQ133" s="644"/>
      <c r="JR133" s="20"/>
      <c r="JS133" s="644"/>
      <c r="JT133" s="13" t="s">
        <v>465</v>
      </c>
      <c r="JU133" s="644"/>
      <c r="JV133" s="13"/>
      <c r="JW133" s="644"/>
      <c r="JX133" s="13" t="s">
        <v>702</v>
      </c>
      <c r="JY133" s="644"/>
    </row>
    <row r="134" spans="1:285" ht="409.5" x14ac:dyDescent="0.2">
      <c r="A134" s="1564" t="s">
        <v>31</v>
      </c>
      <c r="B134" s="1570" t="s">
        <v>216</v>
      </c>
      <c r="C134" s="93" t="s">
        <v>58</v>
      </c>
      <c r="D134" s="80" t="s">
        <v>217</v>
      </c>
      <c r="E134" s="755" t="s">
        <v>154</v>
      </c>
      <c r="F134" s="9" t="s">
        <v>1657</v>
      </c>
      <c r="G134" s="738"/>
      <c r="H134" s="33">
        <v>1</v>
      </c>
      <c r="I134" s="644"/>
      <c r="J134" s="33"/>
      <c r="K134" s="644"/>
      <c r="L134" s="33"/>
      <c r="M134" s="644"/>
      <c r="N134" s="757" t="s">
        <v>481</v>
      </c>
      <c r="O134" s="644"/>
      <c r="P134" s="741">
        <v>1</v>
      </c>
      <c r="Q134" s="644"/>
      <c r="R134" s="9" t="s">
        <v>479</v>
      </c>
      <c r="S134" s="644"/>
      <c r="T134" s="644"/>
      <c r="U134" s="644"/>
      <c r="V134" s="644"/>
      <c r="W134" s="644"/>
      <c r="X134" s="644"/>
      <c r="Y134" s="644"/>
      <c r="Z134" s="33">
        <v>1</v>
      </c>
      <c r="AA134" s="644"/>
      <c r="AB134" s="33">
        <v>1</v>
      </c>
      <c r="AC134" s="644"/>
      <c r="AD134" s="33">
        <v>1</v>
      </c>
      <c r="AE134" s="644"/>
      <c r="AF134" s="644"/>
      <c r="AG134" s="644"/>
      <c r="AH134" s="644"/>
      <c r="AI134" s="644"/>
      <c r="AJ134" s="741">
        <v>1</v>
      </c>
      <c r="AK134" s="644"/>
      <c r="AL134" s="33">
        <v>1</v>
      </c>
      <c r="AM134" s="644"/>
      <c r="AN134" s="9">
        <v>31</v>
      </c>
      <c r="AO134" s="644"/>
      <c r="AP134" s="33">
        <v>1</v>
      </c>
      <c r="AQ134" s="644"/>
      <c r="AR134" s="33">
        <v>1</v>
      </c>
      <c r="AS134" s="644"/>
      <c r="AT134" s="33">
        <v>1</v>
      </c>
      <c r="AU134" s="644"/>
      <c r="AV134" s="757" t="s">
        <v>583</v>
      </c>
      <c r="AW134" s="644"/>
      <c r="AX134" s="33">
        <v>1</v>
      </c>
      <c r="AY134" s="644"/>
      <c r="AZ134" s="33">
        <v>1</v>
      </c>
      <c r="BA134" s="644"/>
      <c r="BB134" s="644"/>
      <c r="BC134" s="644"/>
      <c r="BD134" s="5"/>
      <c r="BE134" s="644"/>
      <c r="BF134" s="9"/>
      <c r="BG134" s="644"/>
      <c r="BH134" s="644"/>
      <c r="BI134" s="644"/>
      <c r="BJ134" s="9"/>
      <c r="BK134" s="644"/>
      <c r="BL134" s="9">
        <v>100</v>
      </c>
      <c r="BM134" s="644"/>
      <c r="BN134" s="9">
        <v>100</v>
      </c>
      <c r="BO134" s="644"/>
      <c r="BP134" s="688">
        <v>1</v>
      </c>
      <c r="BQ134" s="644"/>
      <c r="BR134" s="9"/>
      <c r="BS134" s="644"/>
      <c r="BT134" s="9">
        <v>21</v>
      </c>
      <c r="BU134" s="644"/>
      <c r="BV134" s="33">
        <v>1</v>
      </c>
      <c r="BW134" s="644"/>
      <c r="BX134" s="688">
        <v>1</v>
      </c>
      <c r="BY134" s="644"/>
      <c r="BZ134" s="688">
        <v>1</v>
      </c>
      <c r="CA134" s="644"/>
      <c r="CB134" s="826" t="s">
        <v>913</v>
      </c>
      <c r="CC134" s="644"/>
      <c r="CD134" s="644"/>
      <c r="CE134" s="644"/>
      <c r="CF134" s="644"/>
      <c r="CG134" s="644"/>
      <c r="CH134" s="688">
        <v>1</v>
      </c>
      <c r="CI134" s="9"/>
      <c r="CJ134" s="33" t="s">
        <v>2136</v>
      </c>
      <c r="CK134" s="9"/>
      <c r="CL134" s="9" t="s">
        <v>632</v>
      </c>
      <c r="CM134" s="644"/>
      <c r="CN134" s="33">
        <v>1</v>
      </c>
      <c r="CO134" s="644"/>
      <c r="CP134" s="33" t="s">
        <v>2430</v>
      </c>
      <c r="CQ134" s="644"/>
      <c r="CR134" s="33">
        <v>1</v>
      </c>
      <c r="CS134" s="644"/>
      <c r="CT134" s="33">
        <v>1</v>
      </c>
      <c r="CU134" s="644"/>
      <c r="CV134" s="9" t="s">
        <v>504</v>
      </c>
      <c r="CW134" s="644"/>
      <c r="CX134" s="33">
        <v>1</v>
      </c>
      <c r="CY134" s="644"/>
      <c r="CZ134" s="33">
        <v>1</v>
      </c>
      <c r="DA134" s="644"/>
      <c r="DB134" s="33">
        <v>1</v>
      </c>
      <c r="DC134" s="644"/>
      <c r="DD134" s="5" t="s">
        <v>504</v>
      </c>
      <c r="DE134" s="644"/>
      <c r="DF134" s="644"/>
      <c r="DG134" s="644"/>
      <c r="DH134" s="9"/>
      <c r="DI134" s="644"/>
      <c r="DJ134" s="792">
        <v>1</v>
      </c>
      <c r="DK134" s="644"/>
      <c r="DL134" s="644"/>
      <c r="DM134" s="644"/>
      <c r="DN134" s="33">
        <v>1</v>
      </c>
      <c r="DO134" s="644"/>
      <c r="DP134" s="644"/>
      <c r="DQ134" s="644"/>
      <c r="DR134" s="644"/>
      <c r="DS134" s="644"/>
      <c r="DT134" s="644"/>
      <c r="DU134" s="644"/>
      <c r="DV134" s="33" t="s">
        <v>1178</v>
      </c>
      <c r="DW134" s="644"/>
      <c r="DX134" s="33" t="s">
        <v>1193</v>
      </c>
      <c r="DY134" s="644"/>
      <c r="DZ134" s="5" t="s">
        <v>2531</v>
      </c>
      <c r="EA134" s="644"/>
      <c r="EB134" s="644"/>
      <c r="EC134" s="644"/>
      <c r="ED134" s="644"/>
      <c r="EE134" s="644"/>
      <c r="EF134" s="9" t="s">
        <v>2040</v>
      </c>
      <c r="EG134" s="644"/>
      <c r="EH134" s="9" t="s">
        <v>2066</v>
      </c>
      <c r="EI134" s="644"/>
      <c r="EJ134" s="644"/>
      <c r="EK134" s="644"/>
      <c r="EL134" s="644"/>
      <c r="EM134" s="644"/>
      <c r="EN134" s="33">
        <v>1</v>
      </c>
      <c r="EO134" s="644"/>
      <c r="EP134" s="33">
        <v>1</v>
      </c>
      <c r="EQ134" s="644"/>
      <c r="ER134" s="644"/>
      <c r="ES134" s="644"/>
      <c r="ET134" s="9" t="s">
        <v>504</v>
      </c>
      <c r="EU134" s="644"/>
      <c r="EV134" s="9" t="s">
        <v>1473</v>
      </c>
      <c r="EW134" s="644"/>
      <c r="EX134" s="33">
        <v>1</v>
      </c>
      <c r="EY134" s="644"/>
      <c r="EZ134" s="9" t="s">
        <v>1506</v>
      </c>
      <c r="FA134" s="644"/>
      <c r="FB134" s="9" t="s">
        <v>1510</v>
      </c>
      <c r="FC134" s="644"/>
      <c r="FD134" s="18">
        <v>120</v>
      </c>
      <c r="FE134" s="644"/>
      <c r="FF134" s="18">
        <v>120</v>
      </c>
      <c r="FG134" s="644"/>
      <c r="FH134" s="5">
        <v>109</v>
      </c>
      <c r="FI134" s="644"/>
      <c r="FJ134" s="9">
        <v>25</v>
      </c>
      <c r="FK134" s="644"/>
      <c r="FL134" s="760" t="s">
        <v>1606</v>
      </c>
      <c r="FM134" s="644"/>
      <c r="FN134" s="9" t="s">
        <v>1625</v>
      </c>
      <c r="FO134" s="644"/>
      <c r="FP134" s="33">
        <v>0.94</v>
      </c>
      <c r="FQ134" s="644"/>
      <c r="FR134" s="644"/>
      <c r="FS134" s="644"/>
      <c r="FT134" s="644"/>
      <c r="FU134" s="644"/>
      <c r="FV134" s="644"/>
      <c r="FW134" s="644"/>
      <c r="FX134" s="740">
        <v>1</v>
      </c>
      <c r="FY134" s="644"/>
      <c r="FZ134" s="644"/>
      <c r="GA134" s="644"/>
      <c r="GB134" s="9" t="s">
        <v>1639</v>
      </c>
      <c r="GC134" s="644"/>
      <c r="GD134" s="9" t="s">
        <v>2513</v>
      </c>
      <c r="GE134" s="644"/>
      <c r="GF134" s="5" t="s">
        <v>2000</v>
      </c>
      <c r="GG134" s="644"/>
      <c r="GH134" s="33">
        <v>1</v>
      </c>
      <c r="GI134" s="644"/>
      <c r="GJ134" s="780" t="s">
        <v>1691</v>
      </c>
      <c r="GK134" s="644"/>
      <c r="GL134" s="9" t="s">
        <v>504</v>
      </c>
      <c r="GM134" s="644"/>
      <c r="GN134" s="9" t="s">
        <v>504</v>
      </c>
      <c r="GO134" s="644"/>
      <c r="GP134" s="9" t="s">
        <v>504</v>
      </c>
      <c r="GQ134" s="644"/>
      <c r="GR134" s="9" t="s">
        <v>1960</v>
      </c>
      <c r="GS134" s="644"/>
      <c r="GT134" s="33">
        <v>1</v>
      </c>
      <c r="GU134" s="644"/>
      <c r="GV134" s="33">
        <v>1</v>
      </c>
      <c r="GW134" s="644"/>
      <c r="GX134" s="33">
        <v>1</v>
      </c>
      <c r="GY134" s="644"/>
      <c r="GZ134" s="33">
        <v>1</v>
      </c>
      <c r="HA134" s="644"/>
      <c r="HB134" s="33">
        <v>1</v>
      </c>
      <c r="HC134" s="644"/>
      <c r="HD134" s="1542" t="s">
        <v>1841</v>
      </c>
      <c r="HE134" s="644"/>
      <c r="HF134" s="9" t="s">
        <v>1857</v>
      </c>
      <c r="HG134" s="644"/>
      <c r="HH134" s="33">
        <v>1</v>
      </c>
      <c r="HI134" s="644"/>
      <c r="HJ134" s="644"/>
      <c r="HK134" s="644"/>
      <c r="HL134" s="5" t="s">
        <v>1762</v>
      </c>
      <c r="HM134" s="644"/>
      <c r="HN134" s="740">
        <v>1</v>
      </c>
      <c r="HO134" s="644"/>
      <c r="HP134" s="33">
        <v>1</v>
      </c>
      <c r="HQ134" s="644"/>
      <c r="HR134" s="9">
        <v>33.6</v>
      </c>
      <c r="HS134" s="644"/>
      <c r="HT134" s="33">
        <v>1</v>
      </c>
      <c r="HU134" s="644"/>
      <c r="HV134" s="33">
        <v>1</v>
      </c>
      <c r="HW134" s="644"/>
      <c r="HX134" s="9">
        <v>100</v>
      </c>
      <c r="HY134" s="644"/>
      <c r="HZ134" s="33">
        <v>1</v>
      </c>
      <c r="IA134" s="644"/>
      <c r="IB134" s="644"/>
      <c r="IC134" s="644"/>
      <c r="ID134" s="9"/>
      <c r="IE134" s="644"/>
      <c r="IF134" s="5" t="s">
        <v>1263</v>
      </c>
      <c r="IG134" s="756"/>
      <c r="IH134" s="33">
        <v>1</v>
      </c>
      <c r="II134" s="644"/>
      <c r="IJ134" s="644"/>
      <c r="IK134" s="644"/>
      <c r="IL134" s="633" t="s">
        <v>1349</v>
      </c>
      <c r="IM134" s="644"/>
      <c r="IN134" s="634" t="s">
        <v>1359</v>
      </c>
      <c r="IO134" s="644"/>
      <c r="IP134" s="33">
        <v>1</v>
      </c>
      <c r="IQ134" s="644"/>
      <c r="IR134" s="33">
        <v>1</v>
      </c>
      <c r="IS134" s="644"/>
      <c r="IT134" s="33">
        <v>1</v>
      </c>
      <c r="IU134" s="644"/>
      <c r="IV134" s="9" t="s">
        <v>465</v>
      </c>
      <c r="IW134" s="644"/>
      <c r="IX134" s="742" t="s">
        <v>465</v>
      </c>
      <c r="IY134" s="644"/>
      <c r="IZ134" s="9">
        <v>100</v>
      </c>
      <c r="JA134" s="644"/>
      <c r="JB134" s="9"/>
      <c r="JC134" s="644" t="s">
        <v>1402</v>
      </c>
      <c r="JD134" s="9" t="s">
        <v>1416</v>
      </c>
      <c r="JE134" s="644"/>
      <c r="JF134" s="644"/>
      <c r="JG134" s="644"/>
      <c r="JH134" s="9" t="s">
        <v>810</v>
      </c>
      <c r="JI134" s="644"/>
      <c r="JJ134" s="644"/>
      <c r="JK134" s="644"/>
      <c r="JL134" s="644"/>
      <c r="JM134" s="644"/>
      <c r="JN134" s="33">
        <v>1</v>
      </c>
      <c r="JO134" s="644"/>
      <c r="JP134" s="644"/>
      <c r="JQ134" s="644"/>
      <c r="JR134" s="725">
        <v>1</v>
      </c>
      <c r="JS134" s="644"/>
      <c r="JT134" s="33">
        <v>1</v>
      </c>
      <c r="JU134" s="644"/>
      <c r="JV134" s="740">
        <v>1</v>
      </c>
      <c r="JW134" s="644"/>
      <c r="JX134" s="33">
        <v>1</v>
      </c>
      <c r="JY134" s="644"/>
    </row>
    <row r="135" spans="1:285" ht="409.6" thickBot="1" x14ac:dyDescent="0.25">
      <c r="A135" s="1565"/>
      <c r="B135" s="1571"/>
      <c r="C135" s="94" t="s">
        <v>247</v>
      </c>
      <c r="D135" s="73" t="s">
        <v>218</v>
      </c>
      <c r="E135" s="755" t="s">
        <v>48</v>
      </c>
      <c r="F135" s="9" t="s">
        <v>1658</v>
      </c>
      <c r="G135" s="738"/>
      <c r="H135" s="9" t="s">
        <v>465</v>
      </c>
      <c r="I135" s="644"/>
      <c r="J135" s="5" t="s">
        <v>2273</v>
      </c>
      <c r="K135" s="644"/>
      <c r="L135" s="9" t="s">
        <v>2287</v>
      </c>
      <c r="M135" s="644"/>
      <c r="N135" s="757" t="s">
        <v>482</v>
      </c>
      <c r="O135" s="644"/>
      <c r="P135" s="84" t="s">
        <v>465</v>
      </c>
      <c r="Q135" s="644"/>
      <c r="R135" s="9" t="s">
        <v>527</v>
      </c>
      <c r="S135" s="644"/>
      <c r="T135" s="644"/>
      <c r="U135" s="644"/>
      <c r="V135" s="644"/>
      <c r="W135" s="644"/>
      <c r="X135" s="644"/>
      <c r="Y135" s="644"/>
      <c r="Z135" s="9"/>
      <c r="AA135" s="644"/>
      <c r="AB135" s="9" t="s">
        <v>465</v>
      </c>
      <c r="AC135" s="644"/>
      <c r="AD135" s="9" t="s">
        <v>465</v>
      </c>
      <c r="AE135" s="644"/>
      <c r="AF135" s="644"/>
      <c r="AG135" s="644"/>
      <c r="AH135" s="644"/>
      <c r="AI135" s="644"/>
      <c r="AJ135" s="84" t="s">
        <v>504</v>
      </c>
      <c r="AK135" s="644"/>
      <c r="AL135" s="9"/>
      <c r="AM135" s="644"/>
      <c r="AN135" s="5" t="s">
        <v>985</v>
      </c>
      <c r="AO135" s="644"/>
      <c r="AP135" s="9"/>
      <c r="AQ135" s="644"/>
      <c r="AR135" s="9"/>
      <c r="AS135" s="644"/>
      <c r="AT135" s="9"/>
      <c r="AU135" s="644"/>
      <c r="AV135" s="757" t="s">
        <v>584</v>
      </c>
      <c r="AW135" s="644"/>
      <c r="AX135" s="9"/>
      <c r="AY135" s="644"/>
      <c r="AZ135" s="9"/>
      <c r="BA135" s="644"/>
      <c r="BB135" s="644"/>
      <c r="BC135" s="644"/>
      <c r="BD135" s="5"/>
      <c r="BE135" s="644"/>
      <c r="BF135" s="9" t="s">
        <v>2396</v>
      </c>
      <c r="BG135" s="644"/>
      <c r="BH135" s="644"/>
      <c r="BI135" s="644"/>
      <c r="BJ135" s="9"/>
      <c r="BK135" s="644"/>
      <c r="BL135" s="9"/>
      <c r="BM135" s="644"/>
      <c r="BN135" s="9"/>
      <c r="BO135" s="644"/>
      <c r="BP135" s="632" t="s">
        <v>1978</v>
      </c>
      <c r="BQ135" s="644"/>
      <c r="BR135" s="9"/>
      <c r="BS135" s="644"/>
      <c r="BT135" s="9" t="s">
        <v>937</v>
      </c>
      <c r="BU135" s="644"/>
      <c r="BV135" s="9"/>
      <c r="BW135" s="644"/>
      <c r="BX135" s="632"/>
      <c r="BY135" s="644"/>
      <c r="BZ135" s="632"/>
      <c r="CA135" s="644"/>
      <c r="CB135" s="738" t="s">
        <v>914</v>
      </c>
      <c r="CC135" s="644"/>
      <c r="CD135" s="644"/>
      <c r="CE135" s="644"/>
      <c r="CF135" s="644"/>
      <c r="CG135" s="644"/>
      <c r="CH135" s="632" t="s">
        <v>465</v>
      </c>
      <c r="CI135" s="9"/>
      <c r="CJ135" s="9" t="s">
        <v>2137</v>
      </c>
      <c r="CK135" s="9"/>
      <c r="CL135" s="9" t="s">
        <v>633</v>
      </c>
      <c r="CM135" s="644"/>
      <c r="CN135" s="9"/>
      <c r="CO135" s="644"/>
      <c r="CP135" s="5" t="s">
        <v>2431</v>
      </c>
      <c r="CQ135" s="644"/>
      <c r="CR135" s="9"/>
      <c r="CS135" s="644"/>
      <c r="CT135" s="9"/>
      <c r="CU135" s="644"/>
      <c r="CV135" s="9" t="s">
        <v>828</v>
      </c>
      <c r="CW135" s="644"/>
      <c r="CX135" s="9" t="s">
        <v>465</v>
      </c>
      <c r="CY135" s="644"/>
      <c r="CZ135" s="9" t="s">
        <v>465</v>
      </c>
      <c r="DA135" s="644"/>
      <c r="DB135" s="9" t="s">
        <v>465</v>
      </c>
      <c r="DC135" s="644"/>
      <c r="DD135" s="5" t="s">
        <v>2478</v>
      </c>
      <c r="DE135" s="644"/>
      <c r="DF135" s="644"/>
      <c r="DG135" s="644"/>
      <c r="DH135" s="5" t="s">
        <v>878</v>
      </c>
      <c r="DI135" s="644"/>
      <c r="DJ135" s="758"/>
      <c r="DK135" s="644"/>
      <c r="DL135" s="644"/>
      <c r="DM135" s="644"/>
      <c r="DN135" s="9"/>
      <c r="DO135" s="644"/>
      <c r="DP135" s="644"/>
      <c r="DQ135" s="644"/>
      <c r="DR135" s="644"/>
      <c r="DS135" s="644"/>
      <c r="DT135" s="644"/>
      <c r="DU135" s="644"/>
      <c r="DV135" s="13" t="s">
        <v>1179</v>
      </c>
      <c r="DW135" s="644"/>
      <c r="DX135" s="9" t="s">
        <v>465</v>
      </c>
      <c r="DY135" s="644"/>
      <c r="DZ135" s="5" t="s">
        <v>2532</v>
      </c>
      <c r="EA135" s="644"/>
      <c r="EB135" s="644"/>
      <c r="EC135" s="644"/>
      <c r="ED135" s="644"/>
      <c r="EE135" s="644"/>
      <c r="EF135" s="9" t="s">
        <v>2041</v>
      </c>
      <c r="EG135" s="644"/>
      <c r="EH135" s="759" t="s">
        <v>2067</v>
      </c>
      <c r="EI135" s="644"/>
      <c r="EJ135" s="644"/>
      <c r="EK135" s="644"/>
      <c r="EL135" s="644"/>
      <c r="EM135" s="644"/>
      <c r="EN135" s="9"/>
      <c r="EO135" s="644"/>
      <c r="EP135" s="9"/>
      <c r="EQ135" s="644"/>
      <c r="ER135" s="644"/>
      <c r="ES135" s="644"/>
      <c r="ET135" s="9" t="s">
        <v>1453</v>
      </c>
      <c r="EU135" s="644"/>
      <c r="EV135" s="9" t="s">
        <v>1474</v>
      </c>
      <c r="EW135" s="644"/>
      <c r="EX135" s="9" t="s">
        <v>465</v>
      </c>
      <c r="EY135" s="644"/>
      <c r="EZ135" s="9"/>
      <c r="FA135" s="644"/>
      <c r="FB135" s="9" t="s">
        <v>1511</v>
      </c>
      <c r="FC135" s="644"/>
      <c r="FD135" s="9"/>
      <c r="FE135" s="644"/>
      <c r="FF135" s="9" t="s">
        <v>1554</v>
      </c>
      <c r="FG135" s="644"/>
      <c r="FH135" s="5" t="s">
        <v>1573</v>
      </c>
      <c r="FI135" s="644"/>
      <c r="FJ135" s="9" t="s">
        <v>1589</v>
      </c>
      <c r="FK135" s="644"/>
      <c r="FL135" s="760" t="s">
        <v>1607</v>
      </c>
      <c r="FM135" s="644"/>
      <c r="FN135" s="9" t="s">
        <v>1626</v>
      </c>
      <c r="FO135" s="644"/>
      <c r="FP135" s="9" t="s">
        <v>683</v>
      </c>
      <c r="FQ135" s="644"/>
      <c r="FR135" s="644"/>
      <c r="FS135" s="644"/>
      <c r="FT135" s="644"/>
      <c r="FU135" s="644"/>
      <c r="FV135" s="644"/>
      <c r="FW135" s="644"/>
      <c r="FX135" s="5" t="s">
        <v>504</v>
      </c>
      <c r="FY135" s="644"/>
      <c r="FZ135" s="644"/>
      <c r="GA135" s="644"/>
      <c r="GB135" s="9" t="s">
        <v>1639</v>
      </c>
      <c r="GC135" s="644"/>
      <c r="GD135" s="13" t="s">
        <v>2499</v>
      </c>
      <c r="GE135" s="644"/>
      <c r="GF135" s="5" t="s">
        <v>2001</v>
      </c>
      <c r="GG135" s="644"/>
      <c r="GH135" s="9" t="s">
        <v>2008</v>
      </c>
      <c r="GI135" s="644"/>
      <c r="GJ135" s="780" t="s">
        <v>1692</v>
      </c>
      <c r="GK135" s="644"/>
      <c r="GL135" s="9" t="s">
        <v>1707</v>
      </c>
      <c r="GM135" s="644"/>
      <c r="GN135" s="9" t="s">
        <v>1723</v>
      </c>
      <c r="GO135" s="644"/>
      <c r="GP135" s="9"/>
      <c r="GQ135" s="644"/>
      <c r="GR135" s="9" t="s">
        <v>1961</v>
      </c>
      <c r="GS135" s="644"/>
      <c r="GT135" s="9" t="s">
        <v>2093</v>
      </c>
      <c r="GU135" s="644"/>
      <c r="GV135" s="9"/>
      <c r="GW135" s="644"/>
      <c r="GX135" s="9"/>
      <c r="GY135" s="644"/>
      <c r="GZ135" s="9"/>
      <c r="HA135" s="644"/>
      <c r="HB135" s="9"/>
      <c r="HC135" s="644"/>
      <c r="HD135" s="1542"/>
      <c r="HE135" s="644"/>
      <c r="HF135" s="9" t="s">
        <v>1858</v>
      </c>
      <c r="HG135" s="644"/>
      <c r="HH135" s="9" t="s">
        <v>465</v>
      </c>
      <c r="HI135" s="644"/>
      <c r="HJ135" s="644"/>
      <c r="HK135" s="644"/>
      <c r="HL135" s="84" t="s">
        <v>1763</v>
      </c>
      <c r="HM135" s="644"/>
      <c r="HN135" s="5" t="s">
        <v>465</v>
      </c>
      <c r="HO135" s="644"/>
      <c r="HP135" s="9"/>
      <c r="HQ135" s="644"/>
      <c r="HR135" s="9" t="s">
        <v>1295</v>
      </c>
      <c r="HS135" s="644"/>
      <c r="HT135" s="651" t="s">
        <v>1307</v>
      </c>
      <c r="HU135" s="644"/>
      <c r="HV135" s="9"/>
      <c r="HW135" s="644"/>
      <c r="HX135" s="9"/>
      <c r="HY135" s="644"/>
      <c r="HZ135" s="9"/>
      <c r="IA135" s="644"/>
      <c r="IB135" s="644"/>
      <c r="IC135" s="644"/>
      <c r="ID135" s="9" t="s">
        <v>1234</v>
      </c>
      <c r="IE135" s="644"/>
      <c r="IF135" s="5" t="s">
        <v>1264</v>
      </c>
      <c r="IG135" s="756"/>
      <c r="IH135" s="9"/>
      <c r="II135" s="644"/>
      <c r="IJ135" s="644"/>
      <c r="IK135" s="644"/>
      <c r="IL135" s="633" t="s">
        <v>2565</v>
      </c>
      <c r="IM135" s="644"/>
      <c r="IN135" s="634" t="s">
        <v>1360</v>
      </c>
      <c r="IO135" s="644"/>
      <c r="IP135" s="9"/>
      <c r="IQ135" s="644"/>
      <c r="IR135" s="9"/>
      <c r="IS135" s="644"/>
      <c r="IT135" s="9" t="s">
        <v>701</v>
      </c>
      <c r="IU135" s="644"/>
      <c r="IV135" s="20" t="s">
        <v>1097</v>
      </c>
      <c r="IW135" s="644"/>
      <c r="IX135" s="688" t="s">
        <v>1113</v>
      </c>
      <c r="IY135" s="644"/>
      <c r="IZ135" s="9" t="s">
        <v>504</v>
      </c>
      <c r="JA135" s="644"/>
      <c r="JB135" s="9" t="s">
        <v>1403</v>
      </c>
      <c r="JC135" s="644"/>
      <c r="JD135" s="9" t="s">
        <v>1417</v>
      </c>
      <c r="JE135" s="644"/>
      <c r="JF135" s="644"/>
      <c r="JG135" s="644"/>
      <c r="JH135" s="9" t="s">
        <v>811</v>
      </c>
      <c r="JI135" s="644"/>
      <c r="JJ135" s="644"/>
      <c r="JK135" s="644"/>
      <c r="JL135" s="644"/>
      <c r="JM135" s="644"/>
      <c r="JN135" s="9" t="s">
        <v>504</v>
      </c>
      <c r="JO135" s="644"/>
      <c r="JP135" s="644"/>
      <c r="JQ135" s="644"/>
      <c r="JR135" s="725"/>
      <c r="JS135" s="644"/>
      <c r="JT135" s="9" t="s">
        <v>465</v>
      </c>
      <c r="JU135" s="644"/>
      <c r="JV135" s="9"/>
      <c r="JW135" s="644"/>
      <c r="JX135" s="9" t="s">
        <v>702</v>
      </c>
      <c r="JY135" s="644"/>
    </row>
    <row r="136" spans="1:285" ht="243" thickBot="1" x14ac:dyDescent="0.25">
      <c r="A136" s="95" t="s">
        <v>33</v>
      </c>
      <c r="B136" s="96" t="s">
        <v>282</v>
      </c>
      <c r="C136" s="97" t="s">
        <v>65</v>
      </c>
      <c r="D136" s="98" t="s">
        <v>283</v>
      </c>
      <c r="E136" s="755" t="s">
        <v>53</v>
      </c>
      <c r="F136" s="15">
        <v>20</v>
      </c>
      <c r="G136" s="738"/>
      <c r="H136" s="15">
        <v>17</v>
      </c>
      <c r="I136" s="644"/>
      <c r="J136" s="15">
        <v>12</v>
      </c>
      <c r="K136" s="644"/>
      <c r="L136" s="15">
        <v>10</v>
      </c>
      <c r="M136" s="644"/>
      <c r="N136" s="803">
        <v>454</v>
      </c>
      <c r="O136" s="644"/>
      <c r="P136" s="709">
        <v>25</v>
      </c>
      <c r="Q136" s="644"/>
      <c r="R136" s="15">
        <v>160</v>
      </c>
      <c r="S136" s="644"/>
      <c r="T136" s="644"/>
      <c r="U136" s="644"/>
      <c r="V136" s="644"/>
      <c r="W136" s="644"/>
      <c r="X136" s="644"/>
      <c r="Y136" s="644"/>
      <c r="Z136" s="15" t="s">
        <v>2310</v>
      </c>
      <c r="AA136" s="644"/>
      <c r="AB136" s="15" t="s">
        <v>2331</v>
      </c>
      <c r="AC136" s="644"/>
      <c r="AD136" s="15" t="s">
        <v>2347</v>
      </c>
      <c r="AE136" s="644"/>
      <c r="AF136" s="644"/>
      <c r="AG136" s="644"/>
      <c r="AH136" s="644"/>
      <c r="AI136" s="644"/>
      <c r="AJ136" s="743">
        <v>95</v>
      </c>
      <c r="AK136" s="644"/>
      <c r="AL136" s="15">
        <v>235</v>
      </c>
      <c r="AM136" s="644"/>
      <c r="AN136" s="13">
        <v>31</v>
      </c>
      <c r="AO136" s="644"/>
      <c r="AP136" s="13">
        <v>17</v>
      </c>
      <c r="AQ136" s="644"/>
      <c r="AR136" s="15">
        <v>80</v>
      </c>
      <c r="AS136" s="644"/>
      <c r="AT136" s="15">
        <v>96</v>
      </c>
      <c r="AU136" s="644"/>
      <c r="AV136" s="803">
        <v>188</v>
      </c>
      <c r="AW136" s="644"/>
      <c r="AX136" s="15">
        <v>158</v>
      </c>
      <c r="AY136" s="644"/>
      <c r="AZ136" s="15">
        <v>95</v>
      </c>
      <c r="BA136" s="644"/>
      <c r="BB136" s="644"/>
      <c r="BC136" s="644"/>
      <c r="BD136" s="5">
        <v>41</v>
      </c>
      <c r="BE136" s="644"/>
      <c r="BF136" s="15">
        <v>51</v>
      </c>
      <c r="BG136" s="644"/>
      <c r="BH136" s="644"/>
      <c r="BI136" s="644"/>
      <c r="BJ136" s="15">
        <v>16</v>
      </c>
      <c r="BK136" s="644"/>
      <c r="BL136" s="15">
        <v>78</v>
      </c>
      <c r="BM136" s="644"/>
      <c r="BN136" s="15">
        <v>2</v>
      </c>
      <c r="BO136" s="644"/>
      <c r="BP136" s="710">
        <v>454</v>
      </c>
      <c r="BQ136" s="644"/>
      <c r="BR136" s="15">
        <v>1</v>
      </c>
      <c r="BS136" s="644"/>
      <c r="BT136" s="13">
        <v>21</v>
      </c>
      <c r="BU136" s="644"/>
      <c r="BV136" s="15">
        <v>11</v>
      </c>
      <c r="BW136" s="644"/>
      <c r="BX136" s="699">
        <v>38</v>
      </c>
      <c r="BY136" s="644"/>
      <c r="BZ136" s="710">
        <v>21</v>
      </c>
      <c r="CA136" s="644"/>
      <c r="CB136" s="15">
        <v>190</v>
      </c>
      <c r="CC136" s="644"/>
      <c r="CD136" s="644"/>
      <c r="CE136" s="644"/>
      <c r="CF136" s="644"/>
      <c r="CG136" s="644"/>
      <c r="CH136" s="670">
        <v>67</v>
      </c>
      <c r="CI136" s="15"/>
      <c r="CJ136" s="15">
        <v>46</v>
      </c>
      <c r="CK136" s="15"/>
      <c r="CL136" s="15">
        <v>134</v>
      </c>
      <c r="CM136" s="644"/>
      <c r="CN136" s="15">
        <v>143</v>
      </c>
      <c r="CO136" s="644"/>
      <c r="CP136" s="15">
        <v>23</v>
      </c>
      <c r="CQ136" s="644"/>
      <c r="CR136" s="15">
        <v>223</v>
      </c>
      <c r="CS136" s="644"/>
      <c r="CT136" s="17" t="s">
        <v>2231</v>
      </c>
      <c r="CU136" s="644"/>
      <c r="CV136" s="9">
        <v>19</v>
      </c>
      <c r="CW136" s="644"/>
      <c r="CX136" s="13">
        <v>104</v>
      </c>
      <c r="CY136" s="644"/>
      <c r="CZ136" s="13">
        <v>55</v>
      </c>
      <c r="DA136" s="644"/>
      <c r="DB136" s="13">
        <v>41</v>
      </c>
      <c r="DC136" s="644"/>
      <c r="DD136" s="5">
        <v>198</v>
      </c>
      <c r="DE136" s="644"/>
      <c r="DF136" s="644"/>
      <c r="DG136" s="644"/>
      <c r="DH136" s="15">
        <v>24</v>
      </c>
      <c r="DI136" s="644"/>
      <c r="DJ136" s="827">
        <v>20</v>
      </c>
      <c r="DK136" s="644"/>
      <c r="DL136" s="644"/>
      <c r="DM136" s="644"/>
      <c r="DN136" s="744">
        <v>69</v>
      </c>
      <c r="DO136" s="644"/>
      <c r="DP136" s="644"/>
      <c r="DQ136" s="644"/>
      <c r="DR136" s="644"/>
      <c r="DS136" s="644"/>
      <c r="DT136" s="644"/>
      <c r="DU136" s="644"/>
      <c r="DV136" s="15">
        <v>156</v>
      </c>
      <c r="DW136" s="644"/>
      <c r="DX136" s="15">
        <v>184</v>
      </c>
      <c r="DY136" s="644"/>
      <c r="DZ136" s="15">
        <v>45</v>
      </c>
      <c r="EA136" s="644"/>
      <c r="EB136" s="644"/>
      <c r="EC136" s="644"/>
      <c r="ED136" s="644"/>
      <c r="EE136" s="644"/>
      <c r="EF136" s="13">
        <v>21</v>
      </c>
      <c r="EG136" s="644"/>
      <c r="EH136" s="13">
        <v>67</v>
      </c>
      <c r="EI136" s="644"/>
      <c r="EJ136" s="644"/>
      <c r="EK136" s="644"/>
      <c r="EL136" s="644"/>
      <c r="EM136" s="644"/>
      <c r="EN136" s="15">
        <v>62</v>
      </c>
      <c r="EO136" s="644"/>
      <c r="EP136" s="745">
        <v>35</v>
      </c>
      <c r="EQ136" s="644"/>
      <c r="ER136" s="644"/>
      <c r="ES136" s="644"/>
      <c r="ET136" s="13">
        <v>52</v>
      </c>
      <c r="EU136" s="644"/>
      <c r="EV136" s="13">
        <v>392</v>
      </c>
      <c r="EW136" s="644"/>
      <c r="EX136" s="15">
        <v>142</v>
      </c>
      <c r="EY136" s="644"/>
      <c r="EZ136" s="15">
        <v>39</v>
      </c>
      <c r="FA136" s="644"/>
      <c r="FB136" s="15">
        <v>2</v>
      </c>
      <c r="FC136" s="644"/>
      <c r="FD136" s="15">
        <v>14</v>
      </c>
      <c r="FE136" s="644"/>
      <c r="FF136" s="15">
        <v>63</v>
      </c>
      <c r="FG136" s="644"/>
      <c r="FH136" s="15">
        <v>111</v>
      </c>
      <c r="FI136" s="644"/>
      <c r="FJ136" s="15">
        <v>25</v>
      </c>
      <c r="FK136" s="644"/>
      <c r="FL136" s="828">
        <v>223</v>
      </c>
      <c r="FM136" s="644"/>
      <c r="FN136" s="13">
        <v>4</v>
      </c>
      <c r="FO136" s="644"/>
      <c r="FP136" s="15">
        <v>102</v>
      </c>
      <c r="FQ136" s="644"/>
      <c r="FR136" s="644"/>
      <c r="FS136" s="644"/>
      <c r="FT136" s="644"/>
      <c r="FU136" s="644"/>
      <c r="FV136" s="644"/>
      <c r="FW136" s="644"/>
      <c r="FX136" s="13">
        <v>99</v>
      </c>
      <c r="FY136" s="644"/>
      <c r="FZ136" s="644"/>
      <c r="GA136" s="644"/>
      <c r="GB136" s="27">
        <v>45</v>
      </c>
      <c r="GC136" s="644"/>
      <c r="GD136" s="13">
        <v>53</v>
      </c>
      <c r="GE136" s="644"/>
      <c r="GF136" s="5">
        <v>12</v>
      </c>
      <c r="GG136" s="644"/>
      <c r="GH136" s="15">
        <v>194</v>
      </c>
      <c r="GI136" s="644"/>
      <c r="GJ136" s="828">
        <v>163</v>
      </c>
      <c r="GK136" s="644"/>
      <c r="GL136" s="15">
        <v>0</v>
      </c>
      <c r="GM136" s="644"/>
      <c r="GN136" s="14">
        <v>0</v>
      </c>
      <c r="GO136" s="644"/>
      <c r="GP136" s="15">
        <v>0</v>
      </c>
      <c r="GQ136" s="644"/>
      <c r="GR136" s="15">
        <v>202</v>
      </c>
      <c r="GS136" s="644"/>
      <c r="GT136" s="25">
        <v>397</v>
      </c>
      <c r="GU136" s="644"/>
      <c r="GV136" s="15">
        <v>17</v>
      </c>
      <c r="GW136" s="644"/>
      <c r="GX136" s="15">
        <v>16</v>
      </c>
      <c r="GY136" s="644"/>
      <c r="GZ136" s="15">
        <v>18</v>
      </c>
      <c r="HA136" s="644"/>
      <c r="HB136" s="13">
        <v>13</v>
      </c>
      <c r="HC136" s="644"/>
      <c r="HD136" s="13" t="s">
        <v>1842</v>
      </c>
      <c r="HE136" s="644"/>
      <c r="HF136" s="15">
        <v>1</v>
      </c>
      <c r="HG136" s="644"/>
      <c r="HH136" s="13">
        <v>10</v>
      </c>
      <c r="HI136" s="644"/>
      <c r="HJ136" s="644"/>
      <c r="HK136" s="644"/>
      <c r="HL136" s="9">
        <v>22</v>
      </c>
      <c r="HM136" s="644"/>
      <c r="HN136" s="9">
        <v>93</v>
      </c>
      <c r="HO136" s="644"/>
      <c r="HP136" s="15">
        <v>24</v>
      </c>
      <c r="HQ136" s="644"/>
      <c r="HR136" s="15">
        <v>92</v>
      </c>
      <c r="HS136" s="644"/>
      <c r="HT136" s="746">
        <v>251</v>
      </c>
      <c r="HU136" s="644"/>
      <c r="HV136" s="15">
        <v>1</v>
      </c>
      <c r="HW136" s="644"/>
      <c r="HX136" s="15">
        <v>2</v>
      </c>
      <c r="HY136" s="644"/>
      <c r="HZ136" s="13">
        <v>31</v>
      </c>
      <c r="IA136" s="644"/>
      <c r="IB136" s="644"/>
      <c r="IC136" s="644"/>
      <c r="ID136" s="15">
        <v>121</v>
      </c>
      <c r="IE136" s="644"/>
      <c r="IF136" s="17">
        <v>60</v>
      </c>
      <c r="IG136" s="756" t="s">
        <v>1265</v>
      </c>
      <c r="IH136" s="15">
        <v>26</v>
      </c>
      <c r="II136" s="644"/>
      <c r="IJ136" s="644"/>
      <c r="IK136" s="644"/>
      <c r="IL136" s="711">
        <v>34</v>
      </c>
      <c r="IM136" s="644"/>
      <c r="IN136" s="712">
        <v>1</v>
      </c>
      <c r="IO136" s="644"/>
      <c r="IP136" s="25">
        <v>153</v>
      </c>
      <c r="IQ136" s="644"/>
      <c r="IR136" s="15">
        <v>54</v>
      </c>
      <c r="IS136" s="644"/>
      <c r="IT136" s="15">
        <v>2</v>
      </c>
      <c r="IU136" s="644"/>
      <c r="IV136" s="15">
        <v>141</v>
      </c>
      <c r="IW136" s="644"/>
      <c r="IX136" s="670">
        <v>7</v>
      </c>
      <c r="IY136" s="644"/>
      <c r="IZ136" s="15">
        <v>143</v>
      </c>
      <c r="JA136" s="644"/>
      <c r="JB136" s="15">
        <v>54</v>
      </c>
      <c r="JC136" s="644"/>
      <c r="JD136" s="15">
        <v>51</v>
      </c>
      <c r="JE136" s="644"/>
      <c r="JF136" s="644"/>
      <c r="JG136" s="644"/>
      <c r="JH136" s="15">
        <v>9</v>
      </c>
      <c r="JI136" s="644"/>
      <c r="JJ136" s="644"/>
      <c r="JK136" s="644"/>
      <c r="JL136" s="644"/>
      <c r="JM136" s="644"/>
      <c r="JN136" s="15">
        <v>43</v>
      </c>
      <c r="JO136" s="644"/>
      <c r="JP136" s="644"/>
      <c r="JQ136" s="644"/>
      <c r="JR136" s="747">
        <v>302</v>
      </c>
      <c r="JS136" s="644"/>
      <c r="JT136" s="13">
        <v>15</v>
      </c>
      <c r="JU136" s="644"/>
      <c r="JV136" s="15">
        <v>33</v>
      </c>
      <c r="JW136" s="644"/>
      <c r="JX136" s="15">
        <v>67</v>
      </c>
      <c r="JY136" s="644"/>
    </row>
    <row r="137" spans="1:285" ht="90.95" customHeight="1" x14ac:dyDescent="0.2">
      <c r="A137" s="1564" t="s">
        <v>34</v>
      </c>
      <c r="B137" s="1570" t="s">
        <v>207</v>
      </c>
      <c r="C137" s="79" t="s">
        <v>66</v>
      </c>
      <c r="D137" s="80" t="s">
        <v>208</v>
      </c>
      <c r="E137" s="755" t="s">
        <v>55</v>
      </c>
      <c r="F137" s="9" t="s">
        <v>504</v>
      </c>
      <c r="G137" s="738"/>
      <c r="H137" s="9" t="s">
        <v>504</v>
      </c>
      <c r="I137" s="644"/>
      <c r="J137" s="9" t="s">
        <v>504</v>
      </c>
      <c r="K137" s="644"/>
      <c r="L137" s="9" t="s">
        <v>504</v>
      </c>
      <c r="M137" s="644"/>
      <c r="N137" s="757" t="s">
        <v>471</v>
      </c>
      <c r="O137" s="644"/>
      <c r="P137" s="84" t="s">
        <v>504</v>
      </c>
      <c r="Q137" s="644"/>
      <c r="R137" s="9" t="s">
        <v>479</v>
      </c>
      <c r="S137" s="644"/>
      <c r="T137" s="644"/>
      <c r="U137" s="644"/>
      <c r="V137" s="644"/>
      <c r="W137" s="644"/>
      <c r="X137" s="644"/>
      <c r="Y137" s="644"/>
      <c r="Z137" s="5" t="s">
        <v>471</v>
      </c>
      <c r="AA137" s="644"/>
      <c r="AB137" s="5" t="s">
        <v>479</v>
      </c>
      <c r="AC137" s="644"/>
      <c r="AD137" s="5" t="s">
        <v>471</v>
      </c>
      <c r="AE137" s="644"/>
      <c r="AF137" s="644"/>
      <c r="AG137" s="644"/>
      <c r="AH137" s="644"/>
      <c r="AI137" s="644"/>
      <c r="AJ137" s="84" t="s">
        <v>504</v>
      </c>
      <c r="AK137" s="644"/>
      <c r="AL137" s="9" t="s">
        <v>500</v>
      </c>
      <c r="AM137" s="644"/>
      <c r="AN137" s="9" t="s">
        <v>479</v>
      </c>
      <c r="AO137" s="644"/>
      <c r="AP137" s="9" t="s">
        <v>479</v>
      </c>
      <c r="AQ137" s="644"/>
      <c r="AR137" s="9" t="s">
        <v>504</v>
      </c>
      <c r="AS137" s="644"/>
      <c r="AT137" s="5" t="s">
        <v>500</v>
      </c>
      <c r="AU137" s="644"/>
      <c r="AV137" s="757" t="s">
        <v>479</v>
      </c>
      <c r="AW137" s="644"/>
      <c r="AX137" s="9" t="s">
        <v>504</v>
      </c>
      <c r="AY137" s="644"/>
      <c r="AZ137" s="9" t="s">
        <v>504</v>
      </c>
      <c r="BA137" s="644"/>
      <c r="BB137" s="644"/>
      <c r="BC137" s="644"/>
      <c r="BD137" s="5" t="s">
        <v>504</v>
      </c>
      <c r="BE137" s="644"/>
      <c r="BF137" s="9"/>
      <c r="BG137" s="644"/>
      <c r="BH137" s="644"/>
      <c r="BI137" s="644"/>
      <c r="BJ137" s="9" t="s">
        <v>504</v>
      </c>
      <c r="BK137" s="644"/>
      <c r="BL137" s="9" t="s">
        <v>504</v>
      </c>
      <c r="BM137" s="644"/>
      <c r="BN137" s="9" t="s">
        <v>504</v>
      </c>
      <c r="BO137" s="644"/>
      <c r="BP137" s="632" t="s">
        <v>504</v>
      </c>
      <c r="BQ137" s="644"/>
      <c r="BR137" s="9" t="s">
        <v>504</v>
      </c>
      <c r="BS137" s="644"/>
      <c r="BT137" s="9" t="s">
        <v>938</v>
      </c>
      <c r="BU137" s="644"/>
      <c r="BV137" s="9" t="s">
        <v>504</v>
      </c>
      <c r="BW137" s="644"/>
      <c r="BX137" s="632" t="s">
        <v>500</v>
      </c>
      <c r="BY137" s="644"/>
      <c r="BZ137" s="632" t="s">
        <v>504</v>
      </c>
      <c r="CA137" s="644"/>
      <c r="CB137" s="9" t="s">
        <v>504</v>
      </c>
      <c r="CC137" s="644"/>
      <c r="CD137" s="644"/>
      <c r="CE137" s="644"/>
      <c r="CF137" s="644"/>
      <c r="CG137" s="644"/>
      <c r="CH137" s="632" t="s">
        <v>504</v>
      </c>
      <c r="CI137" s="9"/>
      <c r="CJ137" s="9" t="s">
        <v>504</v>
      </c>
      <c r="CK137" s="9"/>
      <c r="CL137" s="9" t="s">
        <v>504</v>
      </c>
      <c r="CM137" s="644"/>
      <c r="CN137" s="9" t="s">
        <v>504</v>
      </c>
      <c r="CO137" s="644"/>
      <c r="CP137" s="5" t="s">
        <v>500</v>
      </c>
      <c r="CQ137" s="644"/>
      <c r="CR137" s="9" t="s">
        <v>500</v>
      </c>
      <c r="CS137" s="644"/>
      <c r="CT137" s="9" t="s">
        <v>479</v>
      </c>
      <c r="CU137" s="644"/>
      <c r="CV137" s="9" t="s">
        <v>504</v>
      </c>
      <c r="CW137" s="644"/>
      <c r="CX137" s="9" t="s">
        <v>504</v>
      </c>
      <c r="CY137" s="644"/>
      <c r="CZ137" s="9" t="s">
        <v>504</v>
      </c>
      <c r="DA137" s="644"/>
      <c r="DB137" s="9" t="s">
        <v>504</v>
      </c>
      <c r="DC137" s="644"/>
      <c r="DD137" s="5" t="s">
        <v>504</v>
      </c>
      <c r="DE137" s="644"/>
      <c r="DF137" s="644"/>
      <c r="DG137" s="644"/>
      <c r="DH137" s="9" t="s">
        <v>504</v>
      </c>
      <c r="DI137" s="644"/>
      <c r="DJ137" s="758" t="s">
        <v>504</v>
      </c>
      <c r="DK137" s="644"/>
      <c r="DL137" s="644"/>
      <c r="DM137" s="644"/>
      <c r="DN137" s="9" t="s">
        <v>504</v>
      </c>
      <c r="DO137" s="644"/>
      <c r="DP137" s="644"/>
      <c r="DQ137" s="644"/>
      <c r="DR137" s="644"/>
      <c r="DS137" s="644"/>
      <c r="DT137" s="644"/>
      <c r="DU137" s="644"/>
      <c r="DV137" s="9" t="s">
        <v>504</v>
      </c>
      <c r="DW137" s="644"/>
      <c r="DX137" s="9" t="s">
        <v>504</v>
      </c>
      <c r="DY137" s="644"/>
      <c r="DZ137" s="5" t="s">
        <v>504</v>
      </c>
      <c r="EA137" s="644"/>
      <c r="EB137" s="644"/>
      <c r="EC137" s="644"/>
      <c r="ED137" s="644"/>
      <c r="EE137" s="644"/>
      <c r="EF137" s="9" t="s">
        <v>504</v>
      </c>
      <c r="EG137" s="644"/>
      <c r="EH137" s="759" t="s">
        <v>500</v>
      </c>
      <c r="EI137" s="644"/>
      <c r="EJ137" s="644"/>
      <c r="EK137" s="644"/>
      <c r="EL137" s="644"/>
      <c r="EM137" s="644"/>
      <c r="EN137" s="9" t="s">
        <v>504</v>
      </c>
      <c r="EO137" s="644"/>
      <c r="EP137" s="9" t="s">
        <v>504</v>
      </c>
      <c r="EQ137" s="644"/>
      <c r="ER137" s="644"/>
      <c r="ES137" s="644"/>
      <c r="ET137" s="9" t="s">
        <v>500</v>
      </c>
      <c r="EU137" s="644"/>
      <c r="EV137" s="9" t="s">
        <v>504</v>
      </c>
      <c r="EW137" s="644"/>
      <c r="EX137" s="9" t="s">
        <v>504</v>
      </c>
      <c r="EY137" s="644"/>
      <c r="EZ137" s="9" t="s">
        <v>504</v>
      </c>
      <c r="FA137" s="644"/>
      <c r="FB137" s="9" t="s">
        <v>504</v>
      </c>
      <c r="FC137" s="644"/>
      <c r="FD137" s="9" t="s">
        <v>504</v>
      </c>
      <c r="FE137" s="644"/>
      <c r="FF137" s="9" t="s">
        <v>500</v>
      </c>
      <c r="FG137" s="644"/>
      <c r="FH137" s="9" t="s">
        <v>504</v>
      </c>
      <c r="FI137" s="644"/>
      <c r="FJ137" s="9" t="s">
        <v>504</v>
      </c>
      <c r="FK137" s="644"/>
      <c r="FL137" s="760" t="s">
        <v>504</v>
      </c>
      <c r="FM137" s="644"/>
      <c r="FN137" s="9" t="s">
        <v>504</v>
      </c>
      <c r="FO137" s="644"/>
      <c r="FP137" s="9" t="s">
        <v>500</v>
      </c>
      <c r="FQ137" s="644"/>
      <c r="FR137" s="644"/>
      <c r="FS137" s="644"/>
      <c r="FT137" s="644"/>
      <c r="FU137" s="644"/>
      <c r="FV137" s="644"/>
      <c r="FW137" s="644"/>
      <c r="FX137" s="5" t="s">
        <v>500</v>
      </c>
      <c r="FY137" s="644"/>
      <c r="FZ137" s="644"/>
      <c r="GA137" s="644"/>
      <c r="GB137" s="9" t="s">
        <v>504</v>
      </c>
      <c r="GC137" s="644"/>
      <c r="GD137" s="9" t="s">
        <v>504</v>
      </c>
      <c r="GE137" s="644"/>
      <c r="GF137" s="5" t="s">
        <v>504</v>
      </c>
      <c r="GG137" s="644"/>
      <c r="GH137" s="9" t="s">
        <v>504</v>
      </c>
      <c r="GI137" s="644"/>
      <c r="GJ137" s="760" t="s">
        <v>471</v>
      </c>
      <c r="GK137" s="644"/>
      <c r="GL137" s="9" t="s">
        <v>500</v>
      </c>
      <c r="GM137" s="644"/>
      <c r="GN137" s="9" t="s">
        <v>500</v>
      </c>
      <c r="GO137" s="644"/>
      <c r="GP137" s="9" t="s">
        <v>504</v>
      </c>
      <c r="GQ137" s="644"/>
      <c r="GR137" s="9" t="s">
        <v>504</v>
      </c>
      <c r="GS137" s="644"/>
      <c r="GT137" s="5" t="s">
        <v>471</v>
      </c>
      <c r="GU137" s="644"/>
      <c r="GV137" s="9" t="s">
        <v>500</v>
      </c>
      <c r="GW137" s="644"/>
      <c r="GX137" s="9" t="s">
        <v>500</v>
      </c>
      <c r="GY137" s="644"/>
      <c r="GZ137" s="9" t="s">
        <v>500</v>
      </c>
      <c r="HA137" s="644"/>
      <c r="HB137" s="9" t="s">
        <v>504</v>
      </c>
      <c r="HC137" s="644"/>
      <c r="HD137" s="9" t="s">
        <v>500</v>
      </c>
      <c r="HE137" s="644"/>
      <c r="HF137" s="9" t="s">
        <v>504</v>
      </c>
      <c r="HG137" s="644"/>
      <c r="HH137" s="9" t="s">
        <v>504</v>
      </c>
      <c r="HI137" s="644"/>
      <c r="HJ137" s="644"/>
      <c r="HK137" s="644"/>
      <c r="HL137" s="9" t="s">
        <v>504</v>
      </c>
      <c r="HM137" s="644"/>
      <c r="HN137" s="9" t="s">
        <v>500</v>
      </c>
      <c r="HO137" s="644"/>
      <c r="HP137" s="9" t="s">
        <v>504</v>
      </c>
      <c r="HQ137" s="644"/>
      <c r="HR137" s="9" t="s">
        <v>504</v>
      </c>
      <c r="HS137" s="644"/>
      <c r="HT137" s="633" t="s">
        <v>504</v>
      </c>
      <c r="HU137" s="644"/>
      <c r="HV137" s="9" t="s">
        <v>504</v>
      </c>
      <c r="HW137" s="644"/>
      <c r="HX137" s="9" t="s">
        <v>504</v>
      </c>
      <c r="HY137" s="644"/>
      <c r="HZ137" s="9" t="s">
        <v>504</v>
      </c>
      <c r="IA137" s="644"/>
      <c r="IB137" s="644"/>
      <c r="IC137" s="644"/>
      <c r="ID137" s="9" t="s">
        <v>504</v>
      </c>
      <c r="IE137" s="644"/>
      <c r="IF137" s="9" t="s">
        <v>504</v>
      </c>
      <c r="IG137" s="756"/>
      <c r="IH137" s="9" t="s">
        <v>500</v>
      </c>
      <c r="II137" s="644"/>
      <c r="IJ137" s="644"/>
      <c r="IK137" s="644"/>
      <c r="IL137" s="633" t="s">
        <v>504</v>
      </c>
      <c r="IM137" s="644"/>
      <c r="IN137" s="634" t="s">
        <v>500</v>
      </c>
      <c r="IO137" s="644"/>
      <c r="IP137" s="9" t="s">
        <v>504</v>
      </c>
      <c r="IQ137" s="644"/>
      <c r="IR137" s="9" t="s">
        <v>772</v>
      </c>
      <c r="IS137" s="644"/>
      <c r="IT137" s="9" t="s">
        <v>500</v>
      </c>
      <c r="IU137" s="644"/>
      <c r="IV137" s="9" t="s">
        <v>504</v>
      </c>
      <c r="IW137" s="644"/>
      <c r="IX137" s="632" t="s">
        <v>504</v>
      </c>
      <c r="IY137" s="644"/>
      <c r="IZ137" s="9" t="s">
        <v>504</v>
      </c>
      <c r="JA137" s="644"/>
      <c r="JB137" s="9" t="s">
        <v>504</v>
      </c>
      <c r="JC137" s="644"/>
      <c r="JD137" s="9" t="s">
        <v>479</v>
      </c>
      <c r="JE137" s="644"/>
      <c r="JF137" s="644"/>
      <c r="JG137" s="644"/>
      <c r="JH137" s="9" t="s">
        <v>504</v>
      </c>
      <c r="JI137" s="644"/>
      <c r="JJ137" s="644"/>
      <c r="JK137" s="644"/>
      <c r="JL137" s="644"/>
      <c r="JM137" s="644"/>
      <c r="JN137" s="9" t="s">
        <v>504</v>
      </c>
      <c r="JO137" s="644"/>
      <c r="JP137" s="644"/>
      <c r="JQ137" s="644"/>
      <c r="JR137" s="20" t="s">
        <v>504</v>
      </c>
      <c r="JS137" s="644"/>
      <c r="JT137" s="9" t="s">
        <v>504</v>
      </c>
      <c r="JU137" s="644"/>
      <c r="JV137" s="9"/>
      <c r="JW137" s="644"/>
      <c r="JX137" s="9" t="s">
        <v>500</v>
      </c>
      <c r="JY137" s="644"/>
    </row>
    <row r="138" spans="1:285" ht="409.6" thickBot="1" x14ac:dyDescent="0.25">
      <c r="A138" s="1568"/>
      <c r="B138" s="1572"/>
      <c r="C138" s="85" t="s">
        <v>67</v>
      </c>
      <c r="D138" s="86" t="s">
        <v>45</v>
      </c>
      <c r="E138" s="755" t="s">
        <v>48</v>
      </c>
      <c r="F138" s="9"/>
      <c r="G138" s="738"/>
      <c r="H138" s="9" t="s">
        <v>465</v>
      </c>
      <c r="I138" s="644"/>
      <c r="J138" s="9" t="s">
        <v>465</v>
      </c>
      <c r="K138" s="644"/>
      <c r="L138" s="9" t="s">
        <v>465</v>
      </c>
      <c r="M138" s="644"/>
      <c r="N138" s="757" t="s">
        <v>483</v>
      </c>
      <c r="O138" s="644"/>
      <c r="P138" s="84" t="s">
        <v>465</v>
      </c>
      <c r="Q138" s="644"/>
      <c r="R138" s="9"/>
      <c r="S138" s="644"/>
      <c r="T138" s="644"/>
      <c r="U138" s="644"/>
      <c r="V138" s="644"/>
      <c r="W138" s="644"/>
      <c r="X138" s="644"/>
      <c r="Y138" s="644"/>
      <c r="Z138" s="16" t="s">
        <v>2311</v>
      </c>
      <c r="AA138" s="644"/>
      <c r="AB138" s="5" t="s">
        <v>465</v>
      </c>
      <c r="AC138" s="644"/>
      <c r="AD138" s="5" t="s">
        <v>2348</v>
      </c>
      <c r="AE138" s="644"/>
      <c r="AF138" s="644"/>
      <c r="AG138" s="644"/>
      <c r="AH138" s="644"/>
      <c r="AI138" s="644"/>
      <c r="AJ138" s="84"/>
      <c r="AK138" s="644"/>
      <c r="AL138" s="9" t="s">
        <v>2371</v>
      </c>
      <c r="AM138" s="644"/>
      <c r="AN138" s="9"/>
      <c r="AO138" s="644"/>
      <c r="AP138" s="9"/>
      <c r="AQ138" s="644"/>
      <c r="AR138" s="9"/>
      <c r="AS138" s="644"/>
      <c r="AT138" s="5" t="s">
        <v>604</v>
      </c>
      <c r="AU138" s="644"/>
      <c r="AV138" s="757"/>
      <c r="AW138" s="644"/>
      <c r="AX138" s="9"/>
      <c r="AY138" s="644"/>
      <c r="AZ138" s="9"/>
      <c r="BA138" s="644"/>
      <c r="BB138" s="644"/>
      <c r="BC138" s="644"/>
      <c r="BD138" s="5"/>
      <c r="BE138" s="644"/>
      <c r="BF138" s="9"/>
      <c r="BG138" s="644"/>
      <c r="BH138" s="644"/>
      <c r="BI138" s="644"/>
      <c r="BJ138" s="9"/>
      <c r="BK138" s="644"/>
      <c r="BL138" s="9"/>
      <c r="BM138" s="644"/>
      <c r="BN138" s="9"/>
      <c r="BO138" s="644"/>
      <c r="BP138" s="9"/>
      <c r="BQ138" s="644"/>
      <c r="BR138" s="9"/>
      <c r="BS138" s="644"/>
      <c r="BT138" s="9" t="s">
        <v>939</v>
      </c>
      <c r="BU138" s="644"/>
      <c r="BV138" s="9"/>
      <c r="BW138" s="644"/>
      <c r="BX138" s="9"/>
      <c r="BY138" s="644"/>
      <c r="BZ138" s="9"/>
      <c r="CA138" s="644"/>
      <c r="CB138" s="9"/>
      <c r="CC138" s="644"/>
      <c r="CD138" s="644"/>
      <c r="CE138" s="644"/>
      <c r="CF138" s="644"/>
      <c r="CG138" s="644"/>
      <c r="CH138" s="632" t="s">
        <v>465</v>
      </c>
      <c r="CI138" s="9"/>
      <c r="CJ138" s="9" t="s">
        <v>465</v>
      </c>
      <c r="CK138" s="9"/>
      <c r="CL138" s="9" t="s">
        <v>504</v>
      </c>
      <c r="CM138" s="644"/>
      <c r="CN138" s="9"/>
      <c r="CO138" s="644"/>
      <c r="CP138" s="5" t="s">
        <v>2432</v>
      </c>
      <c r="CQ138" s="644"/>
      <c r="CR138" s="9" t="s">
        <v>2457</v>
      </c>
      <c r="CS138" s="644"/>
      <c r="CT138" s="9"/>
      <c r="CU138" s="644"/>
      <c r="CV138" s="9" t="s">
        <v>465</v>
      </c>
      <c r="CW138" s="644"/>
      <c r="CX138" s="9" t="s">
        <v>465</v>
      </c>
      <c r="CY138" s="644"/>
      <c r="CZ138" s="9" t="s">
        <v>465</v>
      </c>
      <c r="DA138" s="644"/>
      <c r="DB138" s="9" t="s">
        <v>465</v>
      </c>
      <c r="DC138" s="644"/>
      <c r="DD138" s="5" t="s">
        <v>465</v>
      </c>
      <c r="DE138" s="644"/>
      <c r="DF138" s="644"/>
      <c r="DG138" s="644"/>
      <c r="DH138" s="9" t="s">
        <v>504</v>
      </c>
      <c r="DI138" s="644"/>
      <c r="DJ138" s="758"/>
      <c r="DK138" s="644"/>
      <c r="DL138" s="644"/>
      <c r="DM138" s="644"/>
      <c r="DN138" s="9"/>
      <c r="DO138" s="644"/>
      <c r="DP138" s="644"/>
      <c r="DQ138" s="644"/>
      <c r="DR138" s="644"/>
      <c r="DS138" s="644"/>
      <c r="DT138" s="644"/>
      <c r="DU138" s="644"/>
      <c r="DV138" s="9" t="s">
        <v>465</v>
      </c>
      <c r="DW138" s="644"/>
      <c r="DX138" s="9" t="s">
        <v>465</v>
      </c>
      <c r="DY138" s="644"/>
      <c r="DZ138" s="9" t="s">
        <v>465</v>
      </c>
      <c r="EA138" s="644"/>
      <c r="EB138" s="644"/>
      <c r="EC138" s="644"/>
      <c r="ED138" s="644"/>
      <c r="EE138" s="644"/>
      <c r="EF138" s="9"/>
      <c r="EG138" s="644"/>
      <c r="EH138" s="759" t="s">
        <v>2068</v>
      </c>
      <c r="EI138" s="644"/>
      <c r="EJ138" s="644"/>
      <c r="EK138" s="644"/>
      <c r="EL138" s="644"/>
      <c r="EM138" s="644"/>
      <c r="EN138" s="9"/>
      <c r="EO138" s="644"/>
      <c r="EP138" s="9" t="s">
        <v>504</v>
      </c>
      <c r="EQ138" s="644"/>
      <c r="ER138" s="644"/>
      <c r="ES138" s="644"/>
      <c r="ET138" s="9" t="s">
        <v>1454</v>
      </c>
      <c r="EU138" s="644"/>
      <c r="EV138" s="9" t="s">
        <v>465</v>
      </c>
      <c r="EW138" s="644"/>
      <c r="EX138" s="9" t="s">
        <v>465</v>
      </c>
      <c r="EY138" s="644"/>
      <c r="EZ138" s="9" t="s">
        <v>504</v>
      </c>
      <c r="FA138" s="644"/>
      <c r="FB138" s="9" t="s">
        <v>504</v>
      </c>
      <c r="FC138" s="644"/>
      <c r="FD138" s="9" t="s">
        <v>465</v>
      </c>
      <c r="FE138" s="644"/>
      <c r="FF138" s="9" t="s">
        <v>1555</v>
      </c>
      <c r="FG138" s="644"/>
      <c r="FH138" s="9"/>
      <c r="FI138" s="644"/>
      <c r="FJ138" s="9" t="s">
        <v>504</v>
      </c>
      <c r="FK138" s="644"/>
      <c r="FL138" s="760" t="s">
        <v>504</v>
      </c>
      <c r="FM138" s="644"/>
      <c r="FN138" s="9"/>
      <c r="FO138" s="644"/>
      <c r="FP138" s="9" t="s">
        <v>684</v>
      </c>
      <c r="FQ138" s="644"/>
      <c r="FR138" s="644"/>
      <c r="FS138" s="644"/>
      <c r="FT138" s="644"/>
      <c r="FU138" s="644"/>
      <c r="FV138" s="644"/>
      <c r="FW138" s="644"/>
      <c r="FX138" s="5" t="s">
        <v>1872</v>
      </c>
      <c r="FY138" s="644"/>
      <c r="FZ138" s="644"/>
      <c r="GA138" s="644"/>
      <c r="GB138" s="9"/>
      <c r="GC138" s="644"/>
      <c r="GD138" s="9" t="s">
        <v>2499</v>
      </c>
      <c r="GE138" s="644"/>
      <c r="GF138" s="5" t="s">
        <v>504</v>
      </c>
      <c r="GG138" s="644"/>
      <c r="GH138" s="9" t="s">
        <v>2008</v>
      </c>
      <c r="GI138" s="644"/>
      <c r="GJ138" s="760" t="s">
        <v>1693</v>
      </c>
      <c r="GK138" s="644"/>
      <c r="GL138" s="9" t="s">
        <v>1708</v>
      </c>
      <c r="GM138" s="644"/>
      <c r="GN138" s="9" t="s">
        <v>1724</v>
      </c>
      <c r="GO138" s="644"/>
      <c r="GP138" s="9"/>
      <c r="GQ138" s="644"/>
      <c r="GR138" s="9"/>
      <c r="GS138" s="644"/>
      <c r="GT138" s="5" t="s">
        <v>2094</v>
      </c>
      <c r="GU138" s="644"/>
      <c r="GV138" s="9" t="s">
        <v>1896</v>
      </c>
      <c r="GW138" s="644"/>
      <c r="GX138" s="9" t="s">
        <v>1911</v>
      </c>
      <c r="GY138" s="644"/>
      <c r="GZ138" s="23" t="s">
        <v>2566</v>
      </c>
      <c r="HA138" s="644"/>
      <c r="HB138" s="9" t="s">
        <v>1814</v>
      </c>
      <c r="HC138" s="644"/>
      <c r="HD138" s="9" t="s">
        <v>1843</v>
      </c>
      <c r="HE138" s="644"/>
      <c r="HF138" s="9"/>
      <c r="HG138" s="644"/>
      <c r="HH138" s="9" t="s">
        <v>465</v>
      </c>
      <c r="HI138" s="644"/>
      <c r="HJ138" s="644"/>
      <c r="HK138" s="644"/>
      <c r="HL138" s="9" t="s">
        <v>504</v>
      </c>
      <c r="HM138" s="644"/>
      <c r="HN138" s="9" t="s">
        <v>1784</v>
      </c>
      <c r="HO138" s="644"/>
      <c r="HP138" s="9"/>
      <c r="HQ138" s="644"/>
      <c r="HR138" s="9"/>
      <c r="HS138" s="644"/>
      <c r="HT138" s="656" t="s">
        <v>702</v>
      </c>
      <c r="HU138" s="644"/>
      <c r="HV138" s="9"/>
      <c r="HW138" s="644"/>
      <c r="HX138" s="9"/>
      <c r="HY138" s="644"/>
      <c r="HZ138" s="9"/>
      <c r="IA138" s="644"/>
      <c r="IB138" s="644"/>
      <c r="IC138" s="644"/>
      <c r="ID138" s="9"/>
      <c r="IE138" s="644"/>
      <c r="IF138" s="9" t="s">
        <v>1266</v>
      </c>
      <c r="IG138" s="756"/>
      <c r="IH138" s="9" t="s">
        <v>1334</v>
      </c>
      <c r="II138" s="644"/>
      <c r="IJ138" s="644"/>
      <c r="IK138" s="644"/>
      <c r="IL138" s="633" t="s">
        <v>465</v>
      </c>
      <c r="IM138" s="644"/>
      <c r="IN138" s="634" t="s">
        <v>1361</v>
      </c>
      <c r="IO138" s="644"/>
      <c r="IP138" s="5" t="s">
        <v>752</v>
      </c>
      <c r="IQ138" s="644"/>
      <c r="IR138" s="5" t="s">
        <v>773</v>
      </c>
      <c r="IS138" s="644"/>
      <c r="IT138" s="9" t="s">
        <v>1083</v>
      </c>
      <c r="IU138" s="644"/>
      <c r="IV138" s="9" t="s">
        <v>465</v>
      </c>
      <c r="IW138" s="644"/>
      <c r="IX138" s="632" t="s">
        <v>1104</v>
      </c>
      <c r="IY138" s="644"/>
      <c r="IZ138" s="9" t="s">
        <v>504</v>
      </c>
      <c r="JA138" s="644"/>
      <c r="JB138" s="9"/>
      <c r="JC138" s="644"/>
      <c r="JD138" s="9" t="s">
        <v>465</v>
      </c>
      <c r="JE138" s="644"/>
      <c r="JF138" s="644"/>
      <c r="JG138" s="644"/>
      <c r="JH138" s="9" t="s">
        <v>701</v>
      </c>
      <c r="JI138" s="644"/>
      <c r="JJ138" s="644"/>
      <c r="JK138" s="644"/>
      <c r="JL138" s="644"/>
      <c r="JM138" s="644"/>
      <c r="JN138" s="9" t="s">
        <v>504</v>
      </c>
      <c r="JO138" s="644"/>
      <c r="JP138" s="644"/>
      <c r="JQ138" s="644"/>
      <c r="JR138" s="20" t="s">
        <v>465</v>
      </c>
      <c r="JS138" s="644"/>
      <c r="JT138" s="9" t="s">
        <v>465</v>
      </c>
      <c r="JU138" s="644"/>
      <c r="JV138" s="9"/>
      <c r="JW138" s="644"/>
      <c r="JX138" s="9" t="s">
        <v>721</v>
      </c>
      <c r="JY138" s="644"/>
    </row>
    <row r="139" spans="1:285" ht="22.5" customHeight="1" x14ac:dyDescent="0.2">
      <c r="A139" s="1565" t="s">
        <v>35</v>
      </c>
      <c r="B139" s="1571" t="s">
        <v>175</v>
      </c>
      <c r="C139" s="91" t="s">
        <v>252</v>
      </c>
      <c r="D139" s="92" t="s">
        <v>176</v>
      </c>
      <c r="E139" s="755" t="s">
        <v>50</v>
      </c>
      <c r="F139" s="9" t="s">
        <v>1659</v>
      </c>
      <c r="G139" s="738"/>
      <c r="H139" s="23" t="s">
        <v>2256</v>
      </c>
      <c r="I139" s="644"/>
      <c r="J139" s="5" t="s">
        <v>2274</v>
      </c>
      <c r="K139" s="644"/>
      <c r="L139" s="23" t="s">
        <v>2288</v>
      </c>
      <c r="M139" s="644"/>
      <c r="N139" s="757" t="s">
        <v>484</v>
      </c>
      <c r="O139" s="644"/>
      <c r="P139" s="4" t="s">
        <v>465</v>
      </c>
      <c r="Q139" s="644"/>
      <c r="R139" s="9"/>
      <c r="S139" s="644"/>
      <c r="T139" s="644"/>
      <c r="U139" s="644"/>
      <c r="V139" s="644"/>
      <c r="W139" s="644"/>
      <c r="X139" s="644"/>
      <c r="Y139" s="644"/>
      <c r="Z139" s="23" t="s">
        <v>2312</v>
      </c>
      <c r="AA139" s="644"/>
      <c r="AB139" s="23" t="s">
        <v>2332</v>
      </c>
      <c r="AC139" s="644"/>
      <c r="AD139" s="23" t="s">
        <v>2349</v>
      </c>
      <c r="AE139" s="644"/>
      <c r="AF139" s="644"/>
      <c r="AG139" s="644"/>
      <c r="AH139" s="644"/>
      <c r="AI139" s="644"/>
      <c r="AJ139" s="84"/>
      <c r="AK139" s="644"/>
      <c r="AL139" s="9" t="s">
        <v>2372</v>
      </c>
      <c r="AM139" s="644"/>
      <c r="AN139" s="23" t="s">
        <v>986</v>
      </c>
      <c r="AO139" s="644"/>
      <c r="AP139" s="23" t="s">
        <v>1003</v>
      </c>
      <c r="AQ139" s="644"/>
      <c r="AR139" s="650" t="s">
        <v>1010</v>
      </c>
      <c r="AS139" s="644"/>
      <c r="AT139" s="23" t="s">
        <v>605</v>
      </c>
      <c r="AU139" s="644"/>
      <c r="AV139" s="775" t="s">
        <v>585</v>
      </c>
      <c r="AW139" s="644"/>
      <c r="AX139" s="23" t="s">
        <v>546</v>
      </c>
      <c r="AY139" s="644"/>
      <c r="AZ139" s="5" t="s">
        <v>563</v>
      </c>
      <c r="BA139" s="644"/>
      <c r="BB139" s="644"/>
      <c r="BC139" s="644"/>
      <c r="BD139" s="5" t="s">
        <v>500</v>
      </c>
      <c r="BE139" s="644"/>
      <c r="BF139" s="9"/>
      <c r="BG139" s="644"/>
      <c r="BH139" s="644"/>
      <c r="BI139" s="644"/>
      <c r="BJ139" s="9"/>
      <c r="BK139" s="644"/>
      <c r="BL139" s="23" t="s">
        <v>1031</v>
      </c>
      <c r="BM139" s="644"/>
      <c r="BN139" s="9" t="s">
        <v>2187</v>
      </c>
      <c r="BO139" s="644"/>
      <c r="BP139" s="632" t="s">
        <v>1979</v>
      </c>
      <c r="BQ139" s="644"/>
      <c r="BR139" s="9"/>
      <c r="BS139" s="644"/>
      <c r="BT139" s="9"/>
      <c r="BU139" s="644"/>
      <c r="BV139" s="9" t="s">
        <v>504</v>
      </c>
      <c r="BW139" s="644"/>
      <c r="BX139" s="650" t="s">
        <v>2157</v>
      </c>
      <c r="BY139" s="644"/>
      <c r="BZ139" s="650" t="s">
        <v>2165</v>
      </c>
      <c r="CA139" s="644"/>
      <c r="CB139" s="23" t="s">
        <v>915</v>
      </c>
      <c r="CC139" s="644"/>
      <c r="CD139" s="644"/>
      <c r="CE139" s="644"/>
      <c r="CF139" s="644"/>
      <c r="CG139" s="644"/>
      <c r="CH139" s="748" t="s">
        <v>2122</v>
      </c>
      <c r="CI139" s="9"/>
      <c r="CJ139" s="8" t="s">
        <v>2138</v>
      </c>
      <c r="CK139" s="9"/>
      <c r="CL139" s="9" t="s">
        <v>634</v>
      </c>
      <c r="CM139" s="644"/>
      <c r="CN139" s="34" t="s">
        <v>2417</v>
      </c>
      <c r="CO139" s="644"/>
      <c r="CP139" s="34" t="s">
        <v>2433</v>
      </c>
      <c r="CQ139" s="644"/>
      <c r="CR139" s="34" t="s">
        <v>2458</v>
      </c>
      <c r="CS139" s="644"/>
      <c r="CT139" s="9" t="s">
        <v>2232</v>
      </c>
      <c r="CU139" s="644"/>
      <c r="CV139" s="23" t="s">
        <v>829</v>
      </c>
      <c r="CW139" s="644"/>
      <c r="CX139" s="23" t="s">
        <v>844</v>
      </c>
      <c r="CY139" s="644"/>
      <c r="CZ139" s="23" t="s">
        <v>855</v>
      </c>
      <c r="DA139" s="644"/>
      <c r="DB139" s="23" t="s">
        <v>866</v>
      </c>
      <c r="DC139" s="644"/>
      <c r="DD139" s="5" t="s">
        <v>2479</v>
      </c>
      <c r="DE139" s="644"/>
      <c r="DF139" s="644"/>
      <c r="DG139" s="644"/>
      <c r="DH139" s="9"/>
      <c r="DI139" s="644"/>
      <c r="DJ139" s="758" t="s">
        <v>504</v>
      </c>
      <c r="DK139" s="644"/>
      <c r="DL139" s="644"/>
      <c r="DM139" s="644"/>
      <c r="DN139" s="9" t="s">
        <v>504</v>
      </c>
      <c r="DO139" s="644"/>
      <c r="DP139" s="644"/>
      <c r="DQ139" s="644"/>
      <c r="DR139" s="644"/>
      <c r="DS139" s="644"/>
      <c r="DT139" s="644"/>
      <c r="DU139" s="644"/>
      <c r="DV139" s="9" t="s">
        <v>465</v>
      </c>
      <c r="DW139" s="644"/>
      <c r="DX139" s="9" t="s">
        <v>465</v>
      </c>
      <c r="DY139" s="644"/>
      <c r="DZ139" s="650"/>
      <c r="EA139" s="644"/>
      <c r="EB139" s="644"/>
      <c r="EC139" s="644"/>
      <c r="ED139" s="644"/>
      <c r="EE139" s="644"/>
      <c r="EF139" s="9"/>
      <c r="EG139" s="644"/>
      <c r="EH139" s="16" t="s">
        <v>2053</v>
      </c>
      <c r="EI139" s="644"/>
      <c r="EJ139" s="644"/>
      <c r="EK139" s="644"/>
      <c r="EL139" s="644"/>
      <c r="EM139" s="644"/>
      <c r="EN139" s="9" t="s">
        <v>1437</v>
      </c>
      <c r="EO139" s="644"/>
      <c r="EP139" s="9" t="s">
        <v>504</v>
      </c>
      <c r="EQ139" s="644"/>
      <c r="ER139" s="644"/>
      <c r="ES139" s="644"/>
      <c r="ET139" s="23" t="s">
        <v>1455</v>
      </c>
      <c r="EU139" s="644"/>
      <c r="EV139" s="23" t="s">
        <v>1475</v>
      </c>
      <c r="EW139" s="644"/>
      <c r="EX139" s="23" t="s">
        <v>1491</v>
      </c>
      <c r="EY139" s="644"/>
      <c r="EZ139" s="9" t="s">
        <v>504</v>
      </c>
      <c r="FA139" s="644"/>
      <c r="FB139" s="9" t="s">
        <v>1512</v>
      </c>
      <c r="FC139" s="644"/>
      <c r="FD139" s="9" t="s">
        <v>1530</v>
      </c>
      <c r="FE139" s="644"/>
      <c r="FF139" s="9" t="s">
        <v>1556</v>
      </c>
      <c r="FG139" s="644"/>
      <c r="FH139" s="34" t="s">
        <v>1574</v>
      </c>
      <c r="FI139" s="644"/>
      <c r="FJ139" s="9" t="s">
        <v>1590</v>
      </c>
      <c r="FK139" s="644"/>
      <c r="FL139" s="760" t="s">
        <v>1608</v>
      </c>
      <c r="FM139" s="644"/>
      <c r="FN139" s="9"/>
      <c r="FO139" s="644"/>
      <c r="FP139" s="9" t="s">
        <v>685</v>
      </c>
      <c r="FQ139" s="644"/>
      <c r="FR139" s="644"/>
      <c r="FS139" s="644"/>
      <c r="FT139" s="644"/>
      <c r="FU139" s="644"/>
      <c r="FV139" s="644"/>
      <c r="FW139" s="644"/>
      <c r="FX139" s="23" t="s">
        <v>1873</v>
      </c>
      <c r="FY139" s="644"/>
      <c r="FZ139" s="644"/>
      <c r="GA139" s="644"/>
      <c r="GB139" s="650" t="s">
        <v>1640</v>
      </c>
      <c r="GC139" s="644"/>
      <c r="GD139" s="23" t="s">
        <v>2514</v>
      </c>
      <c r="GE139" s="644"/>
      <c r="GF139" s="5" t="s">
        <v>2002</v>
      </c>
      <c r="GG139" s="644"/>
      <c r="GH139" s="23" t="s">
        <v>2011</v>
      </c>
      <c r="GI139" s="644"/>
      <c r="GJ139" s="776" t="s">
        <v>1694</v>
      </c>
      <c r="GK139" s="644"/>
      <c r="GL139" s="23" t="s">
        <v>1709</v>
      </c>
      <c r="GM139" s="644"/>
      <c r="GN139" s="9" t="s">
        <v>1725</v>
      </c>
      <c r="GO139" s="644"/>
      <c r="GP139" s="9" t="s">
        <v>1746</v>
      </c>
      <c r="GQ139" s="644"/>
      <c r="GR139" s="8" t="s">
        <v>1962</v>
      </c>
      <c r="GS139" s="644"/>
      <c r="GT139" s="23" t="s">
        <v>2095</v>
      </c>
      <c r="GU139" s="644"/>
      <c r="GV139" s="660" t="s">
        <v>1897</v>
      </c>
      <c r="GW139" s="644"/>
      <c r="GX139" s="34" t="s">
        <v>1912</v>
      </c>
      <c r="GY139" s="644"/>
      <c r="GZ139" s="23" t="s">
        <v>1923</v>
      </c>
      <c r="HA139" s="644"/>
      <c r="HB139" s="9" t="s">
        <v>1815</v>
      </c>
      <c r="HC139" s="644"/>
      <c r="HD139" s="650" t="s">
        <v>1844</v>
      </c>
      <c r="HE139" s="644"/>
      <c r="HF139" s="9" t="s">
        <v>465</v>
      </c>
      <c r="HG139" s="644"/>
      <c r="HH139" s="9" t="s">
        <v>1935</v>
      </c>
      <c r="HI139" s="644"/>
      <c r="HJ139" s="644"/>
      <c r="HK139" s="644"/>
      <c r="HL139" s="9" t="s">
        <v>504</v>
      </c>
      <c r="HM139" s="644"/>
      <c r="HN139" s="9" t="s">
        <v>1785</v>
      </c>
      <c r="HO139" s="644"/>
      <c r="HP139" s="650" t="s">
        <v>1284</v>
      </c>
      <c r="HQ139" s="644"/>
      <c r="HR139" s="650" t="s">
        <v>1296</v>
      </c>
      <c r="HS139" s="644"/>
      <c r="HT139" s="749" t="s">
        <v>1308</v>
      </c>
      <c r="HU139" s="644"/>
      <c r="HV139" s="650" t="s">
        <v>1284</v>
      </c>
      <c r="HW139" s="644"/>
      <c r="HX139" s="9" t="s">
        <v>2187</v>
      </c>
      <c r="HY139" s="644"/>
      <c r="HZ139" s="9" t="s">
        <v>2204</v>
      </c>
      <c r="IA139" s="644"/>
      <c r="IB139" s="644"/>
      <c r="IC139" s="644"/>
      <c r="ID139" s="23" t="s">
        <v>1235</v>
      </c>
      <c r="IE139" s="644"/>
      <c r="IF139" s="650" t="s">
        <v>1267</v>
      </c>
      <c r="IG139" s="756"/>
      <c r="IH139" s="23" t="s">
        <v>1331</v>
      </c>
      <c r="II139" s="644"/>
      <c r="IJ139" s="644"/>
      <c r="IK139" s="644"/>
      <c r="IL139" s="633" t="s">
        <v>465</v>
      </c>
      <c r="IM139" s="644"/>
      <c r="IN139" s="652" t="s">
        <v>1362</v>
      </c>
      <c r="IO139" s="644"/>
      <c r="IP139" s="9" t="s">
        <v>753</v>
      </c>
      <c r="IQ139" s="644"/>
      <c r="IR139" s="650" t="s">
        <v>774</v>
      </c>
      <c r="IS139" s="644"/>
      <c r="IT139" s="9" t="s">
        <v>1079</v>
      </c>
      <c r="IU139" s="644"/>
      <c r="IV139" s="9" t="s">
        <v>465</v>
      </c>
      <c r="IW139" s="644"/>
      <c r="IX139" s="653" t="s">
        <v>1112</v>
      </c>
      <c r="IY139" s="644"/>
      <c r="IZ139" s="9" t="s">
        <v>1384</v>
      </c>
      <c r="JA139" s="644"/>
      <c r="JB139" s="9"/>
      <c r="JC139" s="644"/>
      <c r="JD139" s="8" t="s">
        <v>1418</v>
      </c>
      <c r="JE139" s="644"/>
      <c r="JF139" s="644"/>
      <c r="JG139" s="644"/>
      <c r="JH139" s="9" t="s">
        <v>812</v>
      </c>
      <c r="JI139" s="644"/>
      <c r="JJ139" s="644"/>
      <c r="JK139" s="644"/>
      <c r="JL139" s="644"/>
      <c r="JM139" s="644"/>
      <c r="JN139" s="9" t="s">
        <v>2493</v>
      </c>
      <c r="JO139" s="644"/>
      <c r="JP139" s="644"/>
      <c r="JQ139" s="644"/>
      <c r="JR139" s="654" t="s">
        <v>1060</v>
      </c>
      <c r="JS139" s="644"/>
      <c r="JT139" s="9" t="s">
        <v>1125</v>
      </c>
      <c r="JU139" s="644"/>
      <c r="JV139" s="5" t="s">
        <v>2544</v>
      </c>
      <c r="JW139" s="644"/>
      <c r="JX139" s="23" t="s">
        <v>722</v>
      </c>
      <c r="JY139" s="644"/>
    </row>
    <row r="140" spans="1:285" ht="45" customHeight="1" x14ac:dyDescent="0.2">
      <c r="A140" s="1565"/>
      <c r="B140" s="1571"/>
      <c r="C140" s="91" t="s">
        <v>253</v>
      </c>
      <c r="D140" s="92" t="s">
        <v>177</v>
      </c>
      <c r="E140" s="755" t="s">
        <v>50</v>
      </c>
      <c r="F140" s="9" t="s">
        <v>1660</v>
      </c>
      <c r="G140" s="756"/>
      <c r="H140" s="5" t="s">
        <v>2257</v>
      </c>
      <c r="I140" s="644"/>
      <c r="J140" s="5" t="s">
        <v>2275</v>
      </c>
      <c r="K140" s="644"/>
      <c r="L140" s="23" t="s">
        <v>465</v>
      </c>
      <c r="M140" s="644"/>
      <c r="N140" s="757" t="s">
        <v>465</v>
      </c>
      <c r="O140" s="644"/>
      <c r="P140" s="84" t="s">
        <v>507</v>
      </c>
      <c r="Q140" s="644"/>
      <c r="R140" s="9"/>
      <c r="S140" s="644"/>
      <c r="T140" s="644"/>
      <c r="U140" s="644"/>
      <c r="V140" s="644"/>
      <c r="W140" s="644"/>
      <c r="X140" s="644"/>
      <c r="Y140" s="644"/>
      <c r="Z140" s="23" t="s">
        <v>2313</v>
      </c>
      <c r="AA140" s="644"/>
      <c r="AB140" s="23" t="s">
        <v>2333</v>
      </c>
      <c r="AC140" s="644"/>
      <c r="AD140" s="9" t="s">
        <v>465</v>
      </c>
      <c r="AE140" s="644"/>
      <c r="AF140" s="644"/>
      <c r="AG140" s="644"/>
      <c r="AH140" s="644"/>
      <c r="AI140" s="644"/>
      <c r="AJ140" s="84"/>
      <c r="AK140" s="644"/>
      <c r="AL140" s="9" t="s">
        <v>2373</v>
      </c>
      <c r="AM140" s="644"/>
      <c r="AN140" s="23" t="s">
        <v>987</v>
      </c>
      <c r="AO140" s="644"/>
      <c r="AP140" s="9"/>
      <c r="AQ140" s="644"/>
      <c r="AR140" s="9"/>
      <c r="AS140" s="644"/>
      <c r="AT140" s="23" t="s">
        <v>606</v>
      </c>
      <c r="AU140" s="644"/>
      <c r="AV140" s="775" t="s">
        <v>586</v>
      </c>
      <c r="AW140" s="644"/>
      <c r="AX140" s="23" t="s">
        <v>547</v>
      </c>
      <c r="AY140" s="644"/>
      <c r="AZ140" s="9"/>
      <c r="BA140" s="644"/>
      <c r="BB140" s="644"/>
      <c r="BC140" s="644"/>
      <c r="BD140" s="5" t="s">
        <v>2381</v>
      </c>
      <c r="BE140" s="644"/>
      <c r="BF140" s="9"/>
      <c r="BG140" s="644"/>
      <c r="BH140" s="644"/>
      <c r="BI140" s="644"/>
      <c r="BJ140" s="9"/>
      <c r="BK140" s="644"/>
      <c r="BL140" s="23" t="s">
        <v>1032</v>
      </c>
      <c r="BM140" s="644"/>
      <c r="BN140" s="9"/>
      <c r="BO140" s="644"/>
      <c r="BP140" s="9"/>
      <c r="BQ140" s="644"/>
      <c r="BR140" s="9" t="s">
        <v>465</v>
      </c>
      <c r="BS140" s="644"/>
      <c r="BT140" s="9"/>
      <c r="BU140" s="644"/>
      <c r="BV140" s="9"/>
      <c r="BW140" s="644"/>
      <c r="BX140" s="650" t="s">
        <v>2158</v>
      </c>
      <c r="BY140" s="644"/>
      <c r="BZ140" s="650" t="s">
        <v>2171</v>
      </c>
      <c r="CA140" s="644"/>
      <c r="CB140" s="23"/>
      <c r="CC140" s="644"/>
      <c r="CD140" s="644"/>
      <c r="CE140" s="644"/>
      <c r="CF140" s="644"/>
      <c r="CG140" s="644"/>
      <c r="CH140" s="632" t="s">
        <v>2123</v>
      </c>
      <c r="CI140" s="9"/>
      <c r="CJ140" s="9" t="s">
        <v>2139</v>
      </c>
      <c r="CK140" s="9"/>
      <c r="CL140" s="34" t="s">
        <v>635</v>
      </c>
      <c r="CM140" s="644"/>
      <c r="CN140" s="9" t="s">
        <v>504</v>
      </c>
      <c r="CO140" s="644"/>
      <c r="CP140" s="9" t="s">
        <v>2434</v>
      </c>
      <c r="CQ140" s="644"/>
      <c r="CR140" s="829" t="s">
        <v>2459</v>
      </c>
      <c r="CS140" s="644"/>
      <c r="CT140" s="5" t="s">
        <v>2233</v>
      </c>
      <c r="CU140" s="644"/>
      <c r="CV140" s="9" t="s">
        <v>465</v>
      </c>
      <c r="CW140" s="644"/>
      <c r="CX140" s="9" t="s">
        <v>465</v>
      </c>
      <c r="CY140" s="644"/>
      <c r="CZ140" s="9" t="s">
        <v>465</v>
      </c>
      <c r="DA140" s="644"/>
      <c r="DB140" s="9" t="s">
        <v>465</v>
      </c>
      <c r="DC140" s="644"/>
      <c r="DD140" s="5"/>
      <c r="DE140" s="644"/>
      <c r="DF140" s="644"/>
      <c r="DG140" s="644"/>
      <c r="DH140" s="5" t="s">
        <v>879</v>
      </c>
      <c r="DI140" s="644"/>
      <c r="DJ140" s="758" t="s">
        <v>504</v>
      </c>
      <c r="DK140" s="644"/>
      <c r="DL140" s="644"/>
      <c r="DM140" s="644"/>
      <c r="DN140" s="23" t="s">
        <v>1152</v>
      </c>
      <c r="DO140" s="644"/>
      <c r="DP140" s="644"/>
      <c r="DQ140" s="644"/>
      <c r="DR140" s="644"/>
      <c r="DS140" s="644"/>
      <c r="DT140" s="644"/>
      <c r="DU140" s="644"/>
      <c r="DV140" s="9" t="s">
        <v>1180</v>
      </c>
      <c r="DW140" s="644"/>
      <c r="DX140" s="9" t="s">
        <v>1194</v>
      </c>
      <c r="DY140" s="644"/>
      <c r="DZ140" s="750" t="s">
        <v>2533</v>
      </c>
      <c r="EA140" s="644"/>
      <c r="EB140" s="644"/>
      <c r="EC140" s="644"/>
      <c r="ED140" s="644"/>
      <c r="EE140" s="644"/>
      <c r="EF140" s="23" t="s">
        <v>2042</v>
      </c>
      <c r="EG140" s="644"/>
      <c r="EH140" s="16" t="s">
        <v>2069</v>
      </c>
      <c r="EI140" s="644"/>
      <c r="EJ140" s="644"/>
      <c r="EK140" s="644"/>
      <c r="EL140" s="644"/>
      <c r="EM140" s="644"/>
      <c r="EN140" s="9" t="s">
        <v>504</v>
      </c>
      <c r="EO140" s="644"/>
      <c r="EP140" s="9" t="s">
        <v>504</v>
      </c>
      <c r="EQ140" s="644"/>
      <c r="ER140" s="644"/>
      <c r="ES140" s="644"/>
      <c r="ET140" s="9" t="s">
        <v>465</v>
      </c>
      <c r="EU140" s="644"/>
      <c r="EV140" s="9" t="s">
        <v>465</v>
      </c>
      <c r="EW140" s="644"/>
      <c r="EX140" s="9" t="s">
        <v>1492</v>
      </c>
      <c r="EY140" s="644"/>
      <c r="EZ140" s="9" t="s">
        <v>504</v>
      </c>
      <c r="FA140" s="644"/>
      <c r="FB140" s="9" t="s">
        <v>504</v>
      </c>
      <c r="FC140" s="644"/>
      <c r="FD140" s="23" t="s">
        <v>1531</v>
      </c>
      <c r="FE140" s="644"/>
      <c r="FF140" s="5" t="s">
        <v>1492</v>
      </c>
      <c r="FG140" s="644"/>
      <c r="FH140" s="9" t="s">
        <v>1575</v>
      </c>
      <c r="FI140" s="644"/>
      <c r="FJ140" s="9"/>
      <c r="FK140" s="644"/>
      <c r="FL140" s="780" t="s">
        <v>504</v>
      </c>
      <c r="FM140" s="644"/>
      <c r="FN140" s="9" t="s">
        <v>219</v>
      </c>
      <c r="FO140" s="644"/>
      <c r="FP140" s="9" t="s">
        <v>686</v>
      </c>
      <c r="FQ140" s="644"/>
      <c r="FR140" s="644"/>
      <c r="FS140" s="644"/>
      <c r="FT140" s="644"/>
      <c r="FU140" s="644"/>
      <c r="FV140" s="644"/>
      <c r="FW140" s="644"/>
      <c r="FX140" s="23" t="s">
        <v>1874</v>
      </c>
      <c r="FY140" s="644"/>
      <c r="FZ140" s="644"/>
      <c r="GA140" s="644"/>
      <c r="GB140" s="9"/>
      <c r="GC140" s="644"/>
      <c r="GD140" s="23" t="s">
        <v>2515</v>
      </c>
      <c r="GE140" s="644"/>
      <c r="GF140" s="9" t="s">
        <v>465</v>
      </c>
      <c r="GG140" s="644"/>
      <c r="GH140" s="644" t="s">
        <v>2008</v>
      </c>
      <c r="GI140" s="644"/>
      <c r="GJ140" s="776" t="s">
        <v>1695</v>
      </c>
      <c r="GK140" s="644"/>
      <c r="GL140" s="9" t="s">
        <v>504</v>
      </c>
      <c r="GM140" s="644"/>
      <c r="GN140" s="9" t="s">
        <v>1726</v>
      </c>
      <c r="GO140" s="644"/>
      <c r="GP140" s="9" t="s">
        <v>1746</v>
      </c>
      <c r="GQ140" s="644"/>
      <c r="GR140" s="8" t="s">
        <v>1963</v>
      </c>
      <c r="GS140" s="644"/>
      <c r="GT140" s="23" t="s">
        <v>2096</v>
      </c>
      <c r="GU140" s="644"/>
      <c r="GV140" s="23" t="s">
        <v>1898</v>
      </c>
      <c r="GW140" s="644"/>
      <c r="GX140" s="654" t="s">
        <v>1913</v>
      </c>
      <c r="GY140" s="644"/>
      <c r="GZ140" s="23" t="s">
        <v>1898</v>
      </c>
      <c r="HA140" s="644"/>
      <c r="HB140" s="9" t="s">
        <v>1816</v>
      </c>
      <c r="HC140" s="644"/>
      <c r="HD140" s="9" t="s">
        <v>1845</v>
      </c>
      <c r="HE140" s="644"/>
      <c r="HF140" s="9" t="s">
        <v>465</v>
      </c>
      <c r="HG140" s="644"/>
      <c r="HH140" s="9" t="s">
        <v>465</v>
      </c>
      <c r="HI140" s="644"/>
      <c r="HJ140" s="644"/>
      <c r="HK140" s="644"/>
      <c r="HL140" s="9" t="s">
        <v>504</v>
      </c>
      <c r="HM140" s="644"/>
      <c r="HN140" s="9" t="s">
        <v>1786</v>
      </c>
      <c r="HO140" s="644"/>
      <c r="HP140" s="9"/>
      <c r="HQ140" s="644"/>
      <c r="HR140" s="9"/>
      <c r="HS140" s="644"/>
      <c r="HT140" s="651" t="s">
        <v>1309</v>
      </c>
      <c r="HU140" s="644"/>
      <c r="HV140" s="9"/>
      <c r="HW140" s="644"/>
      <c r="HX140" s="9"/>
      <c r="HY140" s="644"/>
      <c r="HZ140" s="9" t="s">
        <v>2205</v>
      </c>
      <c r="IA140" s="644"/>
      <c r="IB140" s="644"/>
      <c r="IC140" s="644"/>
      <c r="ID140" s="23" t="s">
        <v>1236</v>
      </c>
      <c r="IE140" s="644"/>
      <c r="IF140" s="650" t="s">
        <v>1268</v>
      </c>
      <c r="IG140" s="756"/>
      <c r="IH140" s="9"/>
      <c r="II140" s="644"/>
      <c r="IJ140" s="644"/>
      <c r="IK140" s="644"/>
      <c r="IL140" s="633" t="s">
        <v>465</v>
      </c>
      <c r="IM140" s="644"/>
      <c r="IN140" s="652" t="s">
        <v>1363</v>
      </c>
      <c r="IO140" s="644"/>
      <c r="IP140" s="9" t="s">
        <v>754</v>
      </c>
      <c r="IQ140" s="644"/>
      <c r="IR140" s="650" t="s">
        <v>775</v>
      </c>
      <c r="IS140" s="644"/>
      <c r="IT140" s="9" t="s">
        <v>701</v>
      </c>
      <c r="IU140" s="644"/>
      <c r="IV140" s="9" t="s">
        <v>465</v>
      </c>
      <c r="IW140" s="644"/>
      <c r="IX140" s="653" t="s">
        <v>1114</v>
      </c>
      <c r="IY140" s="644"/>
      <c r="IZ140" s="23" t="s">
        <v>1385</v>
      </c>
      <c r="JA140" s="644"/>
      <c r="JB140" s="9"/>
      <c r="JC140" s="644"/>
      <c r="JD140" s="9" t="s">
        <v>1419</v>
      </c>
      <c r="JE140" s="644"/>
      <c r="JF140" s="644"/>
      <c r="JG140" s="644"/>
      <c r="JH140" s="9" t="s">
        <v>806</v>
      </c>
      <c r="JI140" s="644"/>
      <c r="JJ140" s="644"/>
      <c r="JK140" s="644"/>
      <c r="JL140" s="644"/>
      <c r="JM140" s="644"/>
      <c r="JN140" s="9" t="s">
        <v>504</v>
      </c>
      <c r="JO140" s="644"/>
      <c r="JP140" s="644"/>
      <c r="JQ140" s="644"/>
      <c r="JR140" s="20" t="s">
        <v>465</v>
      </c>
      <c r="JS140" s="644"/>
      <c r="JT140" s="9" t="s">
        <v>1125</v>
      </c>
      <c r="JU140" s="644"/>
      <c r="JV140" s="650" t="s">
        <v>2545</v>
      </c>
      <c r="JW140" s="644"/>
      <c r="JX140" s="9" t="s">
        <v>723</v>
      </c>
      <c r="JY140" s="644"/>
    </row>
    <row r="141" spans="1:285" ht="33" customHeight="1" x14ac:dyDescent="0.2">
      <c r="A141" s="1565"/>
      <c r="B141" s="1571"/>
      <c r="C141" s="82" t="s">
        <v>254</v>
      </c>
      <c r="D141" s="83" t="s">
        <v>47</v>
      </c>
      <c r="E141" s="755" t="s">
        <v>155</v>
      </c>
      <c r="F141" s="9"/>
      <c r="G141" s="756"/>
      <c r="H141" s="9" t="s">
        <v>465</v>
      </c>
      <c r="I141" s="644"/>
      <c r="J141" s="23" t="s">
        <v>2276</v>
      </c>
      <c r="K141" s="644"/>
      <c r="L141" s="9" t="s">
        <v>465</v>
      </c>
      <c r="M141" s="644"/>
      <c r="N141" s="757" t="s">
        <v>485</v>
      </c>
      <c r="O141" s="644"/>
      <c r="P141" s="84" t="s">
        <v>508</v>
      </c>
      <c r="Q141" s="644"/>
      <c r="R141" s="9"/>
      <c r="S141" s="644"/>
      <c r="T141" s="644"/>
      <c r="U141" s="644"/>
      <c r="V141" s="644"/>
      <c r="W141" s="644"/>
      <c r="X141" s="644"/>
      <c r="Y141" s="644"/>
      <c r="Z141" s="23" t="s">
        <v>2314</v>
      </c>
      <c r="AA141" s="644"/>
      <c r="AB141" s="23" t="s">
        <v>2334</v>
      </c>
      <c r="AC141" s="644"/>
      <c r="AD141" s="9" t="s">
        <v>465</v>
      </c>
      <c r="AE141" s="644"/>
      <c r="AF141" s="644"/>
      <c r="AG141" s="644"/>
      <c r="AH141" s="644"/>
      <c r="AI141" s="644"/>
      <c r="AJ141" s="84"/>
      <c r="AK141" s="644"/>
      <c r="AL141" s="9"/>
      <c r="AM141" s="644"/>
      <c r="AN141" s="9"/>
      <c r="AO141" s="644"/>
      <c r="AP141" s="9"/>
      <c r="AQ141" s="644"/>
      <c r="AR141" s="9"/>
      <c r="AS141" s="644"/>
      <c r="AT141" s="23" t="s">
        <v>605</v>
      </c>
      <c r="AU141" s="644"/>
      <c r="AV141" s="757"/>
      <c r="AW141" s="644"/>
      <c r="AX141" s="9"/>
      <c r="AY141" s="644"/>
      <c r="AZ141" s="9"/>
      <c r="BA141" s="644"/>
      <c r="BB141" s="644"/>
      <c r="BC141" s="644"/>
      <c r="BD141" s="5" t="s">
        <v>2382</v>
      </c>
      <c r="BE141" s="644"/>
      <c r="BF141" s="9"/>
      <c r="BG141" s="644"/>
      <c r="BH141" s="644"/>
      <c r="BI141" s="644"/>
      <c r="BJ141" s="9"/>
      <c r="BK141" s="644"/>
      <c r="BL141" s="23" t="s">
        <v>1033</v>
      </c>
      <c r="BM141" s="644"/>
      <c r="BN141" s="9" t="s">
        <v>2188</v>
      </c>
      <c r="BO141" s="644"/>
      <c r="BP141" s="9"/>
      <c r="BQ141" s="644"/>
      <c r="BR141" s="9" t="s">
        <v>465</v>
      </c>
      <c r="BS141" s="644"/>
      <c r="BT141" s="9"/>
      <c r="BU141" s="644"/>
      <c r="BV141" s="9"/>
      <c r="BW141" s="644"/>
      <c r="BX141" s="9"/>
      <c r="BY141" s="644"/>
      <c r="BZ141" s="9"/>
      <c r="CA141" s="644"/>
      <c r="CB141" s="23" t="s">
        <v>915</v>
      </c>
      <c r="CC141" s="644"/>
      <c r="CD141" s="644"/>
      <c r="CE141" s="644"/>
      <c r="CF141" s="644"/>
      <c r="CG141" s="644"/>
      <c r="CH141" s="632" t="s">
        <v>504</v>
      </c>
      <c r="CI141" s="9"/>
      <c r="CJ141" s="23" t="s">
        <v>2140</v>
      </c>
      <c r="CK141" s="9"/>
      <c r="CL141" s="16" t="s">
        <v>636</v>
      </c>
      <c r="CM141" s="644"/>
      <c r="CN141" s="9" t="s">
        <v>504</v>
      </c>
      <c r="CO141" s="644"/>
      <c r="CP141" s="23" t="s">
        <v>2435</v>
      </c>
      <c r="CQ141" s="644"/>
      <c r="CR141" s="830" t="s">
        <v>2460</v>
      </c>
      <c r="CS141" s="644"/>
      <c r="CT141" s="23" t="s">
        <v>2234</v>
      </c>
      <c r="CU141" s="644"/>
      <c r="CV141" s="9" t="s">
        <v>465</v>
      </c>
      <c r="CW141" s="644"/>
      <c r="CX141" s="9" t="s">
        <v>465</v>
      </c>
      <c r="CY141" s="644"/>
      <c r="CZ141" s="9" t="s">
        <v>465</v>
      </c>
      <c r="DA141" s="644"/>
      <c r="DB141" s="9" t="s">
        <v>465</v>
      </c>
      <c r="DC141" s="644"/>
      <c r="DD141" s="9"/>
      <c r="DE141" s="644"/>
      <c r="DF141" s="644"/>
      <c r="DG141" s="644"/>
      <c r="DH141" s="5" t="s">
        <v>880</v>
      </c>
      <c r="DI141" s="644"/>
      <c r="DJ141" s="758" t="s">
        <v>504</v>
      </c>
      <c r="DK141" s="644"/>
      <c r="DL141" s="644"/>
      <c r="DM141" s="644"/>
      <c r="DN141" s="9" t="s">
        <v>504</v>
      </c>
      <c r="DO141" s="644"/>
      <c r="DP141" s="644"/>
      <c r="DQ141" s="644"/>
      <c r="DR141" s="644"/>
      <c r="DS141" s="644"/>
      <c r="DT141" s="644"/>
      <c r="DU141" s="644"/>
      <c r="DV141" s="9"/>
      <c r="DW141" s="644"/>
      <c r="DX141" s="9"/>
      <c r="DY141" s="644"/>
      <c r="DZ141" s="9" t="s">
        <v>465</v>
      </c>
      <c r="EA141" s="644"/>
      <c r="EB141" s="644"/>
      <c r="EC141" s="644"/>
      <c r="ED141" s="644"/>
      <c r="EE141" s="644"/>
      <c r="EF141" s="9" t="s">
        <v>504</v>
      </c>
      <c r="EG141" s="644"/>
      <c r="EH141" s="759" t="s">
        <v>504</v>
      </c>
      <c r="EI141" s="644"/>
      <c r="EJ141" s="644"/>
      <c r="EK141" s="644"/>
      <c r="EL141" s="644"/>
      <c r="EM141" s="644"/>
      <c r="EN141" s="9" t="s">
        <v>504</v>
      </c>
      <c r="EO141" s="644"/>
      <c r="EP141" s="9" t="s">
        <v>504</v>
      </c>
      <c r="EQ141" s="644"/>
      <c r="ER141" s="644"/>
      <c r="ES141" s="644"/>
      <c r="ET141" s="23" t="s">
        <v>1456</v>
      </c>
      <c r="EU141" s="644"/>
      <c r="EV141" s="9" t="s">
        <v>465</v>
      </c>
      <c r="EW141" s="644"/>
      <c r="EX141" s="23" t="s">
        <v>1493</v>
      </c>
      <c r="EY141" s="644"/>
      <c r="EZ141" s="9" t="s">
        <v>504</v>
      </c>
      <c r="FA141" s="644"/>
      <c r="FB141" s="9" t="s">
        <v>504</v>
      </c>
      <c r="FC141" s="644"/>
      <c r="FD141" s="23" t="s">
        <v>1532</v>
      </c>
      <c r="FE141" s="644"/>
      <c r="FF141" s="23" t="s">
        <v>1557</v>
      </c>
      <c r="FG141" s="644"/>
      <c r="FH141" s="23" t="s">
        <v>1576</v>
      </c>
      <c r="FI141" s="644"/>
      <c r="FJ141" s="9"/>
      <c r="FK141" s="644"/>
      <c r="FL141" s="780" t="s">
        <v>504</v>
      </c>
      <c r="FM141" s="644"/>
      <c r="FN141" s="9"/>
      <c r="FO141" s="644"/>
      <c r="FP141" s="9" t="s">
        <v>687</v>
      </c>
      <c r="FQ141" s="644"/>
      <c r="FR141" s="644"/>
      <c r="FS141" s="644"/>
      <c r="FT141" s="644"/>
      <c r="FU141" s="644"/>
      <c r="FV141" s="644"/>
      <c r="FW141" s="644"/>
      <c r="FX141" s="23" t="s">
        <v>1875</v>
      </c>
      <c r="FY141" s="644"/>
      <c r="FZ141" s="644"/>
      <c r="GA141" s="644"/>
      <c r="GB141" s="9"/>
      <c r="GC141" s="644"/>
      <c r="GD141" s="23" t="s">
        <v>2516</v>
      </c>
      <c r="GE141" s="644"/>
      <c r="GF141" s="9" t="s">
        <v>465</v>
      </c>
      <c r="GG141" s="644"/>
      <c r="GH141" s="9"/>
      <c r="GI141" s="644"/>
      <c r="GJ141" s="820" t="s">
        <v>1669</v>
      </c>
      <c r="GK141" s="644"/>
      <c r="GL141" s="9" t="str">
        <f>'[1]практика субъекта'!$F$125</f>
        <v>https://tvoybudget.spb.ru/press; https://yadi.sk/d/STXBWeWut004OA</v>
      </c>
      <c r="GM141" s="644"/>
      <c r="GN141" s="23" t="s">
        <v>1727</v>
      </c>
      <c r="GO141" s="644"/>
      <c r="GP141" s="9" t="s">
        <v>1747</v>
      </c>
      <c r="GQ141" s="644"/>
      <c r="GR141" s="8" t="s">
        <v>1964</v>
      </c>
      <c r="GS141" s="644"/>
      <c r="GT141" s="23" t="s">
        <v>2097</v>
      </c>
      <c r="GU141" s="644"/>
      <c r="GV141" s="9" t="s">
        <v>504</v>
      </c>
      <c r="GW141" s="644"/>
      <c r="GX141" s="9" t="s">
        <v>504</v>
      </c>
      <c r="GY141" s="644"/>
      <c r="GZ141" s="9" t="s">
        <v>504</v>
      </c>
      <c r="HA141" s="644"/>
      <c r="HB141" s="9"/>
      <c r="HC141" s="644"/>
      <c r="HD141" s="9" t="s">
        <v>1846</v>
      </c>
      <c r="HE141" s="644"/>
      <c r="HF141" s="9" t="s">
        <v>465</v>
      </c>
      <c r="HG141" s="644"/>
      <c r="HH141" s="9" t="s">
        <v>465</v>
      </c>
      <c r="HI141" s="644"/>
      <c r="HJ141" s="644"/>
      <c r="HK141" s="644"/>
      <c r="HL141" s="9" t="s">
        <v>504</v>
      </c>
      <c r="HM141" s="644"/>
      <c r="HN141" s="9" t="s">
        <v>1787</v>
      </c>
      <c r="HO141" s="644"/>
      <c r="HP141" s="9"/>
      <c r="HQ141" s="644"/>
      <c r="HR141" s="9"/>
      <c r="HS141" s="644"/>
      <c r="HT141" s="749" t="s">
        <v>1310</v>
      </c>
      <c r="HU141" s="644"/>
      <c r="HV141" s="9"/>
      <c r="HW141" s="644"/>
      <c r="HX141" s="9" t="s">
        <v>2188</v>
      </c>
      <c r="HY141" s="644"/>
      <c r="HZ141" s="9"/>
      <c r="IA141" s="644"/>
      <c r="IB141" s="644"/>
      <c r="IC141" s="644"/>
      <c r="ID141" s="23" t="s">
        <v>1237</v>
      </c>
      <c r="IE141" s="644"/>
      <c r="IF141" s="650" t="s">
        <v>1269</v>
      </c>
      <c r="IG141" s="756"/>
      <c r="IH141" s="23" t="s">
        <v>1335</v>
      </c>
      <c r="II141" s="644"/>
      <c r="IJ141" s="644"/>
      <c r="IK141" s="644"/>
      <c r="IL141" s="633" t="s">
        <v>465</v>
      </c>
      <c r="IM141" s="644"/>
      <c r="IN141" s="652" t="s">
        <v>1364</v>
      </c>
      <c r="IO141" s="644"/>
      <c r="IP141" s="9" t="s">
        <v>755</v>
      </c>
      <c r="IQ141" s="644"/>
      <c r="IR141" s="9" t="s">
        <v>776</v>
      </c>
      <c r="IS141" s="644"/>
      <c r="IT141" s="650" t="s">
        <v>1078</v>
      </c>
      <c r="IU141" s="644"/>
      <c r="IV141" s="9" t="s">
        <v>465</v>
      </c>
      <c r="IW141" s="644"/>
      <c r="IX141" s="653" t="s">
        <v>1115</v>
      </c>
      <c r="IY141" s="644"/>
      <c r="IZ141" s="23" t="s">
        <v>1372</v>
      </c>
      <c r="JA141" s="644"/>
      <c r="JB141" s="9"/>
      <c r="JC141" s="644"/>
      <c r="JD141" s="9" t="s">
        <v>465</v>
      </c>
      <c r="JE141" s="644"/>
      <c r="JF141" s="644"/>
      <c r="JG141" s="644"/>
      <c r="JH141" s="23" t="s">
        <v>813</v>
      </c>
      <c r="JI141" s="644"/>
      <c r="JJ141" s="644"/>
      <c r="JK141" s="644"/>
      <c r="JL141" s="644"/>
      <c r="JM141" s="644"/>
      <c r="JN141" s="9" t="s">
        <v>504</v>
      </c>
      <c r="JO141" s="644"/>
      <c r="JP141" s="644"/>
      <c r="JQ141" s="644"/>
      <c r="JR141" s="20" t="s">
        <v>465</v>
      </c>
      <c r="JS141" s="644"/>
      <c r="JT141" s="9" t="s">
        <v>1125</v>
      </c>
      <c r="JU141" s="644"/>
      <c r="JV141" s="5" t="s">
        <v>2546</v>
      </c>
      <c r="JW141" s="644"/>
      <c r="JX141" s="23" t="s">
        <v>724</v>
      </c>
      <c r="JY141" s="644"/>
    </row>
    <row r="142" spans="1:285" ht="77.25" customHeight="1" x14ac:dyDescent="0.2">
      <c r="A142" s="1565"/>
      <c r="B142" s="1571"/>
      <c r="C142" s="82" t="s">
        <v>255</v>
      </c>
      <c r="D142" s="83" t="s">
        <v>186</v>
      </c>
      <c r="E142" s="755" t="s">
        <v>48</v>
      </c>
      <c r="F142" s="9" t="s">
        <v>1661</v>
      </c>
      <c r="G142" s="823"/>
      <c r="H142" s="9" t="s">
        <v>2258</v>
      </c>
      <c r="I142" s="644"/>
      <c r="J142" s="9" t="s">
        <v>2277</v>
      </c>
      <c r="K142" s="644"/>
      <c r="L142" s="9" t="s">
        <v>2289</v>
      </c>
      <c r="M142" s="644"/>
      <c r="N142" s="757" t="s">
        <v>486</v>
      </c>
      <c r="O142" s="644"/>
      <c r="P142" s="84" t="s">
        <v>509</v>
      </c>
      <c r="Q142" s="644"/>
      <c r="R142" s="9"/>
      <c r="S142" s="644"/>
      <c r="T142" s="644"/>
      <c r="U142" s="644"/>
      <c r="V142" s="644"/>
      <c r="W142" s="644"/>
      <c r="X142" s="644"/>
      <c r="Y142" s="644"/>
      <c r="Z142" s="20" t="s">
        <v>2315</v>
      </c>
      <c r="AA142" s="644"/>
      <c r="AB142" s="9" t="s">
        <v>2335</v>
      </c>
      <c r="AC142" s="644"/>
      <c r="AD142" s="9" t="s">
        <v>2350</v>
      </c>
      <c r="AE142" s="644"/>
      <c r="AF142" s="644"/>
      <c r="AG142" s="644"/>
      <c r="AH142" s="644"/>
      <c r="AI142" s="644"/>
      <c r="AJ142" s="84" t="s">
        <v>659</v>
      </c>
      <c r="AK142" s="644"/>
      <c r="AL142" s="9"/>
      <c r="AM142" s="644"/>
      <c r="AN142" s="9"/>
      <c r="AO142" s="644"/>
      <c r="AP142" s="9" t="s">
        <v>1004</v>
      </c>
      <c r="AQ142" s="644"/>
      <c r="AR142" s="9"/>
      <c r="AS142" s="644"/>
      <c r="AT142" s="9" t="s">
        <v>607</v>
      </c>
      <c r="AU142" s="644"/>
      <c r="AV142" s="757" t="s">
        <v>587</v>
      </c>
      <c r="AW142" s="644"/>
      <c r="AX142" s="9" t="s">
        <v>548</v>
      </c>
      <c r="AY142" s="644"/>
      <c r="AZ142" s="5" t="s">
        <v>564</v>
      </c>
      <c r="BA142" s="644"/>
      <c r="BB142" s="644"/>
      <c r="BC142" s="644"/>
      <c r="BD142" s="5"/>
      <c r="BE142" s="644"/>
      <c r="BF142" s="9"/>
      <c r="BG142" s="644"/>
      <c r="BH142" s="644"/>
      <c r="BI142" s="644"/>
      <c r="BJ142" s="9"/>
      <c r="BK142" s="644"/>
      <c r="BL142" s="9" t="s">
        <v>1034</v>
      </c>
      <c r="BM142" s="644"/>
      <c r="BN142" s="9"/>
      <c r="BO142" s="644"/>
      <c r="BP142" s="632" t="s">
        <v>1980</v>
      </c>
      <c r="BQ142" s="644"/>
      <c r="BR142" s="9" t="s">
        <v>972</v>
      </c>
      <c r="BS142" s="644"/>
      <c r="BT142" s="9"/>
      <c r="BU142" s="644"/>
      <c r="BV142" s="9"/>
      <c r="BW142" s="644"/>
      <c r="BX142" s="9" t="s">
        <v>2159</v>
      </c>
      <c r="BY142" s="644"/>
      <c r="BZ142" s="9" t="s">
        <v>2172</v>
      </c>
      <c r="CA142" s="644"/>
      <c r="CB142" s="9" t="s">
        <v>916</v>
      </c>
      <c r="CC142" s="644"/>
      <c r="CD142" s="644"/>
      <c r="CE142" s="644"/>
      <c r="CF142" s="644"/>
      <c r="CG142" s="644"/>
      <c r="CH142" s="632" t="s">
        <v>2124</v>
      </c>
      <c r="CI142" s="9"/>
      <c r="CJ142" s="9" t="s">
        <v>2141</v>
      </c>
      <c r="CK142" s="9"/>
      <c r="CL142" s="34" t="s">
        <v>637</v>
      </c>
      <c r="CM142" s="644"/>
      <c r="CN142" s="5" t="s">
        <v>2418</v>
      </c>
      <c r="CO142" s="644"/>
      <c r="CP142" s="5" t="s">
        <v>2436</v>
      </c>
      <c r="CQ142" s="644"/>
      <c r="CR142" s="9" t="s">
        <v>2461</v>
      </c>
      <c r="CS142" s="644"/>
      <c r="CT142" s="5" t="s">
        <v>2235</v>
      </c>
      <c r="CU142" s="644"/>
      <c r="CV142" s="9" t="s">
        <v>465</v>
      </c>
      <c r="CW142" s="644"/>
      <c r="CX142" s="9" t="s">
        <v>845</v>
      </c>
      <c r="CY142" s="644"/>
      <c r="CZ142" s="9" t="s">
        <v>856</v>
      </c>
      <c r="DA142" s="644"/>
      <c r="DB142" s="9" t="s">
        <v>465</v>
      </c>
      <c r="DC142" s="644"/>
      <c r="DD142" s="4"/>
      <c r="DE142" s="644"/>
      <c r="DF142" s="644"/>
      <c r="DG142" s="644"/>
      <c r="DH142" s="9"/>
      <c r="DI142" s="644"/>
      <c r="DJ142" s="758" t="s">
        <v>504</v>
      </c>
      <c r="DK142" s="644"/>
      <c r="DL142" s="644"/>
      <c r="DM142" s="644"/>
      <c r="DN142" s="9" t="s">
        <v>1153</v>
      </c>
      <c r="DO142" s="644"/>
      <c r="DP142" s="644"/>
      <c r="DQ142" s="644"/>
      <c r="DR142" s="644"/>
      <c r="DS142" s="644"/>
      <c r="DT142" s="644"/>
      <c r="DU142" s="644"/>
      <c r="DV142" s="9" t="s">
        <v>1181</v>
      </c>
      <c r="DW142" s="644"/>
      <c r="DX142" s="9" t="s">
        <v>1181</v>
      </c>
      <c r="DY142" s="644"/>
      <c r="DZ142" s="9" t="s">
        <v>465</v>
      </c>
      <c r="EA142" s="644"/>
      <c r="EB142" s="644"/>
      <c r="EC142" s="644"/>
      <c r="ED142" s="644"/>
      <c r="EE142" s="644"/>
      <c r="EF142" s="9" t="s">
        <v>2043</v>
      </c>
      <c r="EG142" s="644"/>
      <c r="EH142" s="759" t="s">
        <v>2070</v>
      </c>
      <c r="EI142" s="644"/>
      <c r="EJ142" s="644"/>
      <c r="EK142" s="644"/>
      <c r="EL142" s="644"/>
      <c r="EM142" s="644"/>
      <c r="EN142" s="9" t="s">
        <v>504</v>
      </c>
      <c r="EO142" s="644"/>
      <c r="EP142" s="9" t="s">
        <v>1214</v>
      </c>
      <c r="EQ142" s="644"/>
      <c r="ER142" s="644"/>
      <c r="ES142" s="644"/>
      <c r="ET142" s="9" t="s">
        <v>1457</v>
      </c>
      <c r="EU142" s="644"/>
      <c r="EV142" s="9" t="s">
        <v>1476</v>
      </c>
      <c r="EW142" s="644"/>
      <c r="EX142" s="751" t="s">
        <v>2567</v>
      </c>
      <c r="EY142" s="644"/>
      <c r="EZ142" s="9" t="s">
        <v>504</v>
      </c>
      <c r="FA142" s="644"/>
      <c r="FB142" s="650" t="s">
        <v>1513</v>
      </c>
      <c r="FC142" s="644"/>
      <c r="FD142" s="9" t="s">
        <v>1533</v>
      </c>
      <c r="FE142" s="644"/>
      <c r="FF142" s="9" t="s">
        <v>1558</v>
      </c>
      <c r="FG142" s="644"/>
      <c r="FH142" s="5" t="s">
        <v>1577</v>
      </c>
      <c r="FI142" s="644"/>
      <c r="FJ142" s="9" t="s">
        <v>1587</v>
      </c>
      <c r="FK142" s="644"/>
      <c r="FL142" s="780" t="s">
        <v>504</v>
      </c>
      <c r="FM142" s="644"/>
      <c r="FN142" s="9"/>
      <c r="FO142" s="644"/>
      <c r="FP142" s="9" t="s">
        <v>688</v>
      </c>
      <c r="FQ142" s="644"/>
      <c r="FR142" s="644"/>
      <c r="FS142" s="644"/>
      <c r="FT142" s="644"/>
      <c r="FU142" s="644"/>
      <c r="FV142" s="644"/>
      <c r="FW142" s="644"/>
      <c r="FX142" s="5" t="s">
        <v>1876</v>
      </c>
      <c r="FY142" s="644"/>
      <c r="FZ142" s="644"/>
      <c r="GA142" s="644"/>
      <c r="GB142" s="9" t="s">
        <v>1641</v>
      </c>
      <c r="GC142" s="644"/>
      <c r="GD142" s="9" t="s">
        <v>2517</v>
      </c>
      <c r="GE142" s="644"/>
      <c r="GF142" s="9" t="s">
        <v>465</v>
      </c>
      <c r="GG142" s="644"/>
      <c r="GH142" s="752" t="s">
        <v>2020</v>
      </c>
      <c r="GI142" s="644"/>
      <c r="GJ142" s="820" t="s">
        <v>1696</v>
      </c>
      <c r="GK142" s="644"/>
      <c r="GL142" s="9" t="s">
        <v>1710</v>
      </c>
      <c r="GM142" s="644"/>
      <c r="GN142" s="9" t="s">
        <v>1728</v>
      </c>
      <c r="GO142" s="644"/>
      <c r="GP142" s="9" t="s">
        <v>504</v>
      </c>
      <c r="GQ142" s="644"/>
      <c r="GR142" s="8" t="s">
        <v>1965</v>
      </c>
      <c r="GS142" s="644"/>
      <c r="GT142" s="5" t="s">
        <v>2098</v>
      </c>
      <c r="GU142" s="644"/>
      <c r="GV142" s="9" t="s">
        <v>1899</v>
      </c>
      <c r="GW142" s="644"/>
      <c r="GX142" s="9" t="s">
        <v>1914</v>
      </c>
      <c r="GY142" s="644"/>
      <c r="GZ142" s="34" t="s">
        <v>2568</v>
      </c>
      <c r="HA142" s="644"/>
      <c r="HB142" s="9" t="s">
        <v>1817</v>
      </c>
      <c r="HC142" s="644"/>
      <c r="HD142" s="9" t="s">
        <v>1847</v>
      </c>
      <c r="HE142" s="644"/>
      <c r="HF142" s="9" t="s">
        <v>465</v>
      </c>
      <c r="HG142" s="644"/>
      <c r="HH142" s="9" t="s">
        <v>1936</v>
      </c>
      <c r="HI142" s="644"/>
      <c r="HJ142" s="644"/>
      <c r="HK142" s="644"/>
      <c r="HL142" s="9" t="s">
        <v>1764</v>
      </c>
      <c r="HM142" s="644"/>
      <c r="HN142" s="9" t="s">
        <v>1788</v>
      </c>
      <c r="HO142" s="644"/>
      <c r="HP142" s="9" t="s">
        <v>1285</v>
      </c>
      <c r="HQ142" s="644"/>
      <c r="HR142" s="9"/>
      <c r="HS142" s="644"/>
      <c r="HT142" s="651" t="s">
        <v>1311</v>
      </c>
      <c r="HU142" s="644"/>
      <c r="HV142" s="9" t="s">
        <v>1285</v>
      </c>
      <c r="HW142" s="644"/>
      <c r="HX142" s="9"/>
      <c r="HY142" s="644"/>
      <c r="HZ142" s="9" t="s">
        <v>2206</v>
      </c>
      <c r="IA142" s="644"/>
      <c r="IB142" s="644"/>
      <c r="IC142" s="644"/>
      <c r="ID142" s="9" t="s">
        <v>1238</v>
      </c>
      <c r="IE142" s="644"/>
      <c r="IF142" s="5" t="s">
        <v>1270</v>
      </c>
      <c r="IG142" s="823"/>
      <c r="IH142" s="9" t="s">
        <v>1336</v>
      </c>
      <c r="II142" s="644"/>
      <c r="IJ142" s="644"/>
      <c r="IK142" s="644"/>
      <c r="IL142" s="633" t="s">
        <v>465</v>
      </c>
      <c r="IM142" s="644"/>
      <c r="IN142" s="634" t="s">
        <v>1365</v>
      </c>
      <c r="IO142" s="644"/>
      <c r="IP142" s="9" t="s">
        <v>756</v>
      </c>
      <c r="IQ142" s="644"/>
      <c r="IR142" s="9" t="s">
        <v>777</v>
      </c>
      <c r="IS142" s="644"/>
      <c r="IT142" s="9" t="s">
        <v>1084</v>
      </c>
      <c r="IU142" s="644"/>
      <c r="IV142" s="9" t="s">
        <v>465</v>
      </c>
      <c r="IW142" s="644"/>
      <c r="IX142" s="632" t="s">
        <v>1116</v>
      </c>
      <c r="IY142" s="644"/>
      <c r="IZ142" s="9" t="s">
        <v>1386</v>
      </c>
      <c r="JA142" s="644"/>
      <c r="JB142" s="9"/>
      <c r="JC142" s="644"/>
      <c r="JD142" s="9" t="s">
        <v>1420</v>
      </c>
      <c r="JE142" s="644"/>
      <c r="JF142" s="644"/>
      <c r="JG142" s="644"/>
      <c r="JH142" s="9" t="s">
        <v>814</v>
      </c>
      <c r="JI142" s="644"/>
      <c r="JJ142" s="644"/>
      <c r="JK142" s="644"/>
      <c r="JL142" s="644"/>
      <c r="JM142" s="644"/>
      <c r="JN142" s="9" t="s">
        <v>504</v>
      </c>
      <c r="JO142" s="644"/>
      <c r="JP142" s="644"/>
      <c r="JQ142" s="644"/>
      <c r="JR142" s="20" t="s">
        <v>1056</v>
      </c>
      <c r="JS142" s="644"/>
      <c r="JT142" s="9" t="s">
        <v>1134</v>
      </c>
      <c r="JU142" s="644"/>
      <c r="JV142" s="5" t="s">
        <v>2547</v>
      </c>
      <c r="JW142" s="644"/>
      <c r="JX142" s="9" t="s">
        <v>725</v>
      </c>
      <c r="JY142" s="644"/>
    </row>
    <row r="143" spans="1:285" ht="54" customHeight="1" thickBot="1" x14ac:dyDescent="0.25">
      <c r="A143" s="1568"/>
      <c r="B143" s="1572"/>
      <c r="C143" s="81" t="s">
        <v>256</v>
      </c>
      <c r="D143" s="73" t="s">
        <v>209</v>
      </c>
      <c r="E143" s="755" t="s">
        <v>48</v>
      </c>
      <c r="F143" s="9" t="s">
        <v>1662</v>
      </c>
      <c r="G143" s="756"/>
      <c r="H143" s="9" t="s">
        <v>465</v>
      </c>
      <c r="I143" s="644"/>
      <c r="J143" s="9" t="s">
        <v>465</v>
      </c>
      <c r="K143" s="644"/>
      <c r="L143" s="9" t="s">
        <v>465</v>
      </c>
      <c r="M143" s="644"/>
      <c r="N143" s="757" t="s">
        <v>487</v>
      </c>
      <c r="O143" s="644"/>
      <c r="P143" s="84" t="s">
        <v>510</v>
      </c>
      <c r="Q143" s="644"/>
      <c r="R143" s="9"/>
      <c r="S143" s="644"/>
      <c r="T143" s="644"/>
      <c r="U143" s="644"/>
      <c r="V143" s="644"/>
      <c r="W143" s="644"/>
      <c r="X143" s="644"/>
      <c r="Y143" s="644"/>
      <c r="Z143" s="9" t="s">
        <v>2316</v>
      </c>
      <c r="AA143" s="644"/>
      <c r="AB143" s="9" t="s">
        <v>479</v>
      </c>
      <c r="AC143" s="644"/>
      <c r="AD143" s="9" t="s">
        <v>2351</v>
      </c>
      <c r="AE143" s="644"/>
      <c r="AF143" s="644"/>
      <c r="AG143" s="644"/>
      <c r="AH143" s="644"/>
      <c r="AI143" s="644"/>
      <c r="AJ143" s="84"/>
      <c r="AK143" s="644"/>
      <c r="AL143" s="9"/>
      <c r="AM143" s="644"/>
      <c r="AN143" s="9"/>
      <c r="AO143" s="644"/>
      <c r="AP143" s="9" t="s">
        <v>479</v>
      </c>
      <c r="AQ143" s="644"/>
      <c r="AR143" s="9"/>
      <c r="AS143" s="644"/>
      <c r="AT143" s="9"/>
      <c r="AU143" s="644"/>
      <c r="AV143" s="757" t="s">
        <v>588</v>
      </c>
      <c r="AW143" s="644"/>
      <c r="AX143" s="9"/>
      <c r="AY143" s="644"/>
      <c r="AZ143" s="5" t="s">
        <v>565</v>
      </c>
      <c r="BA143" s="644"/>
      <c r="BB143" s="644"/>
      <c r="BC143" s="644"/>
      <c r="BD143" s="5"/>
      <c r="BE143" s="644"/>
      <c r="BF143" s="9"/>
      <c r="BG143" s="644"/>
      <c r="BH143" s="644"/>
      <c r="BI143" s="644"/>
      <c r="BJ143" s="9"/>
      <c r="BK143" s="644"/>
      <c r="BL143" s="9" t="s">
        <v>504</v>
      </c>
      <c r="BM143" s="644"/>
      <c r="BN143" s="9"/>
      <c r="BO143" s="644"/>
      <c r="BP143" s="9"/>
      <c r="BQ143" s="644"/>
      <c r="BR143" s="9" t="s">
        <v>465</v>
      </c>
      <c r="BS143" s="644"/>
      <c r="BT143" s="9"/>
      <c r="BU143" s="644"/>
      <c r="BV143" s="9"/>
      <c r="BW143" s="644"/>
      <c r="BX143" s="9"/>
      <c r="BY143" s="644"/>
      <c r="BZ143" s="9"/>
      <c r="CA143" s="644"/>
      <c r="CB143" s="9"/>
      <c r="CC143" s="644"/>
      <c r="CD143" s="644"/>
      <c r="CE143" s="644"/>
      <c r="CF143" s="644"/>
      <c r="CG143" s="644"/>
      <c r="CH143" s="632" t="s">
        <v>2125</v>
      </c>
      <c r="CI143" s="9"/>
      <c r="CJ143" s="9" t="s">
        <v>2142</v>
      </c>
      <c r="CK143" s="9"/>
      <c r="CL143" s="9" t="s">
        <v>638</v>
      </c>
      <c r="CM143" s="644"/>
      <c r="CN143" s="5" t="s">
        <v>2416</v>
      </c>
      <c r="CO143" s="644"/>
      <c r="CP143" s="5" t="s">
        <v>2437</v>
      </c>
      <c r="CQ143" s="644"/>
      <c r="CR143" s="9" t="s">
        <v>2462</v>
      </c>
      <c r="CS143" s="644"/>
      <c r="CT143" s="23" t="s">
        <v>2236</v>
      </c>
      <c r="CU143" s="644"/>
      <c r="CV143" s="9" t="s">
        <v>465</v>
      </c>
      <c r="CW143" s="644"/>
      <c r="CX143" s="9" t="s">
        <v>465</v>
      </c>
      <c r="CY143" s="644"/>
      <c r="CZ143" s="9" t="s">
        <v>465</v>
      </c>
      <c r="DA143" s="644"/>
      <c r="DB143" s="9" t="s">
        <v>465</v>
      </c>
      <c r="DC143" s="644"/>
      <c r="DD143" s="9"/>
      <c r="DE143" s="644"/>
      <c r="DF143" s="644"/>
      <c r="DG143" s="644"/>
      <c r="DH143" s="5" t="s">
        <v>881</v>
      </c>
      <c r="DI143" s="644"/>
      <c r="DJ143" s="758" t="s">
        <v>504</v>
      </c>
      <c r="DK143" s="644"/>
      <c r="DL143" s="644"/>
      <c r="DM143" s="644"/>
      <c r="DN143" s="9" t="s">
        <v>1154</v>
      </c>
      <c r="DO143" s="644"/>
      <c r="DP143" s="644"/>
      <c r="DQ143" s="644"/>
      <c r="DR143" s="644"/>
      <c r="DS143" s="644"/>
      <c r="DT143" s="644"/>
      <c r="DU143" s="644"/>
      <c r="DV143" s="8" t="s">
        <v>1182</v>
      </c>
      <c r="DW143" s="644"/>
      <c r="DX143" s="8" t="s">
        <v>1182</v>
      </c>
      <c r="DY143" s="644"/>
      <c r="DZ143" s="9" t="s">
        <v>465</v>
      </c>
      <c r="EA143" s="644"/>
      <c r="EB143" s="644"/>
      <c r="EC143" s="644"/>
      <c r="ED143" s="644"/>
      <c r="EE143" s="644"/>
      <c r="EF143" s="9" t="s">
        <v>504</v>
      </c>
      <c r="EG143" s="644"/>
      <c r="EH143" s="759" t="s">
        <v>504</v>
      </c>
      <c r="EI143" s="644"/>
      <c r="EJ143" s="644"/>
      <c r="EK143" s="644"/>
      <c r="EL143" s="644"/>
      <c r="EM143" s="644"/>
      <c r="EN143" s="9" t="s">
        <v>504</v>
      </c>
      <c r="EO143" s="644"/>
      <c r="EP143" s="9" t="s">
        <v>504</v>
      </c>
      <c r="EQ143" s="644"/>
      <c r="ER143" s="644"/>
      <c r="ES143" s="644"/>
      <c r="ET143" s="23" t="s">
        <v>1456</v>
      </c>
      <c r="EU143" s="644"/>
      <c r="EV143" s="9" t="s">
        <v>465</v>
      </c>
      <c r="EW143" s="644"/>
      <c r="EX143" s="23" t="s">
        <v>2569</v>
      </c>
      <c r="EY143" s="644"/>
      <c r="EZ143" s="9" t="s">
        <v>504</v>
      </c>
      <c r="FA143" s="644"/>
      <c r="FB143" s="9" t="s">
        <v>504</v>
      </c>
      <c r="FC143" s="644"/>
      <c r="FD143" s="9" t="s">
        <v>1534</v>
      </c>
      <c r="FE143" s="644"/>
      <c r="FF143" s="9" t="s">
        <v>1559</v>
      </c>
      <c r="FG143" s="644"/>
      <c r="FH143" s="34" t="s">
        <v>1578</v>
      </c>
      <c r="FI143" s="644"/>
      <c r="FJ143" s="9" t="s">
        <v>1587</v>
      </c>
      <c r="FK143" s="644"/>
      <c r="FL143" s="780" t="s">
        <v>504</v>
      </c>
      <c r="FM143" s="644"/>
      <c r="FN143" s="9"/>
      <c r="FO143" s="644"/>
      <c r="FP143" s="9"/>
      <c r="FQ143" s="644"/>
      <c r="FR143" s="644"/>
      <c r="FS143" s="644"/>
      <c r="FT143" s="644"/>
      <c r="FU143" s="644"/>
      <c r="FV143" s="644"/>
      <c r="FW143" s="644"/>
      <c r="FX143" s="5" t="s">
        <v>1877</v>
      </c>
      <c r="FY143" s="644"/>
      <c r="FZ143" s="644"/>
      <c r="GA143" s="644"/>
      <c r="GB143" s="9"/>
      <c r="GC143" s="644"/>
      <c r="GD143" s="23" t="s">
        <v>2519</v>
      </c>
      <c r="GE143" s="644"/>
      <c r="GF143" s="9" t="s">
        <v>465</v>
      </c>
      <c r="GG143" s="644"/>
      <c r="GH143" s="23" t="s">
        <v>2021</v>
      </c>
      <c r="GI143" s="644"/>
      <c r="GJ143" s="820" t="s">
        <v>1669</v>
      </c>
      <c r="GK143" s="644"/>
      <c r="GL143" s="9" t="s">
        <v>504</v>
      </c>
      <c r="GM143" s="644"/>
      <c r="GN143" s="9" t="s">
        <v>1729</v>
      </c>
      <c r="GO143" s="644"/>
      <c r="GP143" s="9" t="s">
        <v>504</v>
      </c>
      <c r="GQ143" s="644"/>
      <c r="GR143" s="9" t="s">
        <v>504</v>
      </c>
      <c r="GS143" s="644"/>
      <c r="GT143" s="23" t="s">
        <v>2099</v>
      </c>
      <c r="GU143" s="644"/>
      <c r="GV143" s="660" t="s">
        <v>2570</v>
      </c>
      <c r="GW143" s="644"/>
      <c r="GX143" s="752" t="s">
        <v>2571</v>
      </c>
      <c r="GY143" s="644"/>
      <c r="GZ143" s="752" t="s">
        <v>2572</v>
      </c>
      <c r="HA143" s="644"/>
      <c r="HB143" s="9"/>
      <c r="HC143" s="644"/>
      <c r="HD143" s="9" t="s">
        <v>1848</v>
      </c>
      <c r="HE143" s="644"/>
      <c r="HF143" s="9" t="s">
        <v>465</v>
      </c>
      <c r="HG143" s="644"/>
      <c r="HH143" s="9" t="s">
        <v>465</v>
      </c>
      <c r="HI143" s="644"/>
      <c r="HJ143" s="644"/>
      <c r="HK143" s="644"/>
      <c r="HL143" s="9" t="s">
        <v>504</v>
      </c>
      <c r="HM143" s="644"/>
      <c r="HN143" s="23" t="s">
        <v>1789</v>
      </c>
      <c r="HO143" s="644"/>
      <c r="HP143" s="9" t="s">
        <v>504</v>
      </c>
      <c r="HQ143" s="644"/>
      <c r="HR143" s="9"/>
      <c r="HS143" s="644"/>
      <c r="HT143" s="656" t="s">
        <v>702</v>
      </c>
      <c r="HU143" s="644"/>
      <c r="HV143" s="9" t="s">
        <v>504</v>
      </c>
      <c r="HW143" s="644"/>
      <c r="HX143" s="9"/>
      <c r="HY143" s="644"/>
      <c r="HZ143" s="9"/>
      <c r="IA143" s="644"/>
      <c r="IB143" s="644"/>
      <c r="IC143" s="644"/>
      <c r="ID143" s="9" t="s">
        <v>1239</v>
      </c>
      <c r="IE143" s="644"/>
      <c r="IF143" s="753" t="s">
        <v>1271</v>
      </c>
      <c r="IG143" s="756"/>
      <c r="IH143" s="9"/>
      <c r="II143" s="644"/>
      <c r="IJ143" s="644"/>
      <c r="IK143" s="644"/>
      <c r="IL143" s="633" t="s">
        <v>465</v>
      </c>
      <c r="IM143" s="644"/>
      <c r="IN143" s="634" t="s">
        <v>465</v>
      </c>
      <c r="IO143" s="644"/>
      <c r="IP143" s="9" t="s">
        <v>757</v>
      </c>
      <c r="IQ143" s="644"/>
      <c r="IR143" s="9" t="s">
        <v>778</v>
      </c>
      <c r="IS143" s="644"/>
      <c r="IT143" s="9" t="s">
        <v>1085</v>
      </c>
      <c r="IU143" s="644"/>
      <c r="IV143" s="9" t="s">
        <v>465</v>
      </c>
      <c r="IW143" s="644"/>
      <c r="IX143" s="653" t="s">
        <v>1115</v>
      </c>
      <c r="IY143" s="644"/>
      <c r="IZ143" s="9" t="s">
        <v>1387</v>
      </c>
      <c r="JA143" s="644"/>
      <c r="JB143" s="9"/>
      <c r="JC143" s="644"/>
      <c r="JD143" s="9" t="s">
        <v>1421</v>
      </c>
      <c r="JE143" s="644"/>
      <c r="JF143" s="644"/>
      <c r="JG143" s="644"/>
      <c r="JH143" s="9" t="s">
        <v>815</v>
      </c>
      <c r="JI143" s="644"/>
      <c r="JJ143" s="644"/>
      <c r="JK143" s="644"/>
      <c r="JL143" s="644"/>
      <c r="JM143" s="644"/>
      <c r="JN143" s="9" t="s">
        <v>504</v>
      </c>
      <c r="JO143" s="644"/>
      <c r="JP143" s="644"/>
      <c r="JQ143" s="644"/>
      <c r="JR143" s="20" t="s">
        <v>465</v>
      </c>
      <c r="JS143" s="644"/>
      <c r="JT143" s="9" t="s">
        <v>465</v>
      </c>
      <c r="JU143" s="644"/>
      <c r="JV143" s="5" t="s">
        <v>2548</v>
      </c>
      <c r="JW143" s="644"/>
      <c r="JX143" s="9" t="s">
        <v>726</v>
      </c>
      <c r="JY143" s="644"/>
    </row>
    <row r="144" spans="1:285" ht="45.75" customHeight="1" x14ac:dyDescent="0.2">
      <c r="A144" s="1564" t="s">
        <v>37</v>
      </c>
      <c r="B144" s="1570" t="s">
        <v>187</v>
      </c>
      <c r="C144" s="79" t="s">
        <v>68</v>
      </c>
      <c r="D144" s="80" t="s">
        <v>210</v>
      </c>
      <c r="E144" s="755" t="s">
        <v>48</v>
      </c>
      <c r="F144" s="9" t="s">
        <v>1663</v>
      </c>
      <c r="G144" s="756"/>
      <c r="H144" s="9" t="s">
        <v>465</v>
      </c>
      <c r="I144" s="644"/>
      <c r="J144" s="9" t="s">
        <v>465</v>
      </c>
      <c r="K144" s="644"/>
      <c r="L144" s="9" t="s">
        <v>465</v>
      </c>
      <c r="M144" s="644"/>
      <c r="N144" s="757" t="s">
        <v>488</v>
      </c>
      <c r="O144" s="644"/>
      <c r="P144" s="84" t="s">
        <v>511</v>
      </c>
      <c r="Q144" s="644"/>
      <c r="R144" s="9" t="s">
        <v>479</v>
      </c>
      <c r="S144" s="644"/>
      <c r="T144" s="644"/>
      <c r="U144" s="644"/>
      <c r="V144" s="644"/>
      <c r="W144" s="644"/>
      <c r="X144" s="644"/>
      <c r="Y144" s="644"/>
      <c r="Z144" s="9" t="s">
        <v>2317</v>
      </c>
      <c r="AA144" s="644"/>
      <c r="AB144" s="9" t="s">
        <v>2336</v>
      </c>
      <c r="AC144" s="644"/>
      <c r="AD144" s="5" t="s">
        <v>2352</v>
      </c>
      <c r="AE144" s="644"/>
      <c r="AF144" s="644"/>
      <c r="AG144" s="644"/>
      <c r="AH144" s="644"/>
      <c r="AI144" s="644"/>
      <c r="AJ144" s="84" t="s">
        <v>504</v>
      </c>
      <c r="AK144" s="644"/>
      <c r="AL144" s="9" t="s">
        <v>2374</v>
      </c>
      <c r="AM144" s="644"/>
      <c r="AN144" s="9"/>
      <c r="AO144" s="644"/>
      <c r="AP144" s="9" t="s">
        <v>479</v>
      </c>
      <c r="AQ144" s="644"/>
      <c r="AR144" s="9" t="s">
        <v>504</v>
      </c>
      <c r="AS144" s="644"/>
      <c r="AT144" s="5" t="s">
        <v>608</v>
      </c>
      <c r="AU144" s="644"/>
      <c r="AV144" s="757"/>
      <c r="AW144" s="644"/>
      <c r="AX144" s="9" t="s">
        <v>549</v>
      </c>
      <c r="AY144" s="644"/>
      <c r="AZ144" s="5" t="s">
        <v>566</v>
      </c>
      <c r="BA144" s="644"/>
      <c r="BB144" s="644"/>
      <c r="BC144" s="644"/>
      <c r="BD144" s="5" t="s">
        <v>2383</v>
      </c>
      <c r="BE144" s="644"/>
      <c r="BF144" s="9"/>
      <c r="BG144" s="644"/>
      <c r="BH144" s="644"/>
      <c r="BI144" s="644"/>
      <c r="BJ144" s="9"/>
      <c r="BK144" s="644"/>
      <c r="BL144" s="9"/>
      <c r="BM144" s="644"/>
      <c r="BN144" s="9"/>
      <c r="BO144" s="644"/>
      <c r="BP144" s="1543" t="s">
        <v>1981</v>
      </c>
      <c r="BQ144" s="644"/>
      <c r="BR144" s="9" t="s">
        <v>465</v>
      </c>
      <c r="BS144" s="644"/>
      <c r="BT144" s="9" t="s">
        <v>940</v>
      </c>
      <c r="BU144" s="644"/>
      <c r="BV144" s="9" t="s">
        <v>504</v>
      </c>
      <c r="BW144" s="644"/>
      <c r="BX144" s="9" t="s">
        <v>2160</v>
      </c>
      <c r="BY144" s="644"/>
      <c r="BZ144" s="9" t="s">
        <v>2173</v>
      </c>
      <c r="CA144" s="644"/>
      <c r="CB144" s="9" t="s">
        <v>917</v>
      </c>
      <c r="CC144" s="644"/>
      <c r="CD144" s="644"/>
      <c r="CE144" s="644"/>
      <c r="CF144" s="644"/>
      <c r="CG144" s="644"/>
      <c r="CH144" s="632" t="s">
        <v>940</v>
      </c>
      <c r="CI144" s="9"/>
      <c r="CJ144" s="9" t="s">
        <v>2143</v>
      </c>
      <c r="CK144" s="9"/>
      <c r="CL144" s="9" t="s">
        <v>639</v>
      </c>
      <c r="CM144" s="644"/>
      <c r="CN144" s="9"/>
      <c r="CO144" s="644"/>
      <c r="CP144" s="5" t="s">
        <v>2442</v>
      </c>
      <c r="CQ144" s="644"/>
      <c r="CR144" s="9" t="s">
        <v>2463</v>
      </c>
      <c r="CS144" s="644"/>
      <c r="CT144" s="9" t="s">
        <v>2237</v>
      </c>
      <c r="CU144" s="644"/>
      <c r="CV144" s="9" t="s">
        <v>465</v>
      </c>
      <c r="CW144" s="644"/>
      <c r="CX144" s="9" t="s">
        <v>846</v>
      </c>
      <c r="CY144" s="644"/>
      <c r="CZ144" s="9" t="s">
        <v>465</v>
      </c>
      <c r="DA144" s="644"/>
      <c r="DB144" s="9" t="s">
        <v>465</v>
      </c>
      <c r="DC144" s="644"/>
      <c r="DD144" s="9"/>
      <c r="DE144" s="644"/>
      <c r="DF144" s="644"/>
      <c r="DG144" s="644"/>
      <c r="DH144" s="9"/>
      <c r="DI144" s="644"/>
      <c r="DJ144" s="758" t="s">
        <v>504</v>
      </c>
      <c r="DK144" s="644"/>
      <c r="DL144" s="644"/>
      <c r="DM144" s="644"/>
      <c r="DN144" s="9" t="s">
        <v>1155</v>
      </c>
      <c r="DO144" s="644"/>
      <c r="DP144" s="644"/>
      <c r="DQ144" s="644"/>
      <c r="DR144" s="644"/>
      <c r="DS144" s="644"/>
      <c r="DT144" s="644"/>
      <c r="DU144" s="644"/>
      <c r="DV144" s="9" t="s">
        <v>1183</v>
      </c>
      <c r="DW144" s="644"/>
      <c r="DX144" s="9" t="s">
        <v>1183</v>
      </c>
      <c r="DY144" s="644"/>
      <c r="DZ144" s="9" t="s">
        <v>465</v>
      </c>
      <c r="EA144" s="644"/>
      <c r="EB144" s="644"/>
      <c r="EC144" s="644"/>
      <c r="ED144" s="644"/>
      <c r="EE144" s="644"/>
      <c r="EF144" s="9" t="s">
        <v>2044</v>
      </c>
      <c r="EG144" s="644"/>
      <c r="EH144" s="759" t="s">
        <v>2071</v>
      </c>
      <c r="EI144" s="644"/>
      <c r="EJ144" s="644"/>
      <c r="EK144" s="644"/>
      <c r="EL144" s="644"/>
      <c r="EM144" s="644"/>
      <c r="EN144" s="9" t="s">
        <v>504</v>
      </c>
      <c r="EO144" s="644"/>
      <c r="EP144" s="9" t="s">
        <v>1215</v>
      </c>
      <c r="EQ144" s="644"/>
      <c r="ER144" s="644"/>
      <c r="ES144" s="644"/>
      <c r="ET144" s="9" t="s">
        <v>1458</v>
      </c>
      <c r="EU144" s="644"/>
      <c r="EV144" s="9" t="s">
        <v>465</v>
      </c>
      <c r="EW144" s="644"/>
      <c r="EX144" s="9" t="s">
        <v>1494</v>
      </c>
      <c r="EY144" s="644"/>
      <c r="EZ144" s="9" t="s">
        <v>504</v>
      </c>
      <c r="FA144" s="644"/>
      <c r="FB144" s="9" t="s">
        <v>1514</v>
      </c>
      <c r="FC144" s="644"/>
      <c r="FD144" s="5" t="s">
        <v>1535</v>
      </c>
      <c r="FE144" s="644"/>
      <c r="FF144" s="9" t="s">
        <v>1560</v>
      </c>
      <c r="FG144" s="644"/>
      <c r="FH144" s="9" t="s">
        <v>1579</v>
      </c>
      <c r="FI144" s="644"/>
      <c r="FJ144" s="9"/>
      <c r="FK144" s="644"/>
      <c r="FL144" s="760" t="s">
        <v>1609</v>
      </c>
      <c r="FM144" s="644"/>
      <c r="FN144" s="9"/>
      <c r="FO144" s="644"/>
      <c r="FP144" s="9" t="s">
        <v>689</v>
      </c>
      <c r="FQ144" s="644"/>
      <c r="FR144" s="644"/>
      <c r="FS144" s="644"/>
      <c r="FT144" s="644"/>
      <c r="FU144" s="644"/>
      <c r="FV144" s="644"/>
      <c r="FW144" s="644"/>
      <c r="FX144" s="5" t="s">
        <v>1878</v>
      </c>
      <c r="FY144" s="644"/>
      <c r="FZ144" s="644"/>
      <c r="GA144" s="644"/>
      <c r="GB144" s="9" t="s">
        <v>504</v>
      </c>
      <c r="GC144" s="644"/>
      <c r="GD144" s="9" t="s">
        <v>2518</v>
      </c>
      <c r="GE144" s="644"/>
      <c r="GF144" s="9" t="s">
        <v>465</v>
      </c>
      <c r="GG144" s="644"/>
      <c r="GH144" s="9" t="s">
        <v>2022</v>
      </c>
      <c r="GI144" s="644"/>
      <c r="GJ144" s="780" t="s">
        <v>1697</v>
      </c>
      <c r="GK144" s="644"/>
      <c r="GL144" s="9" t="s">
        <v>1706</v>
      </c>
      <c r="GM144" s="644"/>
      <c r="GN144" s="9" t="s">
        <v>1730</v>
      </c>
      <c r="GO144" s="644"/>
      <c r="GP144" s="9" t="s">
        <v>504</v>
      </c>
      <c r="GQ144" s="644"/>
      <c r="GR144" s="9" t="s">
        <v>1966</v>
      </c>
      <c r="GS144" s="644"/>
      <c r="GT144" s="5" t="s">
        <v>2100</v>
      </c>
      <c r="GU144" s="644"/>
      <c r="GV144" s="20" t="s">
        <v>1900</v>
      </c>
      <c r="GW144" s="644"/>
      <c r="GX144" s="20" t="s">
        <v>1900</v>
      </c>
      <c r="GY144" s="644"/>
      <c r="GZ144" s="20" t="s">
        <v>1900</v>
      </c>
      <c r="HA144" s="644"/>
      <c r="HB144" s="9" t="s">
        <v>1818</v>
      </c>
      <c r="HC144" s="644"/>
      <c r="HD144" s="9" t="s">
        <v>1849</v>
      </c>
      <c r="HE144" s="644"/>
      <c r="HF144" s="9" t="s">
        <v>465</v>
      </c>
      <c r="HG144" s="644"/>
      <c r="HH144" s="9" t="s">
        <v>465</v>
      </c>
      <c r="HI144" s="644"/>
      <c r="HJ144" s="644"/>
      <c r="HK144" s="644"/>
      <c r="HL144" s="9" t="s">
        <v>1765</v>
      </c>
      <c r="HM144" s="644"/>
      <c r="HN144" s="9" t="s">
        <v>1790</v>
      </c>
      <c r="HO144" s="644"/>
      <c r="HP144" s="9" t="s">
        <v>940</v>
      </c>
      <c r="HQ144" s="644"/>
      <c r="HR144" s="9" t="s">
        <v>702</v>
      </c>
      <c r="HS144" s="644"/>
      <c r="HT144" s="656" t="s">
        <v>702</v>
      </c>
      <c r="HU144" s="644"/>
      <c r="HV144" s="9" t="s">
        <v>940</v>
      </c>
      <c r="HW144" s="644"/>
      <c r="HX144" s="9"/>
      <c r="HY144" s="644"/>
      <c r="HZ144" s="9" t="s">
        <v>2207</v>
      </c>
      <c r="IA144" s="644"/>
      <c r="IB144" s="644"/>
      <c r="IC144" s="644"/>
      <c r="ID144" s="9" t="s">
        <v>1240</v>
      </c>
      <c r="IE144" s="644"/>
      <c r="IF144" s="9" t="s">
        <v>1272</v>
      </c>
      <c r="IG144" s="831" t="s">
        <v>1273</v>
      </c>
      <c r="IH144" s="9" t="s">
        <v>504</v>
      </c>
      <c r="II144" s="644"/>
      <c r="IJ144" s="644"/>
      <c r="IK144" s="644"/>
      <c r="IL144" s="633" t="s">
        <v>465</v>
      </c>
      <c r="IM144" s="644"/>
      <c r="IN144" s="634" t="s">
        <v>465</v>
      </c>
      <c r="IO144" s="644"/>
      <c r="IP144" s="5" t="s">
        <v>758</v>
      </c>
      <c r="IQ144" s="644"/>
      <c r="IR144" s="5" t="s">
        <v>779</v>
      </c>
      <c r="IS144" s="644"/>
      <c r="IT144" s="20" t="s">
        <v>1086</v>
      </c>
      <c r="IU144" s="644"/>
      <c r="IV144" s="9" t="s">
        <v>1098</v>
      </c>
      <c r="IW144" s="644"/>
      <c r="IX144" s="632" t="s">
        <v>1104</v>
      </c>
      <c r="IY144" s="644"/>
      <c r="IZ144" s="9" t="s">
        <v>1388</v>
      </c>
      <c r="JA144" s="644"/>
      <c r="JB144" s="9"/>
      <c r="JC144" s="644"/>
      <c r="JD144" s="9" t="s">
        <v>1422</v>
      </c>
      <c r="JE144" s="644"/>
      <c r="JF144" s="644"/>
      <c r="JG144" s="644"/>
      <c r="JH144" s="9" t="s">
        <v>816</v>
      </c>
      <c r="JI144" s="644"/>
      <c r="JJ144" s="644"/>
      <c r="JK144" s="644"/>
      <c r="JL144" s="644"/>
      <c r="JM144" s="644"/>
      <c r="JN144" s="9" t="s">
        <v>2494</v>
      </c>
      <c r="JO144" s="644"/>
      <c r="JP144" s="644"/>
      <c r="JQ144" s="644"/>
      <c r="JR144" s="659" t="s">
        <v>2573</v>
      </c>
      <c r="JS144" s="644"/>
      <c r="JT144" s="9" t="s">
        <v>1135</v>
      </c>
      <c r="JU144" s="644"/>
      <c r="JV144" s="5" t="s">
        <v>2549</v>
      </c>
      <c r="JW144" s="644"/>
      <c r="JX144" s="9" t="s">
        <v>727</v>
      </c>
      <c r="JY144" s="644"/>
    </row>
    <row r="145" spans="1:285" ht="48" customHeight="1" x14ac:dyDescent="0.2">
      <c r="A145" s="1582"/>
      <c r="B145" s="1571"/>
      <c r="C145" s="82" t="s">
        <v>69</v>
      </c>
      <c r="D145" s="83" t="s">
        <v>189</v>
      </c>
      <c r="E145" s="755" t="s">
        <v>53</v>
      </c>
      <c r="F145" s="9">
        <v>4</v>
      </c>
      <c r="G145" s="756"/>
      <c r="H145" s="9" t="s">
        <v>465</v>
      </c>
      <c r="I145" s="644"/>
      <c r="J145" s="9" t="s">
        <v>465</v>
      </c>
      <c r="K145" s="644"/>
      <c r="L145" s="9" t="s">
        <v>465</v>
      </c>
      <c r="M145" s="644"/>
      <c r="N145" s="757">
        <v>27</v>
      </c>
      <c r="O145" s="644"/>
      <c r="P145" s="84">
        <v>8</v>
      </c>
      <c r="Q145" s="644"/>
      <c r="R145" s="9"/>
      <c r="S145" s="644"/>
      <c r="T145" s="644"/>
      <c r="U145" s="644"/>
      <c r="V145" s="644"/>
      <c r="W145" s="644"/>
      <c r="X145" s="644"/>
      <c r="Y145" s="644"/>
      <c r="Z145" s="9">
        <v>27</v>
      </c>
      <c r="AA145" s="644"/>
      <c r="AB145" s="9">
        <v>3</v>
      </c>
      <c r="AC145" s="644"/>
      <c r="AD145" s="5" t="s">
        <v>465</v>
      </c>
      <c r="AE145" s="644"/>
      <c r="AF145" s="644"/>
      <c r="AG145" s="644"/>
      <c r="AH145" s="644"/>
      <c r="AI145" s="644"/>
      <c r="AJ145" s="84"/>
      <c r="AK145" s="644"/>
      <c r="AL145" s="9">
        <v>26</v>
      </c>
      <c r="AM145" s="644"/>
      <c r="AN145" s="9"/>
      <c r="AO145" s="644"/>
      <c r="AP145" s="9"/>
      <c r="AQ145" s="644"/>
      <c r="AR145" s="9"/>
      <c r="AS145" s="644"/>
      <c r="AT145" s="5">
        <v>2</v>
      </c>
      <c r="AU145" s="644"/>
      <c r="AV145" s="757"/>
      <c r="AW145" s="644"/>
      <c r="AX145" s="25" t="s">
        <v>550</v>
      </c>
      <c r="AY145" s="644"/>
      <c r="AZ145" s="5">
        <v>56</v>
      </c>
      <c r="BA145" s="644"/>
      <c r="BB145" s="644"/>
      <c r="BC145" s="644"/>
      <c r="BD145" s="5"/>
      <c r="BE145" s="644"/>
      <c r="BF145" s="9"/>
      <c r="BG145" s="644"/>
      <c r="BH145" s="644"/>
      <c r="BI145" s="644"/>
      <c r="BJ145" s="9"/>
      <c r="BK145" s="644"/>
      <c r="BL145" s="9"/>
      <c r="BM145" s="644"/>
      <c r="BN145" s="9"/>
      <c r="BO145" s="644"/>
      <c r="BP145" s="1543"/>
      <c r="BQ145" s="644"/>
      <c r="BR145" s="9" t="s">
        <v>465</v>
      </c>
      <c r="BS145" s="644"/>
      <c r="BT145" s="9"/>
      <c r="BU145" s="644"/>
      <c r="BV145" s="9"/>
      <c r="BW145" s="644"/>
      <c r="BX145" s="9">
        <v>6</v>
      </c>
      <c r="BY145" s="644"/>
      <c r="BZ145" s="632">
        <v>2</v>
      </c>
      <c r="CA145" s="644"/>
      <c r="CB145" s="9">
        <v>5</v>
      </c>
      <c r="CC145" s="644"/>
      <c r="CD145" s="644"/>
      <c r="CE145" s="644"/>
      <c r="CF145" s="644"/>
      <c r="CG145" s="644"/>
      <c r="CH145" s="632"/>
      <c r="CI145" s="9"/>
      <c r="CJ145" s="9">
        <v>5</v>
      </c>
      <c r="CK145" s="9"/>
      <c r="CL145" s="9">
        <v>7</v>
      </c>
      <c r="CM145" s="644"/>
      <c r="CN145" s="9"/>
      <c r="CO145" s="644"/>
      <c r="CP145" s="5" t="s">
        <v>2438</v>
      </c>
      <c r="CQ145" s="644"/>
      <c r="CR145" s="9">
        <v>13</v>
      </c>
      <c r="CS145" s="644"/>
      <c r="CT145" s="9" t="s">
        <v>2238</v>
      </c>
      <c r="CU145" s="644"/>
      <c r="CV145" s="9" t="s">
        <v>465</v>
      </c>
      <c r="CW145" s="644"/>
      <c r="CX145" s="9" t="s">
        <v>465</v>
      </c>
      <c r="CY145" s="644"/>
      <c r="CZ145" s="9" t="s">
        <v>465</v>
      </c>
      <c r="DA145" s="644"/>
      <c r="DB145" s="9" t="s">
        <v>465</v>
      </c>
      <c r="DC145" s="644"/>
      <c r="DD145" s="9"/>
      <c r="DE145" s="644"/>
      <c r="DF145" s="644"/>
      <c r="DG145" s="644"/>
      <c r="DH145" s="9"/>
      <c r="DI145" s="644"/>
      <c r="DJ145" s="758" t="s">
        <v>504</v>
      </c>
      <c r="DK145" s="644"/>
      <c r="DL145" s="644"/>
      <c r="DM145" s="644"/>
      <c r="DN145" s="9">
        <v>5</v>
      </c>
      <c r="DO145" s="644"/>
      <c r="DP145" s="644"/>
      <c r="DQ145" s="644"/>
      <c r="DR145" s="644"/>
      <c r="DS145" s="644"/>
      <c r="DT145" s="644"/>
      <c r="DU145" s="644"/>
      <c r="DV145" s="9">
        <v>3</v>
      </c>
      <c r="DW145" s="644"/>
      <c r="DX145" s="9">
        <v>3</v>
      </c>
      <c r="DY145" s="644"/>
      <c r="DZ145" s="9" t="s">
        <v>465</v>
      </c>
      <c r="EA145" s="644"/>
      <c r="EB145" s="644"/>
      <c r="EC145" s="644"/>
      <c r="ED145" s="644"/>
      <c r="EE145" s="644"/>
      <c r="EF145" s="9">
        <v>4</v>
      </c>
      <c r="EG145" s="644"/>
      <c r="EH145" s="759" t="s">
        <v>2072</v>
      </c>
      <c r="EI145" s="644"/>
      <c r="EJ145" s="644"/>
      <c r="EK145" s="644"/>
      <c r="EL145" s="644"/>
      <c r="EM145" s="644"/>
      <c r="EN145" s="9"/>
      <c r="EO145" s="644"/>
      <c r="EP145" s="9">
        <v>35</v>
      </c>
      <c r="EQ145" s="644"/>
      <c r="ER145" s="644"/>
      <c r="ES145" s="644"/>
      <c r="ET145" s="9">
        <v>4</v>
      </c>
      <c r="EU145" s="644"/>
      <c r="EV145" s="9" t="s">
        <v>465</v>
      </c>
      <c r="EW145" s="644"/>
      <c r="EX145" s="9">
        <v>5</v>
      </c>
      <c r="EY145" s="644"/>
      <c r="EZ145" s="9" t="s">
        <v>504</v>
      </c>
      <c r="FA145" s="644"/>
      <c r="FB145" s="9">
        <v>4</v>
      </c>
      <c r="FC145" s="644"/>
      <c r="FD145" s="9">
        <v>2</v>
      </c>
      <c r="FE145" s="644"/>
      <c r="FF145" s="9">
        <v>14</v>
      </c>
      <c r="FG145" s="644"/>
      <c r="FH145" s="9">
        <v>6</v>
      </c>
      <c r="FI145" s="644"/>
      <c r="FJ145" s="9"/>
      <c r="FK145" s="644"/>
      <c r="FL145" s="780">
        <v>3</v>
      </c>
      <c r="FM145" s="644"/>
      <c r="FN145" s="9"/>
      <c r="FO145" s="644"/>
      <c r="FP145" s="9"/>
      <c r="FQ145" s="644"/>
      <c r="FR145" s="644"/>
      <c r="FS145" s="644"/>
      <c r="FT145" s="644"/>
      <c r="FU145" s="644"/>
      <c r="FV145" s="644"/>
      <c r="FW145" s="644"/>
      <c r="FX145" s="5">
        <v>6</v>
      </c>
      <c r="FY145" s="644"/>
      <c r="FZ145" s="644"/>
      <c r="GA145" s="644"/>
      <c r="GB145" s="9"/>
      <c r="GC145" s="644"/>
      <c r="GD145" s="9">
        <v>2</v>
      </c>
      <c r="GE145" s="644"/>
      <c r="GF145" s="9" t="s">
        <v>465</v>
      </c>
      <c r="GG145" s="644"/>
      <c r="GH145" s="9">
        <v>12</v>
      </c>
      <c r="GI145" s="644"/>
      <c r="GJ145" s="780">
        <v>5</v>
      </c>
      <c r="GK145" s="644"/>
      <c r="GL145" s="9">
        <v>0</v>
      </c>
      <c r="GM145" s="644"/>
      <c r="GN145" s="9" t="s">
        <v>2574</v>
      </c>
      <c r="GO145" s="644"/>
      <c r="GP145" s="9">
        <v>0</v>
      </c>
      <c r="GQ145" s="644"/>
      <c r="GR145" s="9">
        <v>3</v>
      </c>
      <c r="GS145" s="644"/>
      <c r="GT145" s="5">
        <v>11</v>
      </c>
      <c r="GU145" s="644"/>
      <c r="GV145" s="9" t="s">
        <v>465</v>
      </c>
      <c r="GW145" s="644"/>
      <c r="GX145" s="9" t="s">
        <v>465</v>
      </c>
      <c r="GY145" s="644"/>
      <c r="GZ145" s="9" t="s">
        <v>465</v>
      </c>
      <c r="HA145" s="644"/>
      <c r="HB145" s="9"/>
      <c r="HC145" s="644"/>
      <c r="HD145" s="9">
        <v>1</v>
      </c>
      <c r="HE145" s="644"/>
      <c r="HF145" s="9" t="s">
        <v>465</v>
      </c>
      <c r="HG145" s="644"/>
      <c r="HH145" s="9" t="s">
        <v>465</v>
      </c>
      <c r="HI145" s="644"/>
      <c r="HJ145" s="644"/>
      <c r="HK145" s="644"/>
      <c r="HL145" s="9" t="s">
        <v>504</v>
      </c>
      <c r="HM145" s="644"/>
      <c r="HN145" s="9">
        <v>3</v>
      </c>
      <c r="HO145" s="644"/>
      <c r="HP145" s="9"/>
      <c r="HQ145" s="644"/>
      <c r="HR145" s="9"/>
      <c r="HS145" s="644"/>
      <c r="HT145" s="656" t="s">
        <v>702</v>
      </c>
      <c r="HU145" s="644"/>
      <c r="HV145" s="9"/>
      <c r="HW145" s="644"/>
      <c r="HX145" s="9"/>
      <c r="HY145" s="644"/>
      <c r="HZ145" s="9">
        <v>1</v>
      </c>
      <c r="IA145" s="644"/>
      <c r="IB145" s="644"/>
      <c r="IC145" s="644"/>
      <c r="ID145" s="9">
        <v>5</v>
      </c>
      <c r="IE145" s="644"/>
      <c r="IF145" s="9">
        <v>1</v>
      </c>
      <c r="IG145" s="756"/>
      <c r="IH145" s="9"/>
      <c r="II145" s="644"/>
      <c r="IJ145" s="644"/>
      <c r="IK145" s="644"/>
      <c r="IL145" s="633" t="s">
        <v>465</v>
      </c>
      <c r="IM145" s="644"/>
      <c r="IN145" s="634" t="s">
        <v>465</v>
      </c>
      <c r="IO145" s="644"/>
      <c r="IP145" s="9" t="s">
        <v>759</v>
      </c>
      <c r="IQ145" s="644"/>
      <c r="IR145" s="9" t="s">
        <v>780</v>
      </c>
      <c r="IS145" s="644"/>
      <c r="IT145" s="9">
        <v>10</v>
      </c>
      <c r="IU145" s="644"/>
      <c r="IV145" s="9">
        <v>24</v>
      </c>
      <c r="IW145" s="644"/>
      <c r="IX145" s="632" t="s">
        <v>1104</v>
      </c>
      <c r="IY145" s="644"/>
      <c r="IZ145" s="9">
        <v>25</v>
      </c>
      <c r="JA145" s="644"/>
      <c r="JB145" s="9"/>
      <c r="JC145" s="644"/>
      <c r="JD145" s="9">
        <v>4</v>
      </c>
      <c r="JE145" s="644"/>
      <c r="JF145" s="644"/>
      <c r="JG145" s="644"/>
      <c r="JH145" s="9" t="s">
        <v>817</v>
      </c>
      <c r="JI145" s="644"/>
      <c r="JJ145" s="644"/>
      <c r="JK145" s="644"/>
      <c r="JL145" s="644"/>
      <c r="JM145" s="644"/>
      <c r="JN145" s="9">
        <v>5</v>
      </c>
      <c r="JO145" s="644"/>
      <c r="JP145" s="644"/>
      <c r="JQ145" s="644"/>
      <c r="JR145" s="659">
        <v>37</v>
      </c>
      <c r="JS145" s="644"/>
      <c r="JT145" s="9" t="s">
        <v>465</v>
      </c>
      <c r="JU145" s="644"/>
      <c r="JV145" s="9">
        <v>2</v>
      </c>
      <c r="JW145" s="644"/>
      <c r="JX145" s="9">
        <v>5</v>
      </c>
      <c r="JY145" s="644"/>
    </row>
    <row r="146" spans="1:285" ht="38.25" customHeight="1" thickBot="1" x14ac:dyDescent="0.25">
      <c r="A146" s="1574"/>
      <c r="B146" s="1572"/>
      <c r="C146" s="85" t="s">
        <v>70</v>
      </c>
      <c r="D146" s="86" t="s">
        <v>188</v>
      </c>
      <c r="E146" s="755" t="s">
        <v>53</v>
      </c>
      <c r="F146" s="9">
        <v>100</v>
      </c>
      <c r="G146" s="756"/>
      <c r="H146" s="9" t="s">
        <v>465</v>
      </c>
      <c r="I146" s="644"/>
      <c r="J146" s="9" t="s">
        <v>465</v>
      </c>
      <c r="K146" s="644"/>
      <c r="L146" s="9" t="s">
        <v>465</v>
      </c>
      <c r="M146" s="644"/>
      <c r="N146" s="757">
        <v>987</v>
      </c>
      <c r="O146" s="644"/>
      <c r="P146" s="84">
        <v>1525</v>
      </c>
      <c r="Q146" s="644"/>
      <c r="R146" s="9"/>
      <c r="S146" s="644"/>
      <c r="T146" s="644"/>
      <c r="U146" s="644"/>
      <c r="V146" s="644"/>
      <c r="W146" s="644"/>
      <c r="X146" s="644"/>
      <c r="Y146" s="644"/>
      <c r="Z146" s="9">
        <v>840</v>
      </c>
      <c r="AA146" s="644"/>
      <c r="AB146" s="9">
        <v>340</v>
      </c>
      <c r="AC146" s="644"/>
      <c r="AD146" s="5" t="s">
        <v>465</v>
      </c>
      <c r="AE146" s="644"/>
      <c r="AF146" s="644"/>
      <c r="AG146" s="644"/>
      <c r="AH146" s="644"/>
      <c r="AI146" s="644"/>
      <c r="AJ146" s="84"/>
      <c r="AK146" s="644"/>
      <c r="AL146" s="9">
        <v>754</v>
      </c>
      <c r="AM146" s="644"/>
      <c r="AN146" s="9"/>
      <c r="AO146" s="644"/>
      <c r="AP146" s="9"/>
      <c r="AQ146" s="644"/>
      <c r="AR146" s="9"/>
      <c r="AS146" s="644"/>
      <c r="AT146" s="5">
        <v>181</v>
      </c>
      <c r="AU146" s="644"/>
      <c r="AV146" s="757"/>
      <c r="AW146" s="644"/>
      <c r="AX146" s="13">
        <v>1476</v>
      </c>
      <c r="AY146" s="644"/>
      <c r="AZ146" s="5" t="s">
        <v>567</v>
      </c>
      <c r="BA146" s="644"/>
      <c r="BB146" s="644"/>
      <c r="BC146" s="644"/>
      <c r="BD146" s="5"/>
      <c r="BE146" s="644"/>
      <c r="BF146" s="9"/>
      <c r="BG146" s="644"/>
      <c r="BH146" s="644"/>
      <c r="BI146" s="644"/>
      <c r="BJ146" s="9"/>
      <c r="BK146" s="644"/>
      <c r="BL146" s="9"/>
      <c r="BM146" s="644"/>
      <c r="BN146" s="9"/>
      <c r="BO146" s="644"/>
      <c r="BP146" s="1543"/>
      <c r="BQ146" s="644"/>
      <c r="BR146" s="9" t="s">
        <v>465</v>
      </c>
      <c r="BS146" s="644"/>
      <c r="BT146" s="9"/>
      <c r="BU146" s="644"/>
      <c r="BV146" s="9"/>
      <c r="BW146" s="644"/>
      <c r="BX146" s="9">
        <v>162</v>
      </c>
      <c r="BY146" s="644"/>
      <c r="BZ146" s="632">
        <v>35</v>
      </c>
      <c r="CA146" s="644"/>
      <c r="CB146" s="9">
        <v>448</v>
      </c>
      <c r="CC146" s="644"/>
      <c r="CD146" s="644"/>
      <c r="CE146" s="644"/>
      <c r="CF146" s="644"/>
      <c r="CG146" s="644"/>
      <c r="CH146" s="632"/>
      <c r="CI146" s="9"/>
      <c r="CJ146" s="9">
        <v>45</v>
      </c>
      <c r="CK146" s="9"/>
      <c r="CL146" s="9">
        <v>450</v>
      </c>
      <c r="CM146" s="644"/>
      <c r="CN146" s="9"/>
      <c r="CO146" s="644"/>
      <c r="CP146" s="5" t="s">
        <v>2439</v>
      </c>
      <c r="CQ146" s="644"/>
      <c r="CR146" s="9" t="s">
        <v>2464</v>
      </c>
      <c r="CS146" s="644"/>
      <c r="CT146" s="9">
        <v>1500</v>
      </c>
      <c r="CU146" s="644"/>
      <c r="CV146" s="9" t="s">
        <v>465</v>
      </c>
      <c r="CW146" s="644"/>
      <c r="CX146" s="9" t="s">
        <v>465</v>
      </c>
      <c r="CY146" s="644"/>
      <c r="CZ146" s="9" t="s">
        <v>465</v>
      </c>
      <c r="DA146" s="644"/>
      <c r="DB146" s="9" t="s">
        <v>465</v>
      </c>
      <c r="DC146" s="644"/>
      <c r="DD146" s="9"/>
      <c r="DE146" s="644"/>
      <c r="DF146" s="644"/>
      <c r="DG146" s="644"/>
      <c r="DH146" s="9"/>
      <c r="DI146" s="644"/>
      <c r="DJ146" s="758" t="s">
        <v>504</v>
      </c>
      <c r="DK146" s="644"/>
      <c r="DL146" s="644"/>
      <c r="DM146" s="644"/>
      <c r="DN146" s="9">
        <v>400</v>
      </c>
      <c r="DO146" s="644"/>
      <c r="DP146" s="644"/>
      <c r="DQ146" s="644"/>
      <c r="DR146" s="644"/>
      <c r="DS146" s="644"/>
      <c r="DT146" s="644"/>
      <c r="DU146" s="644"/>
      <c r="DV146" s="9">
        <v>150</v>
      </c>
      <c r="DW146" s="644"/>
      <c r="DX146" s="9">
        <v>150</v>
      </c>
      <c r="DY146" s="644"/>
      <c r="DZ146" s="9" t="s">
        <v>465</v>
      </c>
      <c r="EA146" s="644"/>
      <c r="EB146" s="644"/>
      <c r="EC146" s="644"/>
      <c r="ED146" s="644"/>
      <c r="EE146" s="644"/>
      <c r="EF146" s="9">
        <f>15+33+40+192</f>
        <v>280</v>
      </c>
      <c r="EG146" s="644"/>
      <c r="EH146" s="759">
        <v>42</v>
      </c>
      <c r="EI146" s="644"/>
      <c r="EJ146" s="644"/>
      <c r="EK146" s="644"/>
      <c r="EL146" s="644"/>
      <c r="EM146" s="644"/>
      <c r="EN146" s="9"/>
      <c r="EO146" s="644"/>
      <c r="EP146" s="9">
        <v>70</v>
      </c>
      <c r="EQ146" s="644"/>
      <c r="ER146" s="644"/>
      <c r="ES146" s="644"/>
      <c r="ET146" s="9">
        <v>172</v>
      </c>
      <c r="EU146" s="644"/>
      <c r="EV146" s="9" t="s">
        <v>465</v>
      </c>
      <c r="EW146" s="644"/>
      <c r="EX146" s="9" t="s">
        <v>1495</v>
      </c>
      <c r="EY146" s="644"/>
      <c r="EZ146" s="9" t="s">
        <v>504</v>
      </c>
      <c r="FA146" s="644"/>
      <c r="FB146" s="9">
        <v>300</v>
      </c>
      <c r="FC146" s="644"/>
      <c r="FD146" s="9">
        <v>31</v>
      </c>
      <c r="FE146" s="644"/>
      <c r="FF146" s="9">
        <v>591</v>
      </c>
      <c r="FG146" s="644"/>
      <c r="FH146" s="9" t="s">
        <v>1580</v>
      </c>
      <c r="FI146" s="644"/>
      <c r="FJ146" s="9"/>
      <c r="FK146" s="644"/>
      <c r="FL146" s="780">
        <v>639</v>
      </c>
      <c r="FM146" s="644"/>
      <c r="FN146" s="9"/>
      <c r="FO146" s="644"/>
      <c r="FP146" s="9"/>
      <c r="FQ146" s="644"/>
      <c r="FR146" s="644"/>
      <c r="FS146" s="644"/>
      <c r="FT146" s="644"/>
      <c r="FU146" s="644"/>
      <c r="FV146" s="644"/>
      <c r="FW146" s="644"/>
      <c r="FX146" s="5">
        <v>114</v>
      </c>
      <c r="FY146" s="644"/>
      <c r="FZ146" s="644"/>
      <c r="GA146" s="644"/>
      <c r="GB146" s="9"/>
      <c r="GC146" s="644"/>
      <c r="GD146" s="9">
        <v>2442</v>
      </c>
      <c r="GE146" s="644"/>
      <c r="GF146" s="9" t="s">
        <v>465</v>
      </c>
      <c r="GG146" s="644"/>
      <c r="GH146" s="9">
        <v>300</v>
      </c>
      <c r="GI146" s="644"/>
      <c r="GJ146" s="780">
        <v>877</v>
      </c>
      <c r="GK146" s="644"/>
      <c r="GL146" s="9">
        <v>0</v>
      </c>
      <c r="GM146" s="644"/>
      <c r="GN146" s="9" t="s">
        <v>2575</v>
      </c>
      <c r="GO146" s="644"/>
      <c r="GP146" s="9">
        <v>0</v>
      </c>
      <c r="GQ146" s="644"/>
      <c r="GR146" s="9">
        <v>811</v>
      </c>
      <c r="GS146" s="644"/>
      <c r="GT146" s="5" t="s">
        <v>2101</v>
      </c>
      <c r="GU146" s="644"/>
      <c r="GV146" s="9" t="s">
        <v>465</v>
      </c>
      <c r="GW146" s="644"/>
      <c r="GX146" s="9" t="s">
        <v>465</v>
      </c>
      <c r="GY146" s="644"/>
      <c r="GZ146" s="9" t="s">
        <v>465</v>
      </c>
      <c r="HA146" s="644"/>
      <c r="HB146" s="9"/>
      <c r="HC146" s="644"/>
      <c r="HD146" s="9">
        <v>50</v>
      </c>
      <c r="HE146" s="644"/>
      <c r="HF146" s="9" t="s">
        <v>465</v>
      </c>
      <c r="HG146" s="644"/>
      <c r="HH146" s="9" t="s">
        <v>465</v>
      </c>
      <c r="HI146" s="644"/>
      <c r="HJ146" s="644"/>
      <c r="HK146" s="644"/>
      <c r="HL146" s="9" t="s">
        <v>504</v>
      </c>
      <c r="HM146" s="644"/>
      <c r="HN146" s="9" t="s">
        <v>1791</v>
      </c>
      <c r="HO146" s="644"/>
      <c r="HP146" s="9"/>
      <c r="HQ146" s="644"/>
      <c r="HR146" s="9"/>
      <c r="HS146" s="644"/>
      <c r="HT146" s="656" t="s">
        <v>702</v>
      </c>
      <c r="HU146" s="644"/>
      <c r="HV146" s="9"/>
      <c r="HW146" s="644"/>
      <c r="HX146" s="9"/>
      <c r="HY146" s="644"/>
      <c r="HZ146" s="9">
        <v>200</v>
      </c>
      <c r="IA146" s="644"/>
      <c r="IB146" s="644"/>
      <c r="IC146" s="644"/>
      <c r="ID146" s="9">
        <v>200</v>
      </c>
      <c r="IE146" s="644"/>
      <c r="IF146" s="9">
        <v>42</v>
      </c>
      <c r="IG146" s="756"/>
      <c r="IH146" s="9"/>
      <c r="II146" s="644"/>
      <c r="IJ146" s="644"/>
      <c r="IK146" s="644"/>
      <c r="IL146" s="633" t="s">
        <v>465</v>
      </c>
      <c r="IM146" s="644"/>
      <c r="IN146" s="634" t="s">
        <v>465</v>
      </c>
      <c r="IO146" s="644"/>
      <c r="IP146" s="9" t="s">
        <v>760</v>
      </c>
      <c r="IQ146" s="644"/>
      <c r="IR146" s="9" t="s">
        <v>781</v>
      </c>
      <c r="IS146" s="644"/>
      <c r="IT146" s="9">
        <v>427</v>
      </c>
      <c r="IU146" s="644"/>
      <c r="IV146" s="9">
        <v>600</v>
      </c>
      <c r="IW146" s="644"/>
      <c r="IX146" s="632" t="s">
        <v>1104</v>
      </c>
      <c r="IY146" s="644"/>
      <c r="IZ146" s="9">
        <v>464</v>
      </c>
      <c r="JA146" s="644"/>
      <c r="JB146" s="9"/>
      <c r="JC146" s="644"/>
      <c r="JD146" s="9">
        <v>188</v>
      </c>
      <c r="JE146" s="644"/>
      <c r="JF146" s="644"/>
      <c r="JG146" s="644"/>
      <c r="JH146" s="9" t="s">
        <v>701</v>
      </c>
      <c r="JI146" s="644"/>
      <c r="JJ146" s="644"/>
      <c r="JK146" s="644"/>
      <c r="JL146" s="644"/>
      <c r="JM146" s="644"/>
      <c r="JN146" s="9">
        <v>215</v>
      </c>
      <c r="JO146" s="644"/>
      <c r="JP146" s="644"/>
      <c r="JQ146" s="644"/>
      <c r="JR146" s="659">
        <v>2040</v>
      </c>
      <c r="JS146" s="644"/>
      <c r="JT146" s="9" t="s">
        <v>465</v>
      </c>
      <c r="JU146" s="644"/>
      <c r="JV146" s="9">
        <v>1000</v>
      </c>
      <c r="JW146" s="644"/>
      <c r="JX146" s="9">
        <v>296</v>
      </c>
      <c r="JY146" s="644"/>
    </row>
    <row r="147" spans="1:285" x14ac:dyDescent="0.2">
      <c r="F147" s="36"/>
      <c r="G147" s="36"/>
      <c r="H147" s="36"/>
    </row>
    <row r="148" spans="1:285" x14ac:dyDescent="0.2">
      <c r="F148" s="36"/>
      <c r="G148" s="36"/>
      <c r="H148" s="36"/>
    </row>
    <row r="149" spans="1:285" x14ac:dyDescent="0.2">
      <c r="D149" s="101" t="s">
        <v>219</v>
      </c>
      <c r="E149" s="37"/>
      <c r="F149" s="36"/>
      <c r="G149" s="36"/>
      <c r="H149" s="36"/>
    </row>
    <row r="150" spans="1:285" ht="24" customHeight="1" x14ac:dyDescent="0.2">
      <c r="D150" s="101"/>
      <c r="E150" s="37"/>
      <c r="F150" s="36"/>
      <c r="G150" s="36"/>
      <c r="H150" s="36"/>
    </row>
    <row r="151" spans="1:285" x14ac:dyDescent="0.2">
      <c r="D151" s="101"/>
      <c r="E151" s="37"/>
      <c r="F151" s="36"/>
      <c r="G151" s="36"/>
      <c r="H151" s="36"/>
    </row>
    <row r="152" spans="1:285" x14ac:dyDescent="0.2">
      <c r="D152" s="57"/>
      <c r="E152" s="2"/>
      <c r="H152" s="2"/>
      <c r="I152" s="2"/>
    </row>
    <row r="153" spans="1:285" x14ac:dyDescent="0.2">
      <c r="D153" s="57"/>
      <c r="E153" s="2"/>
      <c r="H153" s="2"/>
      <c r="I153" s="2"/>
    </row>
    <row r="154" spans="1:285" x14ac:dyDescent="0.2">
      <c r="D154" s="57"/>
      <c r="E154" s="2"/>
      <c r="H154" s="2"/>
      <c r="I154" s="2"/>
    </row>
    <row r="155" spans="1:285" x14ac:dyDescent="0.2">
      <c r="D155" s="57"/>
      <c r="E155" s="2"/>
      <c r="H155" s="2"/>
      <c r="I155" s="2"/>
    </row>
    <row r="156" spans="1:285" x14ac:dyDescent="0.2">
      <c r="D156" s="57"/>
      <c r="E156" s="2"/>
      <c r="H156" s="2"/>
      <c r="I156" s="2"/>
    </row>
    <row r="157" spans="1:285" x14ac:dyDescent="0.2">
      <c r="D157" s="57"/>
      <c r="E157" s="2"/>
      <c r="H157" s="2"/>
      <c r="I157" s="2"/>
    </row>
    <row r="158" spans="1:285" x14ac:dyDescent="0.2">
      <c r="D158" s="57"/>
      <c r="E158" s="2"/>
      <c r="H158" s="2"/>
      <c r="I158" s="2"/>
    </row>
    <row r="159" spans="1:285" x14ac:dyDescent="0.2">
      <c r="D159" s="57"/>
      <c r="E159" s="2"/>
      <c r="H159" s="2"/>
      <c r="I159" s="2"/>
    </row>
    <row r="160" spans="1:285" x14ac:dyDescent="0.2">
      <c r="D160" s="57"/>
      <c r="E160" s="2"/>
      <c r="H160" s="2"/>
      <c r="I160" s="2"/>
    </row>
    <row r="161" spans="4:9" x14ac:dyDescent="0.2">
      <c r="D161" s="57"/>
      <c r="E161" s="2"/>
      <c r="H161" s="2"/>
      <c r="I161" s="2"/>
    </row>
    <row r="162" spans="4:9" x14ac:dyDescent="0.2">
      <c r="D162" s="57"/>
      <c r="E162" s="2"/>
      <c r="H162" s="2"/>
      <c r="I162" s="2"/>
    </row>
    <row r="163" spans="4:9" x14ac:dyDescent="0.2">
      <c r="D163" s="57"/>
      <c r="E163" s="2"/>
      <c r="H163" s="2"/>
      <c r="I163" s="2"/>
    </row>
    <row r="164" spans="4:9" x14ac:dyDescent="0.2">
      <c r="D164" s="57"/>
      <c r="E164" s="2"/>
      <c r="H164" s="2"/>
      <c r="I164" s="2"/>
    </row>
    <row r="165" spans="4:9" x14ac:dyDescent="0.2">
      <c r="D165" s="57"/>
      <c r="E165" s="2"/>
      <c r="H165" s="2"/>
      <c r="I165" s="2"/>
    </row>
    <row r="166" spans="4:9" x14ac:dyDescent="0.2">
      <c r="D166" s="57"/>
      <c r="E166" s="2"/>
      <c r="H166" s="2"/>
      <c r="I166" s="2"/>
    </row>
    <row r="167" spans="4:9" x14ac:dyDescent="0.2">
      <c r="D167" s="57"/>
      <c r="E167" s="2"/>
      <c r="H167" s="2"/>
      <c r="I167" s="2"/>
    </row>
    <row r="168" spans="4:9" x14ac:dyDescent="0.2">
      <c r="D168" s="57"/>
      <c r="E168" s="2"/>
      <c r="H168" s="2"/>
      <c r="I168" s="2"/>
    </row>
    <row r="169" spans="4:9" x14ac:dyDescent="0.2">
      <c r="D169" s="57"/>
      <c r="E169" s="2"/>
      <c r="H169" s="2"/>
      <c r="I169" s="2"/>
    </row>
    <row r="170" spans="4:9" x14ac:dyDescent="0.2">
      <c r="D170" s="57"/>
      <c r="E170" s="2"/>
      <c r="H170" s="2"/>
      <c r="I170" s="2"/>
    </row>
    <row r="171" spans="4:9" x14ac:dyDescent="0.2">
      <c r="D171" s="57"/>
      <c r="E171" s="2"/>
      <c r="H171" s="2"/>
      <c r="I171" s="2"/>
    </row>
    <row r="172" spans="4:9" x14ac:dyDescent="0.2">
      <c r="D172" s="57"/>
      <c r="E172" s="2"/>
      <c r="H172" s="2"/>
      <c r="I172" s="2"/>
    </row>
    <row r="173" spans="4:9" x14ac:dyDescent="0.2">
      <c r="D173" s="57"/>
      <c r="E173" s="2"/>
      <c r="H173" s="2"/>
      <c r="I173" s="2"/>
    </row>
    <row r="174" spans="4:9" x14ac:dyDescent="0.2">
      <c r="D174" s="57"/>
      <c r="E174" s="2"/>
      <c r="H174" s="2"/>
      <c r="I174" s="2"/>
    </row>
    <row r="175" spans="4:9" x14ac:dyDescent="0.2">
      <c r="D175" s="57"/>
      <c r="E175" s="2"/>
      <c r="H175" s="2"/>
      <c r="I175" s="2"/>
    </row>
    <row r="176" spans="4:9" ht="18" customHeight="1" x14ac:dyDescent="0.2">
      <c r="D176" s="57"/>
      <c r="E176" s="2"/>
      <c r="H176" s="2"/>
      <c r="I176" s="2"/>
    </row>
    <row r="177" spans="4:9" x14ac:dyDescent="0.2">
      <c r="D177" s="57"/>
      <c r="E177" s="2"/>
      <c r="H177" s="2"/>
      <c r="I177" s="2"/>
    </row>
    <row r="178" spans="4:9" x14ac:dyDescent="0.2">
      <c r="D178" s="57"/>
      <c r="E178" s="2"/>
      <c r="H178" s="2"/>
      <c r="I178" s="2"/>
    </row>
    <row r="179" spans="4:9" x14ac:dyDescent="0.2">
      <c r="D179" s="57"/>
      <c r="E179" s="2"/>
      <c r="H179" s="2"/>
      <c r="I179" s="2"/>
    </row>
    <row r="180" spans="4:9" x14ac:dyDescent="0.2">
      <c r="D180" s="57"/>
      <c r="E180" s="2"/>
      <c r="H180" s="2"/>
      <c r="I180" s="2"/>
    </row>
    <row r="181" spans="4:9" x14ac:dyDescent="0.2">
      <c r="D181" s="57"/>
      <c r="E181" s="2"/>
      <c r="H181" s="2"/>
      <c r="I181" s="2"/>
    </row>
    <row r="182" spans="4:9" x14ac:dyDescent="0.2">
      <c r="D182" s="57"/>
      <c r="E182" s="2"/>
      <c r="H182" s="2"/>
      <c r="I182" s="2"/>
    </row>
    <row r="183" spans="4:9" x14ac:dyDescent="0.2">
      <c r="D183" s="57"/>
      <c r="E183" s="2"/>
      <c r="H183" s="2"/>
      <c r="I183" s="2"/>
    </row>
    <row r="184" spans="4:9" x14ac:dyDescent="0.2">
      <c r="D184" s="57"/>
      <c r="E184" s="2"/>
      <c r="H184" s="2"/>
      <c r="I184" s="2"/>
    </row>
    <row r="185" spans="4:9" x14ac:dyDescent="0.2">
      <c r="D185" s="57"/>
      <c r="E185" s="2"/>
      <c r="H185" s="2"/>
      <c r="I185" s="2"/>
    </row>
    <row r="186" spans="4:9" x14ac:dyDescent="0.2">
      <c r="D186" s="57"/>
      <c r="E186" s="2"/>
      <c r="H186" s="2"/>
      <c r="I186" s="2"/>
    </row>
    <row r="187" spans="4:9" x14ac:dyDescent="0.2">
      <c r="D187" s="57"/>
      <c r="E187" s="2"/>
      <c r="H187" s="2"/>
      <c r="I187" s="2"/>
    </row>
    <row r="188" spans="4:9" x14ac:dyDescent="0.2">
      <c r="D188" s="57"/>
      <c r="E188" s="2"/>
      <c r="H188" s="2"/>
      <c r="I188" s="2"/>
    </row>
    <row r="189" spans="4:9" x14ac:dyDescent="0.2">
      <c r="D189" s="57"/>
      <c r="E189" s="2"/>
      <c r="H189" s="2"/>
      <c r="I189" s="2"/>
    </row>
    <row r="190" spans="4:9" x14ac:dyDescent="0.2">
      <c r="D190" s="57"/>
      <c r="E190" s="2"/>
      <c r="H190" s="2"/>
      <c r="I190" s="2"/>
    </row>
    <row r="191" spans="4:9" x14ac:dyDescent="0.2">
      <c r="D191" s="57"/>
      <c r="E191" s="2"/>
      <c r="H191" s="2"/>
      <c r="I191" s="2"/>
    </row>
    <row r="192" spans="4:9" x14ac:dyDescent="0.2">
      <c r="D192" s="57"/>
      <c r="E192" s="2"/>
      <c r="H192" s="2"/>
      <c r="I192" s="2"/>
    </row>
    <row r="193" spans="4:9" x14ac:dyDescent="0.2">
      <c r="D193" s="57"/>
      <c r="E193" s="2"/>
      <c r="H193" s="2"/>
      <c r="I193" s="2"/>
    </row>
    <row r="194" spans="4:9" x14ac:dyDescent="0.2">
      <c r="D194" s="57"/>
      <c r="E194" s="2"/>
      <c r="H194" s="2"/>
      <c r="I194" s="2"/>
    </row>
    <row r="195" spans="4:9" x14ac:dyDescent="0.2">
      <c r="D195" s="57"/>
      <c r="E195" s="2"/>
      <c r="H195" s="2"/>
      <c r="I195" s="2"/>
    </row>
    <row r="196" spans="4:9" x14ac:dyDescent="0.2">
      <c r="D196" s="57"/>
      <c r="E196" s="2"/>
      <c r="H196" s="2"/>
      <c r="I196" s="2"/>
    </row>
    <row r="197" spans="4:9" x14ac:dyDescent="0.2">
      <c r="D197" s="57"/>
      <c r="E197" s="2"/>
      <c r="H197" s="2"/>
      <c r="I197" s="2"/>
    </row>
    <row r="198" spans="4:9" x14ac:dyDescent="0.2">
      <c r="D198" s="57"/>
      <c r="E198" s="2"/>
      <c r="H198" s="2"/>
      <c r="I198" s="2"/>
    </row>
    <row r="199" spans="4:9" x14ac:dyDescent="0.2">
      <c r="D199" s="57"/>
      <c r="E199" s="2"/>
      <c r="H199" s="2"/>
      <c r="I199" s="2"/>
    </row>
    <row r="200" spans="4:9" x14ac:dyDescent="0.2">
      <c r="D200" s="57"/>
      <c r="E200" s="2"/>
      <c r="H200" s="2"/>
      <c r="I200" s="2"/>
    </row>
    <row r="201" spans="4:9" x14ac:dyDescent="0.2">
      <c r="D201" s="57"/>
      <c r="E201" s="2"/>
      <c r="H201" s="2"/>
      <c r="I201" s="2"/>
    </row>
    <row r="202" spans="4:9" x14ac:dyDescent="0.2">
      <c r="D202" s="57"/>
      <c r="E202" s="2"/>
      <c r="H202" s="2"/>
      <c r="I202" s="2"/>
    </row>
    <row r="203" spans="4:9" x14ac:dyDescent="0.2">
      <c r="D203" s="57"/>
      <c r="E203" s="2"/>
      <c r="H203" s="2"/>
      <c r="I203" s="2"/>
    </row>
    <row r="204" spans="4:9" x14ac:dyDescent="0.2">
      <c r="D204" s="57"/>
      <c r="E204" s="2"/>
      <c r="H204" s="2"/>
      <c r="I204" s="2"/>
    </row>
    <row r="205" spans="4:9" x14ac:dyDescent="0.2">
      <c r="D205" s="57"/>
      <c r="E205" s="2"/>
      <c r="H205" s="2"/>
      <c r="I205" s="2"/>
    </row>
    <row r="206" spans="4:9" x14ac:dyDescent="0.2">
      <c r="D206" s="57"/>
      <c r="E206" s="2"/>
      <c r="H206" s="2"/>
      <c r="I206" s="2"/>
    </row>
    <row r="207" spans="4:9" x14ac:dyDescent="0.2">
      <c r="D207" s="57"/>
      <c r="E207" s="2"/>
      <c r="H207" s="2"/>
      <c r="I207" s="2"/>
    </row>
    <row r="208" spans="4:9" x14ac:dyDescent="0.2">
      <c r="D208" s="57"/>
      <c r="E208" s="2"/>
      <c r="H208" s="2"/>
      <c r="I208" s="2"/>
    </row>
    <row r="209" spans="4:9" x14ac:dyDescent="0.2">
      <c r="D209" s="57"/>
      <c r="E209" s="2"/>
      <c r="H209" s="2"/>
      <c r="I209" s="2"/>
    </row>
    <row r="210" spans="4:9" x14ac:dyDescent="0.2">
      <c r="D210" s="57"/>
      <c r="E210" s="2"/>
      <c r="H210" s="2"/>
      <c r="I210" s="2"/>
    </row>
    <row r="211" spans="4:9" x14ac:dyDescent="0.2">
      <c r="D211" s="57"/>
      <c r="E211" s="2"/>
      <c r="H211" s="2"/>
      <c r="I211" s="2"/>
    </row>
    <row r="212" spans="4:9" x14ac:dyDescent="0.2">
      <c r="D212" s="57"/>
      <c r="E212" s="2"/>
      <c r="H212" s="2"/>
      <c r="I212" s="2"/>
    </row>
    <row r="213" spans="4:9" x14ac:dyDescent="0.2">
      <c r="D213" s="57"/>
      <c r="E213" s="2"/>
      <c r="H213" s="2"/>
      <c r="I213" s="2"/>
    </row>
    <row r="214" spans="4:9" x14ac:dyDescent="0.2">
      <c r="D214" s="57"/>
      <c r="E214" s="2"/>
      <c r="H214" s="2"/>
      <c r="I214" s="2"/>
    </row>
    <row r="215" spans="4:9" x14ac:dyDescent="0.2">
      <c r="D215" s="57"/>
      <c r="E215" s="2"/>
      <c r="H215" s="2"/>
      <c r="I215" s="2"/>
    </row>
    <row r="216" spans="4:9" x14ac:dyDescent="0.2">
      <c r="D216" s="57"/>
      <c r="E216" s="2"/>
      <c r="H216" s="2"/>
      <c r="I216" s="2"/>
    </row>
    <row r="217" spans="4:9" x14ac:dyDescent="0.2">
      <c r="D217" s="57"/>
      <c r="E217" s="2"/>
      <c r="H217" s="2"/>
      <c r="I217" s="2"/>
    </row>
    <row r="218" spans="4:9" x14ac:dyDescent="0.2">
      <c r="D218" s="57"/>
      <c r="E218" s="2"/>
      <c r="H218" s="2"/>
      <c r="I218" s="2"/>
    </row>
    <row r="219" spans="4:9" x14ac:dyDescent="0.2">
      <c r="D219" s="57"/>
      <c r="E219" s="2"/>
      <c r="H219" s="2"/>
      <c r="I219" s="2"/>
    </row>
    <row r="220" spans="4:9" x14ac:dyDescent="0.2">
      <c r="D220" s="57"/>
      <c r="E220" s="2"/>
      <c r="H220" s="2"/>
      <c r="I220" s="2"/>
    </row>
    <row r="221" spans="4:9" x14ac:dyDescent="0.2">
      <c r="D221" s="57"/>
      <c r="E221" s="2"/>
      <c r="H221" s="2"/>
      <c r="I221" s="2"/>
    </row>
    <row r="222" spans="4:9" x14ac:dyDescent="0.2">
      <c r="D222" s="57"/>
      <c r="E222" s="2"/>
      <c r="H222" s="2"/>
      <c r="I222" s="2"/>
    </row>
    <row r="223" spans="4:9" x14ac:dyDescent="0.2">
      <c r="D223" s="57"/>
      <c r="E223" s="2"/>
      <c r="H223" s="2"/>
      <c r="I223" s="2"/>
    </row>
    <row r="224" spans="4:9" x14ac:dyDescent="0.2">
      <c r="D224" s="57"/>
      <c r="E224" s="2"/>
      <c r="H224" s="2"/>
      <c r="I224" s="2"/>
    </row>
    <row r="225" spans="4:9" x14ac:dyDescent="0.2">
      <c r="D225" s="57"/>
      <c r="E225" s="2"/>
      <c r="H225" s="2"/>
      <c r="I225" s="2"/>
    </row>
    <row r="226" spans="4:9" x14ac:dyDescent="0.2">
      <c r="D226" s="57"/>
      <c r="E226" s="2"/>
      <c r="H226" s="2"/>
      <c r="I226" s="2"/>
    </row>
    <row r="227" spans="4:9" x14ac:dyDescent="0.2">
      <c r="D227" s="57"/>
      <c r="E227" s="2"/>
      <c r="H227" s="2"/>
      <c r="I227" s="2"/>
    </row>
    <row r="228" spans="4:9" x14ac:dyDescent="0.2">
      <c r="D228" s="57"/>
      <c r="E228" s="2"/>
      <c r="H228" s="2"/>
      <c r="I228" s="2"/>
    </row>
    <row r="229" spans="4:9" x14ac:dyDescent="0.2">
      <c r="D229" s="57"/>
      <c r="E229" s="2"/>
      <c r="H229" s="2"/>
      <c r="I229" s="2"/>
    </row>
    <row r="230" spans="4:9" x14ac:dyDescent="0.2">
      <c r="D230" s="57"/>
      <c r="E230" s="2"/>
      <c r="H230" s="2"/>
      <c r="I230" s="2"/>
    </row>
    <row r="231" spans="4:9" x14ac:dyDescent="0.2">
      <c r="D231" s="57"/>
      <c r="E231" s="2"/>
      <c r="H231" s="2"/>
      <c r="I231" s="2"/>
    </row>
    <row r="232" spans="4:9" x14ac:dyDescent="0.2">
      <c r="D232" s="57"/>
      <c r="E232" s="2"/>
      <c r="H232" s="2"/>
      <c r="I232" s="2"/>
    </row>
    <row r="233" spans="4:9" x14ac:dyDescent="0.2">
      <c r="D233" s="57"/>
      <c r="E233" s="2"/>
      <c r="H233" s="2"/>
      <c r="I233" s="2"/>
    </row>
    <row r="234" spans="4:9" x14ac:dyDescent="0.2">
      <c r="D234" s="57"/>
      <c r="E234" s="2"/>
      <c r="H234" s="2"/>
      <c r="I234" s="2"/>
    </row>
    <row r="235" spans="4:9" x14ac:dyDescent="0.2">
      <c r="D235" s="57"/>
      <c r="E235" s="2"/>
      <c r="H235" s="2"/>
      <c r="I235" s="2"/>
    </row>
    <row r="236" spans="4:9" x14ac:dyDescent="0.2">
      <c r="D236" s="57"/>
      <c r="E236" s="2"/>
      <c r="H236" s="2"/>
      <c r="I236" s="2"/>
    </row>
    <row r="237" spans="4:9" x14ac:dyDescent="0.2">
      <c r="D237" s="57"/>
      <c r="E237" s="2"/>
      <c r="H237" s="2"/>
      <c r="I237" s="2"/>
    </row>
    <row r="238" spans="4:9" x14ac:dyDescent="0.2">
      <c r="D238" s="57"/>
      <c r="E238" s="2"/>
      <c r="H238" s="2"/>
      <c r="I238" s="2"/>
    </row>
    <row r="239" spans="4:9" x14ac:dyDescent="0.2">
      <c r="D239" s="57"/>
      <c r="E239" s="2"/>
      <c r="H239" s="2"/>
      <c r="I239" s="2"/>
    </row>
    <row r="240" spans="4:9" x14ac:dyDescent="0.2">
      <c r="D240" s="57"/>
      <c r="E240" s="2"/>
      <c r="H240" s="2"/>
      <c r="I240" s="2"/>
    </row>
    <row r="241" spans="4:9" x14ac:dyDescent="0.2">
      <c r="D241" s="57"/>
      <c r="E241" s="2"/>
      <c r="H241" s="2"/>
      <c r="I241" s="2"/>
    </row>
    <row r="242" spans="4:9" x14ac:dyDescent="0.2">
      <c r="D242" s="57"/>
      <c r="E242" s="2"/>
      <c r="H242" s="2"/>
      <c r="I242" s="2"/>
    </row>
    <row r="243" spans="4:9" x14ac:dyDescent="0.2">
      <c r="D243" s="57"/>
      <c r="E243" s="2"/>
      <c r="H243" s="2"/>
      <c r="I243" s="2"/>
    </row>
    <row r="244" spans="4:9" x14ac:dyDescent="0.2">
      <c r="D244" s="57"/>
      <c r="E244" s="2"/>
      <c r="H244" s="2"/>
      <c r="I244" s="2"/>
    </row>
    <row r="245" spans="4:9" x14ac:dyDescent="0.2">
      <c r="D245" s="57"/>
      <c r="E245" s="2"/>
      <c r="H245" s="2"/>
      <c r="I245" s="2"/>
    </row>
    <row r="246" spans="4:9" x14ac:dyDescent="0.2">
      <c r="D246" s="57"/>
      <c r="E246" s="2"/>
      <c r="H246" s="2"/>
      <c r="I246" s="2"/>
    </row>
    <row r="247" spans="4:9" x14ac:dyDescent="0.2">
      <c r="D247" s="57"/>
      <c r="E247" s="2"/>
      <c r="H247" s="2"/>
      <c r="I247" s="2"/>
    </row>
    <row r="248" spans="4:9" x14ac:dyDescent="0.2">
      <c r="D248" s="57"/>
      <c r="E248" s="2"/>
      <c r="H248" s="2"/>
      <c r="I248" s="2"/>
    </row>
    <row r="249" spans="4:9" x14ac:dyDescent="0.2">
      <c r="D249" s="57"/>
      <c r="E249" s="2"/>
      <c r="H249" s="2"/>
      <c r="I249" s="2"/>
    </row>
    <row r="250" spans="4:9" x14ac:dyDescent="0.2">
      <c r="D250" s="57"/>
      <c r="E250" s="2"/>
      <c r="H250" s="2"/>
      <c r="I250" s="2"/>
    </row>
    <row r="251" spans="4:9" x14ac:dyDescent="0.2">
      <c r="D251" s="57"/>
      <c r="E251" s="2"/>
      <c r="H251" s="2"/>
      <c r="I251" s="2"/>
    </row>
    <row r="252" spans="4:9" x14ac:dyDescent="0.2">
      <c r="D252" s="57"/>
      <c r="E252" s="2"/>
      <c r="H252" s="2"/>
      <c r="I252" s="2"/>
    </row>
    <row r="253" spans="4:9" x14ac:dyDescent="0.2">
      <c r="D253" s="57"/>
      <c r="E253" s="2"/>
      <c r="H253" s="2"/>
      <c r="I253" s="2"/>
    </row>
    <row r="254" spans="4:9" x14ac:dyDescent="0.2">
      <c r="D254" s="57"/>
      <c r="E254" s="2"/>
      <c r="H254" s="2"/>
      <c r="I254" s="2"/>
    </row>
    <row r="255" spans="4:9" x14ac:dyDescent="0.2">
      <c r="D255" s="57"/>
      <c r="E255" s="2"/>
      <c r="H255" s="2"/>
      <c r="I255" s="2"/>
    </row>
    <row r="256" spans="4:9" x14ac:dyDescent="0.2">
      <c r="D256" s="57"/>
      <c r="E256" s="2"/>
      <c r="H256" s="2"/>
      <c r="I256" s="2"/>
    </row>
    <row r="257" spans="4:9" x14ac:dyDescent="0.2">
      <c r="D257" s="57"/>
      <c r="E257" s="2"/>
      <c r="H257" s="2"/>
      <c r="I257" s="2"/>
    </row>
    <row r="258" spans="4:9" x14ac:dyDescent="0.2">
      <c r="D258" s="57"/>
      <c r="E258" s="2"/>
      <c r="H258" s="2"/>
      <c r="I258" s="2"/>
    </row>
    <row r="259" spans="4:9" x14ac:dyDescent="0.2">
      <c r="D259" s="57"/>
      <c r="E259" s="2"/>
      <c r="H259" s="2"/>
      <c r="I259" s="2"/>
    </row>
    <row r="260" spans="4:9" x14ac:dyDescent="0.2">
      <c r="D260" s="57"/>
      <c r="E260" s="2"/>
      <c r="H260" s="2"/>
      <c r="I260" s="2"/>
    </row>
    <row r="261" spans="4:9" x14ac:dyDescent="0.2">
      <c r="D261" s="57"/>
      <c r="E261" s="2"/>
      <c r="H261" s="2"/>
      <c r="I261" s="2"/>
    </row>
    <row r="262" spans="4:9" x14ac:dyDescent="0.2">
      <c r="D262" s="57"/>
      <c r="E262" s="2"/>
      <c r="H262" s="2"/>
      <c r="I262" s="2"/>
    </row>
  </sheetData>
  <sheetProtection sheet="1" formatCells="0" formatColumns="0" formatRows="0" insertColumns="0" insertRows="0" insertHyperlinks="0" deleteColumns="0" deleteRows="0" sort="0" autoFilter="0" pivotTables="0"/>
  <mergeCells count="95">
    <mergeCell ref="B144:B146"/>
    <mergeCell ref="A144:A146"/>
    <mergeCell ref="D110:D112"/>
    <mergeCell ref="C131:C133"/>
    <mergeCell ref="C110:C112"/>
    <mergeCell ref="C122:C124"/>
    <mergeCell ref="C125:C127"/>
    <mergeCell ref="D131:D133"/>
    <mergeCell ref="D125:D127"/>
    <mergeCell ref="D122:D124"/>
    <mergeCell ref="A139:A143"/>
    <mergeCell ref="B139:B143"/>
    <mergeCell ref="A137:A138"/>
    <mergeCell ref="B137:B138"/>
    <mergeCell ref="A134:A135"/>
    <mergeCell ref="B134:B135"/>
    <mergeCell ref="A74:A79"/>
    <mergeCell ref="B74:B79"/>
    <mergeCell ref="B38:B42"/>
    <mergeCell ref="A49:A51"/>
    <mergeCell ref="B49:B51"/>
    <mergeCell ref="B47:B48"/>
    <mergeCell ref="A110:A133"/>
    <mergeCell ref="B110:B133"/>
    <mergeCell ref="A5:A6"/>
    <mergeCell ref="B5:B6"/>
    <mergeCell ref="B52:B73"/>
    <mergeCell ref="B10:B20"/>
    <mergeCell ref="A10:A20"/>
    <mergeCell ref="A36:A37"/>
    <mergeCell ref="B36:B37"/>
    <mergeCell ref="A31:A32"/>
    <mergeCell ref="B31:B32"/>
    <mergeCell ref="A34:A35"/>
    <mergeCell ref="B34:B35"/>
    <mergeCell ref="A28:A30"/>
    <mergeCell ref="B28:B30"/>
    <mergeCell ref="A24:A26"/>
    <mergeCell ref="B24:B26"/>
    <mergeCell ref="B43:B46"/>
    <mergeCell ref="A43:A46"/>
    <mergeCell ref="A47:A48"/>
    <mergeCell ref="D8:D9"/>
    <mergeCell ref="D11:D12"/>
    <mergeCell ref="D15:D16"/>
    <mergeCell ref="C8:C9"/>
    <mergeCell ref="C11:C12"/>
    <mergeCell ref="C15:C16"/>
    <mergeCell ref="A8:A9"/>
    <mergeCell ref="B8:B9"/>
    <mergeCell ref="C17:C18"/>
    <mergeCell ref="C19:C20"/>
    <mergeCell ref="C13:C14"/>
    <mergeCell ref="D13:D14"/>
    <mergeCell ref="D19:D20"/>
    <mergeCell ref="D17:D18"/>
    <mergeCell ref="A86:A109"/>
    <mergeCell ref="B86:B109"/>
    <mergeCell ref="A80:A85"/>
    <mergeCell ref="B80:B85"/>
    <mergeCell ref="C107:C109"/>
    <mergeCell ref="C101:C103"/>
    <mergeCell ref="C104:C106"/>
    <mergeCell ref="D119:D121"/>
    <mergeCell ref="A38:A42"/>
    <mergeCell ref="A52:A73"/>
    <mergeCell ref="C98:C100"/>
    <mergeCell ref="C116:C118"/>
    <mergeCell ref="D116:D118"/>
    <mergeCell ref="D107:D109"/>
    <mergeCell ref="D104:D106"/>
    <mergeCell ref="D101:D103"/>
    <mergeCell ref="D98:D100"/>
    <mergeCell ref="C78:C79"/>
    <mergeCell ref="D75:D76"/>
    <mergeCell ref="D86:D88"/>
    <mergeCell ref="C86:C88"/>
    <mergeCell ref="C89:C91"/>
    <mergeCell ref="D89:D91"/>
    <mergeCell ref="C21:C22"/>
    <mergeCell ref="D21:D22"/>
    <mergeCell ref="HD104:HD106"/>
    <mergeCell ref="HD134:HD135"/>
    <mergeCell ref="BP144:BP146"/>
    <mergeCell ref="C128:C130"/>
    <mergeCell ref="D128:D130"/>
    <mergeCell ref="C113:C115"/>
    <mergeCell ref="C119:C121"/>
    <mergeCell ref="D113:D115"/>
    <mergeCell ref="C92:C94"/>
    <mergeCell ref="D92:D94"/>
    <mergeCell ref="C95:C97"/>
    <mergeCell ref="D95:D97"/>
    <mergeCell ref="C75:C76"/>
    <mergeCell ref="D78:D79"/>
  </mergeCells>
  <hyperlinks>
    <hyperlink ref="N14" r:id="rId1"/>
    <hyperlink ref="N12" r:id="rId2"/>
    <hyperlink ref="P140" r:id="rId3"/>
    <hyperlink ref="P141" r:id="rId4"/>
    <hyperlink ref="P143" r:id="rId5"/>
    <hyperlink ref="P14" r:id="rId6"/>
    <hyperlink ref="P12" r:id="rId7"/>
    <hyperlink ref="P20" r:id="rId8"/>
    <hyperlink ref="P79" r:id="rId9"/>
    <hyperlink ref="R76" r:id="rId10"/>
    <hyperlink ref="R79" r:id="rId11"/>
    <hyperlink ref="AX12" r:id="rId12"/>
    <hyperlink ref="AX20" r:id="rId13"/>
    <hyperlink ref="AX139" r:id="rId14"/>
    <hyperlink ref="AX140" r:id="rId15"/>
    <hyperlink ref="AZ12" r:id="rId16"/>
    <hyperlink ref="AZ20" r:id="rId17"/>
    <hyperlink ref="AZ79" r:id="rId18"/>
    <hyperlink ref="AZ18" r:id="rId19"/>
    <hyperlink ref="AV12" r:id="rId20"/>
    <hyperlink ref="AV76" r:id="rId21"/>
    <hyperlink ref="AV79" r:id="rId22"/>
    <hyperlink ref="AV139" r:id="rId23"/>
    <hyperlink ref="AV140" r:id="rId24"/>
    <hyperlink ref="AT12" r:id="rId25"/>
    <hyperlink ref="AT20" r:id="rId26"/>
    <hyperlink ref="AT139" r:id="rId27"/>
    <hyperlink ref="AT140" r:id="rId28" display="http://www.volgograd.ru   "/>
    <hyperlink ref="AT141" r:id="rId29"/>
    <hyperlink ref="AT79" r:id="rId30"/>
    <hyperlink ref="CL12" r:id="rId31"/>
    <hyperlink ref="CL16" r:id="rId32"/>
    <hyperlink ref="CL141" r:id="rId33"/>
    <hyperlink ref="CL18" r:id="rId34"/>
    <hyperlink ref="CL79" r:id="rId35"/>
    <hyperlink ref="CL142" r:id="rId36" display="https://www.youtube.com/watch?v=yStxxSP1eWg,https://www.youtube.com/watch?v=4iZ4CeBNjSQ, "/>
    <hyperlink ref="FP12" r:id="rId37"/>
    <hyperlink ref="FP20" r:id="rId38"/>
    <hyperlink ref="FP139" r:id="rId39"/>
    <hyperlink ref="JX139" r:id="rId40"/>
    <hyperlink ref="JX141" r:id="rId41"/>
    <hyperlink ref="JX20" r:id="rId42"/>
    <hyperlink ref="JX79" r:id="rId43"/>
    <hyperlink ref="JX12" r:id="rId44"/>
    <hyperlink ref="IP20" r:id="rId45"/>
    <hyperlink ref="IP76" r:id="rId46"/>
    <hyperlink ref="IP79" r:id="rId47"/>
    <hyperlink ref="IR79" r:id="rId48"/>
    <hyperlink ref="IR140" r:id="rId49"/>
    <hyperlink ref="IR139" r:id="rId50"/>
    <hyperlink ref="JH12" display="https://depfin.admhmao.ru/gosudarstvennye-i-tselevye-programmy/gosudarstvennye-programmy/sozdanie-usloviy-dlya-effektivnogo-i-otvetstvennogo-upravleniya-munitsipalnymi-finansami-povysheniya/proekt-na-2020-2022-gody/4125373/postanovlenie-pravitelstva-khmao"/>
    <hyperlink ref="JH141" r:id="rId51"/>
    <hyperlink ref="CV79" r:id="rId52"/>
    <hyperlink ref="CV12" r:id="rId53"/>
    <hyperlink ref="CV139" r:id="rId54"/>
    <hyperlink ref="CX12" r:id="rId55" tooltip="Ссылка на КонсультантПлюс" display="consultantplus://offline/ref=55AB044EF2AE989F64BAC01863E5C4A9ADFF11BADF275679A20855BC8E46D11C9C7059606921C791BA63221FB7AD46C4F510AAEFFC56605E2760CEN9c9M"/>
    <hyperlink ref="CX20" r:id="rId56" tooltip="Ссылка на КонсультантПлюс" display="https://login.consultant.ru/link/?req=doc&amp;base=RLAW265&amp;n=102109&amp;dst=100002"/>
    <hyperlink ref="CX79" r:id="rId57"/>
    <hyperlink ref="CX139" r:id="rId58"/>
    <hyperlink ref="CZ79" r:id="rId59"/>
    <hyperlink ref="CZ12" r:id="rId60"/>
    <hyperlink ref="CZ139" r:id="rId61"/>
    <hyperlink ref="CZ20" r:id="rId62"/>
    <hyperlink ref="DB12" r:id="rId63"/>
    <hyperlink ref="DB139" r:id="rId64"/>
    <hyperlink ref="DB79" r:id="rId65"/>
    <hyperlink ref="DH111" r:id="rId66"/>
    <hyperlink ref="DH114" r:id="rId67"/>
    <hyperlink ref="DH126" r:id="rId68"/>
    <hyperlink ref="DJ18" r:id="rId69"/>
    <hyperlink ref="CB20" display="Приказ Министерства финансов Калужской обл. от 31.01.2020 N 30 &quot;О реализации постановления Правительства Калужской области от 21.01.2020 N 30 &quot;Об утверждении Положения о порядке предоставления и распределения бюджетам муниципальных образований Калужской о"/>
    <hyperlink ref="CB139" display="https://admoblkaluga.ru/sub/finan/inciativ.php "/>
    <hyperlink ref="CB79" display="https://kalugastat.gks.ru/storage/mediabank/ncXYIgHW/Численность%20постоянного%20населения%20Калужской%20области.pdf"/>
    <hyperlink ref="CB18" display="Закон Калужской области от 30.12.2020 N 55-ОЗ &quot;О мерах поддержки реализации на территории Калужской области инициативных проектов&quot; (принят постановлением Законодательного Собрания Калужской области от 24.12.2020 N 118) {КонсультантПлюс}"/>
    <hyperlink ref="CB12" display="Постановление Правительства Калужской области от 21.04.2017 N 232 (ред. от 26.03.2019) &quot;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
    <hyperlink ref="CB14" display="Постановление Правительства Калужской области от 21.01.2020 N 30 (ред. от 23.12.2020) &quot;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quot; {Ко"/>
    <hyperlink ref="CB141" r:id="rId70"/>
    <hyperlink ref="BT12" r:id="rId71"/>
    <hyperlink ref="BT79" r:id="rId72"/>
    <hyperlink ref="BV12" r:id="rId73"/>
    <hyperlink ref="BV79" r:id="rId74"/>
    <hyperlink ref="BV102" r:id="rId75" display="https://krasnoznamensk.gov39.ru/formirovanie-komfortnoy-gorodskoy-sredy-na-2018-2022-gg.html,    "/>
    <hyperlink ref="BR79" r:id="rId76" tooltip="https://stavstat.gks.ru/storage/mediabank/%D0%9E%D1%86%D0%B5%D0%BD%D0%BA%D0%B0%20%D1%87%D0%B8%D1%81%D0%BB%D0%B5%D0%BD%D0%BD%D0%BE%D1%81%D1%82%D0%B8%20%D0%BD%D0%B0%D1%81%D0%B5%D0%BB%D0%B5%D0%BD%D0%B8%D1%8F%20%D0%9A%D0%91%D0%A0%20%D0%BD%D0%B0%2001.01.2020%D" display="https://stavstat.gks.ru/storage/mediabank/%D0%9E%D1%86%D0%B5%D0%BD%D0%BA%D0%B0 %D1%87%D0%B8%D1%81%D0%BB%D0%B5%D0%BD%D0%BD%D0%BE%D1%81%D1%82%D0%B8 %D0%BD%D0%B0%D1%81%D0%B5%D0%BB%D0%B5%D0%BD%D0%B8%D1%8F %D0%9A%D0%91%D0%A0 %D0%BD%D0%B0 01.01.2020%D0%B3. %D0%B8 %D0%B2 %D1%81%D1%80%D0%B5%D0%B4%D0%BD%D0%B5%D0%BC %D0%B7%D0%B0 2019%D0%B3..pdf"/>
    <hyperlink ref="BR12" r:id="rId77"/>
    <hyperlink ref="BR20" r:id="rId78"/>
    <hyperlink ref="AN12" r:id="rId79"/>
    <hyperlink ref="AN140" r:id="rId80"/>
    <hyperlink ref="AN139" r:id="rId81"/>
    <hyperlink ref="AP79" r:id="rId82"/>
    <hyperlink ref="AP12" r:id="rId83"/>
    <hyperlink ref="AP20" r:id="rId84"/>
    <hyperlink ref="AP139" r:id="rId85"/>
    <hyperlink ref="AR12" r:id="rId86"/>
    <hyperlink ref="AR139" r:id="rId87"/>
    <hyperlink ref="BL139" r:id="rId88"/>
    <hyperlink ref="BL140" r:id="rId89" display="http://dvp.ivanovoobl.ru/search/?type=news&amp;id=/?type=news&amp;id=42185"/>
    <hyperlink ref="BL141" r:id="rId90"/>
    <hyperlink ref="JR12" r:id="rId91" display="http://agro.cap.ru/action/activity/"/>
    <hyperlink ref="JR14" r:id="rId92" display="http://www.cap.ru/doc/laws/2020/02/03/ruling-40"/>
    <hyperlink ref="JR18" r:id="rId93"/>
    <hyperlink ref="JR79" r:id="rId94"/>
    <hyperlink ref="JR139" r:id="rId95" display="http://www.agro.cap.ru/action/activity/iniciativnoe-byudzhetirovanie "/>
    <hyperlink ref="JR20" r:id="rId96"/>
    <hyperlink ref="IT18" r:id="rId97"/>
    <hyperlink ref="IT20" r:id="rId98" display="https://docs.cntd.ru/document/463710828"/>
    <hyperlink ref="IT141" r:id="rId99"/>
    <hyperlink ref="IV79" r:id="rId100"/>
    <hyperlink ref="IV12" r:id="rId101"/>
    <hyperlink ref="IV76" r:id="rId102"/>
    <hyperlink ref="IX140" r:id="rId103" display="https://ulgov.ru/news/regional/2020.12.04/58446/"/>
    <hyperlink ref="IX141" r:id="rId104"/>
    <hyperlink ref="IX12" r:id="rId105"/>
    <hyperlink ref="IX143" r:id="rId106"/>
    <hyperlink ref="IX139" r:id="rId107"/>
    <hyperlink ref="DN79" r:id="rId108"/>
    <hyperlink ref="DN140" r:id="rId109" display="https://adm.rkursk.ru/index.php?id=10&amp;mat_id=89749&amp;query=%ED%E0%F0%EE%E4%ED%FB%E9+%E1%FE%E4%E6%E5%F2+%E8%E7%E2%E5%F9%E5%ED%E8%E5+2019"/>
    <hyperlink ref="DN14" r:id="rId110"/>
    <hyperlink ref="DN20" r:id="rId111" display="https://adm.rkursk.ru/index.php?id=109&amp;mat_id=60146&amp;page=30&amp;sort_field=103&amp;sort_order=0&amp;year=2016"/>
    <hyperlink ref="DV79" r:id="rId112"/>
    <hyperlink ref="DV143" r:id="rId113"/>
    <hyperlink ref="DV20" r:id="rId114"/>
    <hyperlink ref="DV23" r:id="rId115"/>
    <hyperlink ref="DX76" r:id="rId116"/>
    <hyperlink ref="DX79" r:id="rId117"/>
    <hyperlink ref="DX143" r:id="rId118"/>
    <hyperlink ref="DX20" r:id="rId119" display="https://msu.lenobl.ru/ru/programmy-i-plany/iniciativnye-komissii-v-administrativnyh-centrah/"/>
    <hyperlink ref="ID139" r:id="rId120"/>
    <hyperlink ref="ID140" r:id="rId121" display="https://vk.com/public188542037_x000a_"/>
    <hyperlink ref="ID141" r:id="rId122"/>
    <hyperlink ref="ID16" r:id="rId123"/>
    <hyperlink ref="IF12" r:id="rId124"/>
    <hyperlink ref="IF139" r:id="rId125"/>
    <hyperlink ref="IF140" r:id="rId126" display="http://vlfin.ru/nashi-stati/lichnye-finansy/zdes-moya-kopeechka-vot-nasha-skameechka-initsiativnoe-byudzhetirovanie-prineslo-oshchutimye-plody/?sphrase_id=7835; "/>
    <hyperlink ref="IF141" r:id="rId127"/>
    <hyperlink ref="IF79" r:id="rId128"/>
    <hyperlink ref="IG144" r:id="rId129"/>
    <hyperlink ref="HP12" r:id="rId130"/>
    <hyperlink ref="HP139" r:id="rId131"/>
    <hyperlink ref="HP79" r:id="rId132"/>
    <hyperlink ref="HR12" r:id="rId133"/>
    <hyperlink ref="HR79" r:id="rId134"/>
    <hyperlink ref="HR139" r:id="rId135"/>
    <hyperlink ref="HT12" r:id="rId136"/>
    <hyperlink ref="HT76" r:id="rId137"/>
    <hyperlink ref="HT79" r:id="rId138"/>
    <hyperlink ref="HT139" r:id="rId139"/>
    <hyperlink ref="HT140" r:id="rId140"/>
    <hyperlink ref="HT141" r:id="rId141"/>
    <hyperlink ref="HV12" r:id="rId142"/>
    <hyperlink ref="HV139" r:id="rId143"/>
    <hyperlink ref="HV79" r:id="rId144"/>
    <hyperlink ref="IH20" r:id="rId145"/>
    <hyperlink ref="IH16" r:id="rId146"/>
    <hyperlink ref="IH141" r:id="rId147"/>
    <hyperlink ref="IL79" r:id="rId148"/>
    <hyperlink ref="IL12" r:id="rId149"/>
    <hyperlink ref="IN12" r:id="rId150"/>
    <hyperlink ref="IN139" r:id="rId151"/>
    <hyperlink ref="IN140" r:id="rId152"/>
    <hyperlink ref="IN141" r:id="rId153"/>
    <hyperlink ref="IN20" r:id="rId154"/>
    <hyperlink ref="IN79" r:id="rId155"/>
    <hyperlink ref="IZ20" r:id="rId156"/>
    <hyperlink ref="IZ79" r:id="rId157"/>
    <hyperlink ref="IZ140" r:id="rId158" display="https://instagram.com/guvp_khabkrai, "/>
    <hyperlink ref="IZ141" r:id="rId159"/>
    <hyperlink ref="JD12" r:id="rId160"/>
    <hyperlink ref="JD139" r:id="rId161"/>
    <hyperlink ref="EN16" r:id="rId162" location="2i5rxv5zruk"/>
    <hyperlink ref="EN12" r:id="rId163" location="25og239zvnb"/>
    <hyperlink ref="EN20" r:id="rId164" location="21zi403wzt4"/>
    <hyperlink ref="ET20" r:id="rId165"/>
    <hyperlink ref="ET141" r:id="rId166"/>
    <hyperlink ref="ET143" r:id="rId167"/>
    <hyperlink ref="ET18" r:id="rId168"/>
    <hyperlink ref="ET12" r:id="rId169"/>
    <hyperlink ref="EV139" r:id="rId170"/>
    <hyperlink ref="EV14" r:id="rId171"/>
    <hyperlink ref="EV16" r:id="rId172"/>
    <hyperlink ref="EV79" r:id="rId173"/>
    <hyperlink ref="EX20" r:id="rId174"/>
    <hyperlink ref="EX12" r:id="rId175"/>
    <hyperlink ref="EX139" r:id="rId176"/>
    <hyperlink ref="EX141" r:id="rId177"/>
    <hyperlink ref="EX142" r:id="rId178" display="https://vk.com/wall-160413159?day=30102020&amp;offset=140&amp;q=%D0%B4%D0%BE%D1%80%D0%BE%D0%B3%D0%B0%20%D0%BA%20%D0%B4%D0%BE%D0%BC%D1%83&amp;w=wall-176520705_156/                                 "/>
    <hyperlink ref="EX143" r:id="rId179" display="https://xn--h1ahj0a.xn--p1ai/novosti/katalog-sbornik-proektov-realizovannykh-v-2020-godu/"/>
    <hyperlink ref="EX79" r:id="rId180"/>
    <hyperlink ref="FD12" r:id="rId181"/>
    <hyperlink ref="FD18" r:id="rId182"/>
    <hyperlink ref="FD76" r:id="rId183"/>
    <hyperlink ref="FD140" r:id="rId184"/>
    <hyperlink ref="FD90" r:id="rId185"/>
    <hyperlink ref="FD141" r:id="rId186"/>
    <hyperlink ref="FD79" r:id="rId187"/>
    <hyperlink ref="FD20" r:id="rId188"/>
    <hyperlink ref="FF12" r:id="rId189"/>
    <hyperlink ref="FF18" r:id="rId190"/>
    <hyperlink ref="FF20" r:id="rId191"/>
    <hyperlink ref="FF76" r:id="rId192"/>
    <hyperlink ref="FF141" r:id="rId193"/>
    <hyperlink ref="FF142" r:id="rId194" display="https://цмпи.рф/novosti/"/>
    <hyperlink ref="FF79" r:id="rId195"/>
    <hyperlink ref="FH12" r:id="rId196" display="http://docs.cntd.ru/document/553386375"/>
    <hyperlink ref="FH143" r:id="rId197" display="https://цмпи.рф/novosti/katalog-sbornik-proektov-realizovannykh-v-2020-godu/"/>
    <hyperlink ref="FH139" r:id="rId198" display="https://цмпи.рф/proekty/tos/"/>
    <hyperlink ref="FH141" r:id="rId199"/>
    <hyperlink ref="FH20" r:id="rId200"/>
    <hyperlink ref="FH18" r:id="rId201"/>
    <hyperlink ref="FH79" r:id="rId202"/>
    <hyperlink ref="FJ12" r:id="rId203"/>
    <hyperlink ref="FJ18" r:id="rId204"/>
    <hyperlink ref="FJ79" r:id="rId205"/>
    <hyperlink ref="FL12" r:id="rId206"/>
    <hyperlink ref="FN12" r:id="rId207" location="1vcq7fd130y"/>
    <hyperlink ref="FN20" r:id="rId208" location="xla28fzw0s"/>
    <hyperlink ref="GB79" r:id="rId209"/>
    <hyperlink ref="GB139" r:id="rId210"/>
    <hyperlink ref="EZ79" r:id="rId211"/>
    <hyperlink ref="FB142" r:id="rId212" display="https://apk.novreg.ru/o-planakh-realizatcii-meropriyatiy-gosprogrammy-kompleksnoe-razvitie-selskikh-territoriy-novgorodskoy-oblasti-do-2025-goda-v-2021-godu.html   ;   "/>
    <hyperlink ref="FB79" r:id="rId213"/>
    <hyperlink ref="GJ12" r:id="rId214"/>
    <hyperlink ref="GJ139" r:id="rId215"/>
    <hyperlink ref="GJ140" r:id="rId216" display="https://twitter.com/SOdeistvie63"/>
    <hyperlink ref="GL139" r:id="rId217"/>
    <hyperlink ref="GN12" r:id="rId218"/>
    <hyperlink ref="GN141" r:id="rId219"/>
    <hyperlink ref="GP76" r:id="rId220"/>
    <hyperlink ref="HN143" r:id="rId221"/>
    <hyperlink ref="HB79" r:id="rId222"/>
    <hyperlink ref="HD12" r:id="rId223"/>
    <hyperlink ref="HD139" r:id="rId224"/>
    <hyperlink ref="HD79" r:id="rId225"/>
    <hyperlink ref="HF12" r:id="rId226"/>
    <hyperlink ref="HF79" r:id="rId227"/>
    <hyperlink ref="FX16" r:id="rId228"/>
    <hyperlink ref="FX140" r:id="rId229" display="https://vmeste.permkrai.ru/program/category/6/"/>
    <hyperlink ref="FX139" r:id="rId230"/>
    <hyperlink ref="FX142" r:id="rId231" location="sel=1:9,1:11" display="https://veved.ru/perm/perm-news/152842-v-prikame-na-kraevoj-konkurs-postupilo-pochti-300-proektov-iniciativnogo-bjudzhetirovanija.html#sel=1:9,1:11"/>
    <hyperlink ref="FX12" r:id="rId232"/>
    <hyperlink ref="FX141" r:id="rId233"/>
    <hyperlink ref="GV126" r:id="rId234" display="http://sakhminfin.ru/index.php/news/3293-o-rezultatakh-konkursnogo-otbora-na-predostavlenie-v-2020-godu-byudzhetam-munitsipalnykh-obrazovanij-sakhalinskoj-oblasti-subsidii-iz-oblastnogo-byudzheta-na-realizatsiyu-v-sakhalinskoj-oblasti-obshchestvenno-znachimykh-proektov-osnovannykh-na-mestnykh-in"/>
    <hyperlink ref="GV12" display="https://pib.sakhminfin.ru/show/ppi_x000a_Постановление Правительства Сахалинской области от 08.02.2017 N 52 (ред. от 21.07.2020) &quot;Об отдельных вопросах реализации в Сахалинской области общественно значимых проектов, основанных на местных инициативах&quot; (вместе с "/>
    <hyperlink ref="GV140" r:id="rId235" display="https://www.facebook.com/budget65/ https:/                                                    /vk.com/budget65"/>
    <hyperlink ref="GX12" display="https://pib.sakhminfin.ru/show/rt_x000a_Постановление Правительства Сахалинской области от 15.03.2018 N 90 (ред. от 07.08.2020) &quot;Об отдельных вопросах реализации в Сахалинской области общественно значимых проектов, основанных на местных инициативах, в сфере кап"/>
    <hyperlink ref="GX139" r:id="rId236" display="https://pib.sakhminfin.ru/"/>
    <hyperlink ref="GX111" r:id="rId237"/>
    <hyperlink ref="GX140" r:id="rId238" display="https://www.facebook.com/budget65/ https:/                                                    /vk.com/budget65"/>
    <hyperlink ref="GZ18" r:id="rId239"/>
    <hyperlink ref="GZ139" r:id="rId240"/>
    <hyperlink ref="GZ140" r:id="rId241" display="https://www.facebook.com/budget65/ https:/                                                    /vk.com/budget65"/>
    <hyperlink ref="GZ12" display="https://pib.sakhminfin.ru/show/mb_x000a_Постановление Правительства Сахалинской области от 29.08.2017 N 400 (ред. от 14.12.2020) &quot;Об отдельных вопросах реализации в Сахалинской области общественно значимых проектов в рамках проекта &quot;Молодежный бюджет&quot; (вместе с"/>
    <hyperlink ref="GZ142" r:id="rId242" display="https://www.youtube.com/watch?v=DNii10B8ujw"/>
    <hyperlink ref="GR20" r:id="rId243"/>
    <hyperlink ref="GR79" r:id="rId244"/>
    <hyperlink ref="GR139" r:id="rId245"/>
    <hyperlink ref="GR140" r:id="rId246"/>
    <hyperlink ref="GR141" r:id="rId247"/>
    <hyperlink ref="GR142" location="'практика субъекта'!R153C2"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
    <hyperlink ref="GR12" r:id="rId248"/>
    <hyperlink ref="GR49" location="'практика субъекта'!R151C12" display="484 *"/>
    <hyperlink ref="GF14" r:id="rId249"/>
    <hyperlink ref="GF20" r:id="rId250"/>
    <hyperlink ref="GH20" r:id="rId251"/>
    <hyperlink ref="GH139" r:id="rId252"/>
    <hyperlink ref="GH79" r:id="rId253" display="https://ryazan.gks.ru/storage/mediabank/%D0%9E%D1%86%D0%B5%D0%BD%D0%BA%D0%B0 %D1%87%D0%B8%D1%81%D0%BB%D0%B5%D0%BD%D0%BD%D0%BE%D1%81%D1%82%D0%B8 %D0%BF%D0%BE%D1%81%D1%82%D0%BE%D1%8F%D0%BD%D0%BD%D0%BE%D0%B3%D0%BE %D0%BD%D0%B0%D1%81%D0%B5%D0%BB%D0%B5%D0%BD%D0%B8%D1%8F %D0%A0%D1%8F%D0%B7%D0%B0%D0%BD%D1%81%D0%BA%D0%BE%D0%B9 %D0%BE%D0%B1%D0%BB%D0%B0%D1%81%D1%82%D0%B8 %D0%BD%D0%B0 1 %D1%8F%D0%BD%D0%B2%D0%B0%D1%80%D1%8F 2020 %D0%B3%D0%BE%D0%B4%D0%B0.pdf"/>
    <hyperlink ref="GH142" r:id="rId254" display="https://disk.yandex.ru/d/xvUosd2ke_3_rQ"/>
    <hyperlink ref="GH143" r:id="rId255"/>
    <hyperlink ref="GH12" r:id="rId256" location=":~:text=%D0%9F%D0%BE%D1%81%D1%82%D0%B0%D0%BD%D0%BE%D0%B2%D0%BB%D0%B5%D0%BD%D0%B8%D0%B5%20%D0%9F%D1%80%D0%B0%D0%B2%D0%B8%D1%82%D0%B5%D0%BB%D1%8C%D1%81%D1%82%D0%B2%D0%B0%20%D0%A0%D1%8F%D0%B7%D0%B0%D0%BD%D1%81%D0%BA%D0%BE%D0%B9%20%D0%BE%D0%B1%D0%BB%D0%B0%D1%81%D1%82%D0%B8%20%D0%BE%D1%82,84%2C%20%D0%BE%D1%82%2020.10.2016%20%E2%84%96%20242)%22" display="http://publication.pravo.gov.ru/Document/View/6200201702270003 - :~:text=%D0%9F%D0%BE%D1%81%D1%82%D0%B0%D0%BD%D0%BE%D0%B2%D0%BB%D0%B5%D0%BD%D0%B8%D0%B5%20%D0%9F%D1%80%D0%B0%D0%B2%D0%B8%D1%82%D0%B5%D0%BB%D1%8C%D1%81%D1%82%D0%B2%D0%B0%20%D0%A0%D1%8F%D0%B7%D0%B0%D0%BD%D1%81%D0%BA%D0%BE%D0%B9%20%D0%BE%D0%B1%D0%BB%D0%B0%D1%81%D1%82%D0%B8%20%D0%BE%D1%82,84%2C%20%D0%BE%D1%82%2020.10.2016%20%E2%84%96%20242)%22"/>
    <hyperlink ref="EF140" r:id="rId257"/>
    <hyperlink ref="EH18" r:id="rId258"/>
    <hyperlink ref="EH76" r:id="rId259"/>
    <hyperlink ref="EH79" r:id="rId260"/>
    <hyperlink ref="EH139" r:id="rId261"/>
    <hyperlink ref="EH12" r:id="rId262"/>
    <hyperlink ref="GT14" r:id="rId263"/>
    <hyperlink ref="GT18" r:id="rId264"/>
    <hyperlink ref="GT20" r:id="rId265"/>
    <hyperlink ref="GT76" r:id="rId266"/>
    <hyperlink ref="GT79" r:id="rId267"/>
    <hyperlink ref="GT139" r:id="rId268"/>
    <hyperlink ref="GT140" r:id="rId269" display="https://minfin.sakha.gov.ru/initsiativnoe-bjudzhetirovanie _x000a_"/>
    <hyperlink ref="GT141" r:id="rId270"/>
    <hyperlink ref="GT143" r:id="rId271"/>
    <hyperlink ref="GT12" r:id="rId272"/>
    <hyperlink ref="CH79" r:id="rId273"/>
    <hyperlink ref="CH139" r:id="rId274" display="http://old.gov.karelia.ru/Projects/Initiatives/"/>
    <hyperlink ref="CJ79" r:id="rId275"/>
    <hyperlink ref="CJ20" r:id="rId276"/>
    <hyperlink ref="CJ139" r:id="rId277" display="http://old.gov.karelia.ru/Projects/Initiatives/"/>
    <hyperlink ref="CJ141" r:id="rId278"/>
    <hyperlink ref="BX12" r:id="rId279"/>
    <hyperlink ref="BX79" r:id="rId280"/>
    <hyperlink ref="BX139" r:id="rId281"/>
    <hyperlink ref="BX140" r:id="rId282" display="https://vesti-kalmykia.ru/news/nachinaetsya-realizaciya-razvitiya-selskih-territorij;   "/>
    <hyperlink ref="BZ12" r:id="rId283"/>
    <hyperlink ref="BZ20" r:id="rId284"/>
    <hyperlink ref="BZ76" r:id="rId285"/>
    <hyperlink ref="BZ139" r:id="rId286"/>
    <hyperlink ref="BZ140" r:id="rId287"/>
    <hyperlink ref="BZ79" r:id="rId288"/>
    <hyperlink ref="HZ20" r:id="rId289"/>
    <hyperlink ref="HZ79" r:id="rId290"/>
    <hyperlink ref="CT141" r:id="rId291"/>
    <hyperlink ref="CT143" r:id="rId292"/>
    <hyperlink ref="H12" r:id="rId293"/>
    <hyperlink ref="H79" r:id="rId294"/>
    <hyperlink ref="H139" r:id="rId295"/>
    <hyperlink ref="H140" r:id="rId296"/>
    <hyperlink ref="H20" r:id="rId297"/>
    <hyperlink ref="J140" r:id="rId298" display="https://vk.com/official_ga"/>
    <hyperlink ref="J141" r:id="rId299"/>
    <hyperlink ref="J12" r:id="rId300"/>
    <hyperlink ref="J79" r:id="rId301"/>
    <hyperlink ref="L12" r:id="rId302"/>
    <hyperlink ref="L79" r:id="rId303"/>
    <hyperlink ref="L139" r:id="rId304"/>
    <hyperlink ref="Z18" r:id="rId305"/>
    <hyperlink ref="Z139" r:id="rId306"/>
    <hyperlink ref="Z140" r:id="rId307"/>
    <hyperlink ref="Z141" r:id="rId308"/>
    <hyperlink ref="Z79" r:id="rId309"/>
    <hyperlink ref="AB18" r:id="rId310"/>
    <hyperlink ref="AB20" r:id="rId311"/>
    <hyperlink ref="AB79" r:id="rId312"/>
    <hyperlink ref="AB139" r:id="rId313"/>
    <hyperlink ref="AB141" r:id="rId314"/>
    <hyperlink ref="AD18" r:id="rId315"/>
    <hyperlink ref="AD79" r:id="rId316"/>
    <hyperlink ref="AD138" r:id="rId317" display="https://regionrb.info/"/>
    <hyperlink ref="AD139" r:id="rId318"/>
    <hyperlink ref="BD144" r:id="rId319"/>
    <hyperlink ref="BD141" r:id="rId320"/>
    <hyperlink ref="CN14" r:id="rId321"/>
    <hyperlink ref="CN20" r:id="rId322"/>
    <hyperlink ref="CN12" r:id="rId323" display="https://kirovreg.ru/publ/AkOUP.nsf/de017b98ac867075c32571440061b25c/c5cfc3177e78934f43257dcf00397b26?OpenDocument"/>
    <hyperlink ref="CP20" r:id="rId324"/>
    <hyperlink ref="CP141" r:id="rId325"/>
    <hyperlink ref="CR12" r:id="rId326"/>
    <hyperlink ref="CR139" r:id="rId327"/>
    <hyperlink ref="CR141" r:id="rId328"/>
    <hyperlink ref="CR79" r:id="rId329"/>
    <hyperlink ref="DD79" r:id="rId330"/>
    <hyperlink ref="DD20" r:id="rId331"/>
    <hyperlink ref="DD76" r:id="rId332"/>
    <hyperlink ref="DD12" r:id="rId333"/>
    <hyperlink ref="JN16" r:id="rId334"/>
    <hyperlink ref="JN20" r:id="rId335"/>
    <hyperlink ref="JN79" r:id="rId336"/>
    <hyperlink ref="GD14" r:id="rId337" display="https://pravo.donland.ru/doc/view/id/%D0%9E%D0%B1%D0%BB%D0%B0%D1%81%D1%82%D0%BD%D0%BE%D0%B9+%D0%B7%D0%B0%D0%BA%D0%BE%D0%BD_70-%D0%97%D0%A1_25122018_11295/  "/>
    <hyperlink ref="GD16" r:id="rId338" display="https://pravo.donland.ru/doc/view/id/%D0%9E%D0%B1%D0%BB%D0%B0%D1%81%D1%82%D0%BD%D0%BE%D0%B9+%D0%B7%D0%B0%D0%BA%D0%BE%D0%BD_178-%D0%97%D0%A1_01082019_12886/"/>
    <hyperlink ref="GD20" r:id="rId339"/>
    <hyperlink ref="GD79" r:id="rId340"/>
    <hyperlink ref="GD139" r:id="rId341"/>
    <hyperlink ref="GD140" r:id="rId342"/>
    <hyperlink ref="GD141" r:id="rId343"/>
    <hyperlink ref="GD143" r:id="rId344" display="https://disk.yandex.ru/client/disk/ИБ_фирменный%20стиль/ШАБЛОНЫ"/>
    <hyperlink ref="DZ12" r:id="rId345"/>
    <hyperlink ref="DZ79" r:id="rId346"/>
    <hyperlink ref="DZ140" r:id="rId347" display="http://sovetskaya22.ru/news/news/Another-court-of-Lipetsk-has-prospered-in-the-framework-of-the-Proactive-budgeting/"/>
    <hyperlink ref="JV12" r:id="rId348"/>
    <hyperlink ref="JV140" r:id="rId349" display="https://vk.com/yamalfin"/>
  </hyperlinks>
  <pageMargins left="0.7" right="0.7" top="0.75" bottom="0.75" header="0.3" footer="0.3"/>
  <pageSetup paperSize="8" scale="59" fitToHeight="0" orientation="landscape" r:id="rId350"/>
  <drawing r:id="rId351"/>
  <legacyDrawing r:id="rId35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MJ153"/>
  <sheetViews>
    <sheetView topLeftCell="A136" zoomScale="30" zoomScaleNormal="30" zoomScaleSheetLayoutView="55" workbookViewId="0">
      <pane xSplit="4" topLeftCell="E1" activePane="topRight" state="frozen"/>
      <selection pane="topRight" activeCell="I225" sqref="I225:J225"/>
    </sheetView>
  </sheetViews>
  <sheetFormatPr defaultColWidth="9.140625" defaultRowHeight="15.75" x14ac:dyDescent="0.25"/>
  <cols>
    <col min="1" max="1" width="5.7109375" style="372" customWidth="1"/>
    <col min="2" max="2" width="41.140625" style="339" customWidth="1"/>
    <col min="3" max="3" width="16" style="373" customWidth="1"/>
    <col min="4" max="4" width="17.7109375" style="339" customWidth="1"/>
    <col min="5" max="5" width="61.85546875" style="374" customWidth="1"/>
    <col min="6" max="6" width="8.42578125" style="339" customWidth="1"/>
    <col min="7" max="13" width="9.140625" style="339"/>
    <col min="14" max="14" width="53.140625" style="339" bestFit="1" customWidth="1"/>
    <col min="15" max="15" width="41.140625" style="339" customWidth="1"/>
    <col min="16" max="21" width="9.140625" style="339"/>
    <col min="22" max="22" width="34.7109375" style="339" customWidth="1"/>
    <col min="23" max="23" width="36.85546875" style="339" customWidth="1"/>
    <col min="24" max="24" width="37.85546875" style="339" customWidth="1"/>
    <col min="25" max="25" width="38.7109375" style="339" customWidth="1"/>
    <col min="26" max="26" width="34.42578125" style="339" customWidth="1"/>
    <col min="27" max="33" width="9.140625" style="339"/>
    <col min="34" max="34" width="11.42578125" style="339" customWidth="1"/>
    <col min="35" max="35" width="10.42578125" style="339" customWidth="1"/>
    <col min="36" max="47" width="9.140625" style="339"/>
    <col min="48" max="49" width="41.28515625" style="339" customWidth="1"/>
    <col min="50" max="52" width="9.140625" style="339"/>
    <col min="53" max="53" width="36.42578125" style="339" customWidth="1"/>
    <col min="54" max="54" width="43.42578125" style="339" customWidth="1"/>
    <col min="55" max="55" width="41.140625" style="339" customWidth="1"/>
    <col min="56" max="56" width="41.85546875" style="339" customWidth="1"/>
    <col min="57" max="71" width="9.140625" style="339"/>
    <col min="72" max="73" width="36.85546875" style="339" customWidth="1"/>
    <col min="74" max="74" width="39.42578125" style="339" customWidth="1"/>
    <col min="75" max="75" width="36.85546875" style="339" customWidth="1"/>
    <col min="76" max="79" width="9.140625" style="339"/>
    <col min="80" max="80" width="8.85546875" style="339" bestFit="1" customWidth="1"/>
    <col min="81" max="81" width="46.85546875" style="339" customWidth="1"/>
    <col min="82" max="88" width="9.140625" style="339"/>
    <col min="89" max="89" width="38.28515625" style="339" customWidth="1"/>
    <col min="90" max="90" width="36" style="339" customWidth="1"/>
    <col min="91" max="109" width="9.140625" style="339"/>
    <col min="110" max="110" width="36.42578125" style="339" customWidth="1"/>
    <col min="111" max="111" width="9.140625" style="339"/>
    <col min="112" max="112" width="35" style="339" customWidth="1"/>
    <col min="113" max="113" width="33.85546875" style="339" customWidth="1"/>
    <col min="114" max="114" width="28.140625" style="339" customWidth="1"/>
    <col min="115" max="115" width="32.28515625" style="339" customWidth="1"/>
    <col min="116" max="116" width="31.85546875" style="339" customWidth="1"/>
    <col min="117" max="117" width="34.140625" style="339" customWidth="1"/>
    <col min="118" max="119" width="9.140625" style="339"/>
    <col min="120" max="120" width="35.85546875" style="339" customWidth="1"/>
    <col min="121" max="135" width="9.140625" style="339"/>
    <col min="136" max="136" width="30.42578125" style="339" customWidth="1"/>
    <col min="137" max="137" width="29.85546875" style="339" customWidth="1"/>
    <col min="138" max="138" width="30.85546875" style="339" customWidth="1"/>
    <col min="139" max="139" width="30.28515625" style="339" customWidth="1"/>
    <col min="140" max="140" width="35.28515625" style="339" customWidth="1"/>
    <col min="141" max="141" width="33.28515625" style="375" customWidth="1"/>
    <col min="142" max="142" width="34.7109375" style="375" customWidth="1"/>
    <col min="143" max="143" width="36.28515625" style="375" customWidth="1"/>
    <col min="144" max="144" width="31.85546875" style="375" customWidth="1"/>
    <col min="145" max="145" width="29.42578125" style="375" customWidth="1"/>
    <col min="146" max="146" width="28.85546875" style="375" customWidth="1"/>
    <col min="147" max="147" width="24.42578125" style="375" customWidth="1"/>
    <col min="148" max="148" width="26.140625" style="339" customWidth="1"/>
    <col min="149" max="149" width="31.140625" style="339" customWidth="1"/>
    <col min="150" max="150" width="26.28515625" style="339" customWidth="1"/>
    <col min="151" max="151" width="9.140625" style="339" customWidth="1"/>
    <col min="152" max="152" width="9.140625" style="339"/>
    <col min="153" max="153" width="42.42578125" style="339" customWidth="1"/>
    <col min="154" max="160" width="9.140625" style="339"/>
    <col min="161" max="161" width="38.42578125" style="339" customWidth="1"/>
    <col min="162" max="162" width="23.42578125" style="339" customWidth="1"/>
    <col min="163" max="163" width="41" style="339" customWidth="1"/>
    <col min="164" max="166" width="9.140625" style="339"/>
    <col min="167" max="167" width="34.85546875" style="339" customWidth="1"/>
    <col min="168" max="168" width="36" style="339" customWidth="1"/>
    <col min="169" max="169" width="47.42578125" style="339" customWidth="1"/>
    <col min="170" max="170" width="37.42578125" style="339" customWidth="1"/>
    <col min="171" max="171" width="36" style="339" customWidth="1"/>
    <col min="172" max="172" width="40.140625" style="339" customWidth="1"/>
    <col min="173" max="173" width="42.42578125" style="339" customWidth="1"/>
    <col min="174" max="182" width="9.140625" style="339"/>
    <col min="183" max="183" width="36.42578125" style="339" customWidth="1"/>
    <col min="184" max="184" width="35.42578125" style="339" customWidth="1"/>
    <col min="185" max="185" width="33.85546875" style="339" customWidth="1"/>
    <col min="186" max="186" width="32" style="339" customWidth="1"/>
    <col min="187" max="187" width="30.140625" style="339" customWidth="1"/>
    <col min="188" max="188" width="25.7109375" style="339" customWidth="1"/>
    <col min="189" max="189" width="28.42578125" style="339" customWidth="1"/>
    <col min="190" max="196" width="9.140625" style="339"/>
    <col min="197" max="197" width="47" style="339" customWidth="1"/>
    <col min="198" max="198" width="42.42578125" style="339" customWidth="1"/>
    <col min="199" max="199" width="40.7109375" style="339" customWidth="1"/>
    <col min="200" max="200" width="9.140625" style="339" customWidth="1"/>
    <col min="201" max="212" width="9.140625" style="339"/>
    <col min="213" max="213" width="48.140625" style="339" customWidth="1"/>
    <col min="214" max="214" width="40.140625" style="339" customWidth="1"/>
    <col min="215" max="215" width="9.140625" style="339"/>
    <col min="216" max="216" width="25.42578125" style="356" customWidth="1"/>
    <col min="217" max="217" width="25.140625" style="339" customWidth="1"/>
    <col min="218" max="218" width="28.85546875" style="339" customWidth="1"/>
    <col min="219" max="219" width="31.28515625" style="339" customWidth="1"/>
    <col min="220" max="220" width="9.140625" style="339"/>
    <col min="221" max="221" width="9.85546875" style="339" customWidth="1"/>
    <col min="222" max="222" width="9.140625" style="339"/>
    <col min="223" max="223" width="35.42578125" style="339" customWidth="1"/>
    <col min="224" max="224" width="33.85546875" style="339" customWidth="1"/>
    <col min="225" max="225" width="39.85546875" style="339" bestFit="1" customWidth="1"/>
    <col min="226" max="226" width="35.42578125" style="339" customWidth="1"/>
    <col min="227" max="227" width="46.85546875" style="339" customWidth="1"/>
    <col min="228" max="228" width="42" style="339" customWidth="1"/>
    <col min="229" max="229" width="33.42578125" style="339" customWidth="1"/>
    <col min="230" max="230" width="30.85546875" style="339" customWidth="1"/>
    <col min="231" max="231" width="38" style="339" customWidth="1"/>
    <col min="232" max="232" width="35.85546875" style="339" customWidth="1"/>
    <col min="233" max="233" width="32.85546875" style="339" customWidth="1"/>
    <col min="234" max="234" width="38" style="339" customWidth="1"/>
    <col min="235" max="235" width="32.7109375" style="339" customWidth="1"/>
    <col min="236" max="236" width="34.42578125" style="339" customWidth="1"/>
    <col min="237" max="237" width="26.7109375" style="339" customWidth="1"/>
    <col min="238" max="238" width="37.85546875" style="339" customWidth="1"/>
    <col min="239" max="239" width="36.85546875" style="339" customWidth="1"/>
    <col min="240" max="240" width="36.28515625" style="339" customWidth="1"/>
    <col min="241" max="241" width="37.42578125" style="339" customWidth="1"/>
    <col min="242" max="242" width="35.140625" style="339" customWidth="1"/>
    <col min="243" max="244" width="39" style="339" customWidth="1"/>
    <col min="245" max="245" width="36.85546875" style="339" customWidth="1"/>
    <col min="246" max="246" width="37.42578125" style="339" customWidth="1"/>
    <col min="247" max="247" width="36.140625" style="339" customWidth="1"/>
    <col min="248" max="248" width="51" style="339" customWidth="1"/>
    <col min="249" max="251" width="9.140625" style="339"/>
    <col min="252" max="252" width="41.140625" style="339" customWidth="1"/>
    <col min="253" max="253" width="36" style="339" customWidth="1"/>
    <col min="254" max="254" width="35.140625" style="339" customWidth="1"/>
    <col min="255" max="255" width="36.42578125" style="339" customWidth="1"/>
    <col min="256" max="256" width="30.140625" style="339" customWidth="1"/>
    <col min="257" max="257" width="30.28515625" style="339" customWidth="1"/>
    <col min="258" max="258" width="27" style="339" customWidth="1"/>
    <col min="259" max="259" width="33.42578125" style="339" customWidth="1"/>
    <col min="260" max="260" width="34.28515625" style="339" customWidth="1"/>
    <col min="261" max="261" width="34" style="339" customWidth="1"/>
    <col min="262" max="262" width="38.140625" style="339" customWidth="1"/>
    <col min="263" max="263" width="34.28515625" style="339" customWidth="1"/>
    <col min="264" max="264" width="26.28515625" style="339" customWidth="1"/>
    <col min="265" max="265" width="38.28515625" style="339" customWidth="1"/>
    <col min="266" max="266" width="28.85546875" style="339" customWidth="1"/>
    <col min="267" max="267" width="40.85546875" style="339" customWidth="1"/>
    <col min="268" max="268" width="40.42578125" style="339" customWidth="1"/>
    <col min="269" max="269" width="35.42578125" style="339" customWidth="1"/>
    <col min="270" max="270" width="34.42578125" style="339" customWidth="1"/>
    <col min="271" max="271" width="32.28515625" style="339" customWidth="1"/>
    <col min="272" max="272" width="35.42578125" style="339" customWidth="1"/>
    <col min="273" max="273" width="28.140625" style="339" customWidth="1"/>
    <col min="274" max="274" width="32.42578125" style="339" customWidth="1"/>
    <col min="275" max="275" width="29.42578125" style="339" customWidth="1"/>
    <col min="276" max="276" width="31.140625" style="339" customWidth="1"/>
    <col min="277" max="277" width="31.42578125" style="339" customWidth="1"/>
    <col min="278" max="278" width="27.42578125" style="339" customWidth="1"/>
    <col min="279" max="279" width="28.85546875" style="339" customWidth="1"/>
    <col min="280" max="280" width="29.28515625" style="339" customWidth="1"/>
    <col min="281" max="281" width="26.85546875" style="339" customWidth="1"/>
    <col min="282" max="282" width="25.140625" style="339" customWidth="1"/>
    <col min="283" max="283" width="30" style="339" customWidth="1"/>
    <col min="284" max="284" width="27.42578125" style="339" customWidth="1"/>
    <col min="285" max="285" width="26.28515625" style="339" customWidth="1"/>
    <col min="286" max="286" width="28.42578125" style="339" customWidth="1"/>
    <col min="287" max="287" width="24.42578125" style="339" customWidth="1"/>
    <col min="288" max="288" width="24.85546875" style="339" customWidth="1"/>
    <col min="289" max="289" width="29.28515625" style="339" customWidth="1"/>
    <col min="290" max="290" width="29.42578125" style="339" customWidth="1"/>
    <col min="291" max="291" width="32.42578125" style="339" customWidth="1"/>
    <col min="292" max="292" width="28.140625" style="339" customWidth="1"/>
    <col min="293" max="293" width="28.7109375" style="339" customWidth="1"/>
    <col min="294" max="294" width="28.42578125" style="339" customWidth="1"/>
    <col min="295" max="295" width="28.140625" style="339" customWidth="1"/>
    <col min="296" max="296" width="28.7109375" style="339" customWidth="1"/>
    <col min="297" max="297" width="36.85546875" style="339" customWidth="1"/>
    <col min="298" max="298" width="48.28515625" style="339" customWidth="1"/>
    <col min="299" max="303" width="9.140625" style="339"/>
    <col min="304" max="304" width="33.85546875" style="339" customWidth="1"/>
    <col min="305" max="305" width="22.85546875" style="339" customWidth="1"/>
    <col min="306" max="306" width="38.140625" style="339" customWidth="1"/>
    <col min="307" max="307" width="9.140625" style="339"/>
    <col min="308" max="308" width="31.42578125" style="339" customWidth="1"/>
    <col min="309" max="309" width="25.85546875" style="339" customWidth="1"/>
    <col min="310" max="310" width="26.140625" style="339" customWidth="1"/>
    <col min="311" max="311" width="23.7109375" style="375" customWidth="1"/>
    <col min="312" max="312" width="26.140625" style="339" customWidth="1"/>
    <col min="313" max="313" width="21.85546875" style="339" customWidth="1"/>
    <col min="314" max="314" width="30.28515625" style="339" customWidth="1"/>
    <col min="315" max="315" width="28.7109375" style="339" customWidth="1"/>
    <col min="316" max="316" width="30.28515625" style="339" customWidth="1"/>
    <col min="317" max="317" width="32.140625" style="339" customWidth="1"/>
    <col min="318" max="318" width="31.140625" style="339" customWidth="1"/>
    <col min="319" max="319" width="34.140625" style="339" customWidth="1"/>
    <col min="320" max="320" width="27.85546875" style="339" customWidth="1"/>
    <col min="321" max="322" width="30.85546875" style="339" customWidth="1"/>
    <col min="323" max="323" width="34" style="339" customWidth="1"/>
    <col min="324" max="324" width="36.28515625" style="339" customWidth="1"/>
    <col min="325" max="325" width="26.7109375" style="339" customWidth="1"/>
    <col min="326" max="326" width="32.7109375" style="339" customWidth="1"/>
    <col min="327" max="327" width="29.140625" style="339" customWidth="1"/>
    <col min="328" max="328" width="38.85546875" style="339" customWidth="1"/>
    <col min="329" max="329" width="31.140625" style="339" customWidth="1"/>
    <col min="330" max="330" width="28.85546875" style="339" customWidth="1"/>
    <col min="331" max="331" width="31.140625" style="339" customWidth="1"/>
    <col min="332" max="332" width="29.42578125" style="339" customWidth="1"/>
    <col min="333" max="333" width="23.42578125" style="339" customWidth="1"/>
    <col min="334" max="334" width="24.140625" style="339" customWidth="1"/>
    <col min="335" max="335" width="25.140625" style="339" customWidth="1"/>
    <col min="336" max="336" width="35" style="339" customWidth="1"/>
    <col min="337" max="337" width="33.42578125" style="339" customWidth="1"/>
    <col min="338" max="338" width="9.28515625" style="339" customWidth="1"/>
    <col min="339" max="339" width="10.7109375" style="339" customWidth="1"/>
    <col min="340" max="340" width="9.140625" style="339"/>
    <col min="341" max="341" width="8.7109375" style="339" customWidth="1"/>
    <col min="342" max="342" width="9.140625" style="339"/>
    <col min="343" max="343" width="9.42578125" style="339" customWidth="1"/>
    <col min="344" max="344" width="9.140625" style="339"/>
    <col min="345" max="345" width="9.42578125" style="339" customWidth="1"/>
    <col min="346" max="346" width="9.140625" style="339"/>
    <col min="347" max="347" width="8.28515625" style="339" customWidth="1"/>
    <col min="348" max="16384" width="9.140625" style="339"/>
  </cols>
  <sheetData>
    <row r="1" spans="1:348" s="1086" customFormat="1" ht="32.25" thickBot="1" x14ac:dyDescent="0.3">
      <c r="A1" s="1078" t="s">
        <v>0</v>
      </c>
      <c r="B1" s="1079" t="s">
        <v>5314</v>
      </c>
      <c r="C1" s="1080" t="s">
        <v>149</v>
      </c>
      <c r="D1" s="1081" t="s">
        <v>5315</v>
      </c>
      <c r="E1" s="1082" t="s">
        <v>150</v>
      </c>
      <c r="F1" s="1083" t="s">
        <v>285</v>
      </c>
      <c r="G1" s="1083" t="s">
        <v>286</v>
      </c>
      <c r="H1" s="1083" t="s">
        <v>285</v>
      </c>
      <c r="I1" s="1083" t="s">
        <v>286</v>
      </c>
      <c r="J1" s="1083" t="s">
        <v>285</v>
      </c>
      <c r="K1" s="1083" t="s">
        <v>286</v>
      </c>
      <c r="L1" s="1083" t="s">
        <v>285</v>
      </c>
      <c r="M1" s="1083" t="s">
        <v>286</v>
      </c>
      <c r="N1" s="1083" t="s">
        <v>285</v>
      </c>
      <c r="O1" s="1083" t="s">
        <v>286</v>
      </c>
      <c r="P1" s="1083" t="s">
        <v>285</v>
      </c>
      <c r="Q1" s="1083" t="s">
        <v>286</v>
      </c>
      <c r="R1" s="1083" t="s">
        <v>285</v>
      </c>
      <c r="S1" s="1083" t="s">
        <v>286</v>
      </c>
      <c r="T1" s="1083" t="s">
        <v>285</v>
      </c>
      <c r="U1" s="1083" t="s">
        <v>286</v>
      </c>
      <c r="V1" s="1083" t="s">
        <v>285</v>
      </c>
      <c r="W1" s="1083" t="s">
        <v>285</v>
      </c>
      <c r="X1" s="1083" t="s">
        <v>285</v>
      </c>
      <c r="Y1" s="1083" t="s">
        <v>285</v>
      </c>
      <c r="Z1" s="1083" t="s">
        <v>285</v>
      </c>
      <c r="AA1" s="1083" t="s">
        <v>286</v>
      </c>
      <c r="AB1" s="1083" t="s">
        <v>285</v>
      </c>
      <c r="AC1" s="1083" t="s">
        <v>286</v>
      </c>
      <c r="AD1" s="1083" t="s">
        <v>285</v>
      </c>
      <c r="AE1" s="1083" t="s">
        <v>286</v>
      </c>
      <c r="AF1" s="1083" t="s">
        <v>285</v>
      </c>
      <c r="AG1" s="1083" t="s">
        <v>286</v>
      </c>
      <c r="AH1" s="1083" t="s">
        <v>285</v>
      </c>
      <c r="AI1" s="1083" t="s">
        <v>286</v>
      </c>
      <c r="AJ1" s="1083" t="s">
        <v>285</v>
      </c>
      <c r="AK1" s="1083" t="s">
        <v>286</v>
      </c>
      <c r="AL1" s="1083" t="s">
        <v>285</v>
      </c>
      <c r="AM1" s="1083" t="s">
        <v>286</v>
      </c>
      <c r="AN1" s="1083" t="s">
        <v>285</v>
      </c>
      <c r="AO1" s="1083" t="s">
        <v>286</v>
      </c>
      <c r="AP1" s="1083" t="s">
        <v>285</v>
      </c>
      <c r="AQ1" s="1083" t="s">
        <v>286</v>
      </c>
      <c r="AR1" s="1083" t="s">
        <v>285</v>
      </c>
      <c r="AS1" s="1083" t="s">
        <v>286</v>
      </c>
      <c r="AT1" s="1083" t="s">
        <v>285</v>
      </c>
      <c r="AU1" s="1083" t="s">
        <v>286</v>
      </c>
      <c r="AV1" s="1083" t="s">
        <v>285</v>
      </c>
      <c r="AW1" s="1083" t="s">
        <v>285</v>
      </c>
      <c r="AX1" s="1083" t="s">
        <v>286</v>
      </c>
      <c r="AY1" s="1083" t="s">
        <v>285</v>
      </c>
      <c r="AZ1" s="1083" t="s">
        <v>286</v>
      </c>
      <c r="BA1" s="1083" t="s">
        <v>285</v>
      </c>
      <c r="BB1" s="1083" t="s">
        <v>285</v>
      </c>
      <c r="BC1" s="1083" t="s">
        <v>285</v>
      </c>
      <c r="BD1" s="1083" t="s">
        <v>285</v>
      </c>
      <c r="BE1" s="1083" t="s">
        <v>286</v>
      </c>
      <c r="BF1" s="1083" t="s">
        <v>285</v>
      </c>
      <c r="BG1" s="1083" t="s">
        <v>286</v>
      </c>
      <c r="BH1" s="1083" t="s">
        <v>285</v>
      </c>
      <c r="BI1" s="1083" t="s">
        <v>286</v>
      </c>
      <c r="BJ1" s="1083" t="s">
        <v>285</v>
      </c>
      <c r="BK1" s="1083" t="s">
        <v>286</v>
      </c>
      <c r="BL1" s="1083" t="s">
        <v>285</v>
      </c>
      <c r="BM1" s="1083" t="s">
        <v>286</v>
      </c>
      <c r="BN1" s="1083" t="s">
        <v>285</v>
      </c>
      <c r="BO1" s="1083" t="s">
        <v>286</v>
      </c>
      <c r="BP1" s="1083" t="s">
        <v>285</v>
      </c>
      <c r="BQ1" s="1083" t="s">
        <v>286</v>
      </c>
      <c r="BR1" s="1083" t="s">
        <v>285</v>
      </c>
      <c r="BS1" s="1083" t="s">
        <v>286</v>
      </c>
      <c r="BT1" s="1083" t="s">
        <v>285</v>
      </c>
      <c r="BU1" s="1083" t="s">
        <v>285</v>
      </c>
      <c r="BV1" s="1083" t="s">
        <v>285</v>
      </c>
      <c r="BW1" s="1083" t="s">
        <v>285</v>
      </c>
      <c r="BX1" s="1083" t="s">
        <v>286</v>
      </c>
      <c r="BY1" s="1083" t="s">
        <v>285</v>
      </c>
      <c r="BZ1" s="1083" t="s">
        <v>286</v>
      </c>
      <c r="CA1" s="1083" t="s">
        <v>285</v>
      </c>
      <c r="CB1" s="1083" t="s">
        <v>286</v>
      </c>
      <c r="CC1" s="1083" t="s">
        <v>285</v>
      </c>
      <c r="CD1" s="1083" t="s">
        <v>286</v>
      </c>
      <c r="CE1" s="1083" t="s">
        <v>285</v>
      </c>
      <c r="CF1" s="1083" t="s">
        <v>286</v>
      </c>
      <c r="CG1" s="1083" t="s">
        <v>285</v>
      </c>
      <c r="CH1" s="1083" t="s">
        <v>286</v>
      </c>
      <c r="CI1" s="1083" t="s">
        <v>285</v>
      </c>
      <c r="CJ1" s="1083" t="s">
        <v>286</v>
      </c>
      <c r="CK1" s="1083" t="s">
        <v>285</v>
      </c>
      <c r="CL1" s="1083" t="s">
        <v>285</v>
      </c>
      <c r="CM1" s="1083" t="s">
        <v>286</v>
      </c>
      <c r="CN1" s="1083" t="s">
        <v>285</v>
      </c>
      <c r="CO1" s="1083" t="s">
        <v>286</v>
      </c>
      <c r="CP1" s="1083" t="s">
        <v>285</v>
      </c>
      <c r="CQ1" s="1083" t="s">
        <v>286</v>
      </c>
      <c r="CR1" s="1083" t="s">
        <v>285</v>
      </c>
      <c r="CS1" s="1083" t="s">
        <v>286</v>
      </c>
      <c r="CT1" s="1083" t="s">
        <v>285</v>
      </c>
      <c r="CU1" s="1083" t="s">
        <v>286</v>
      </c>
      <c r="CV1" s="1083" t="s">
        <v>285</v>
      </c>
      <c r="CW1" s="1083" t="s">
        <v>286</v>
      </c>
      <c r="CX1" s="1083" t="s">
        <v>285</v>
      </c>
      <c r="CY1" s="1083" t="s">
        <v>286</v>
      </c>
      <c r="CZ1" s="1083" t="s">
        <v>285</v>
      </c>
      <c r="DA1" s="1083" t="s">
        <v>286</v>
      </c>
      <c r="DB1" s="1083" t="s">
        <v>285</v>
      </c>
      <c r="DC1" s="1083" t="s">
        <v>286</v>
      </c>
      <c r="DD1" s="1083" t="s">
        <v>285</v>
      </c>
      <c r="DE1" s="1083" t="s">
        <v>286</v>
      </c>
      <c r="DF1" s="1083" t="s">
        <v>285</v>
      </c>
      <c r="DG1" s="1083" t="s">
        <v>286</v>
      </c>
      <c r="DH1" s="1083" t="s">
        <v>285</v>
      </c>
      <c r="DI1" s="1083" t="s">
        <v>285</v>
      </c>
      <c r="DJ1" s="1083" t="s">
        <v>285</v>
      </c>
      <c r="DK1" s="1083" t="s">
        <v>285</v>
      </c>
      <c r="DL1" s="1083" t="s">
        <v>285</v>
      </c>
      <c r="DM1" s="1083" t="s">
        <v>285</v>
      </c>
      <c r="DN1" s="1083" t="s">
        <v>285</v>
      </c>
      <c r="DO1" s="1083" t="s">
        <v>286</v>
      </c>
      <c r="DP1" s="1083" t="s">
        <v>285</v>
      </c>
      <c r="DQ1" s="1083" t="s">
        <v>286</v>
      </c>
      <c r="DR1" s="1083" t="s">
        <v>285</v>
      </c>
      <c r="DS1" s="1083" t="s">
        <v>286</v>
      </c>
      <c r="DT1" s="1083" t="s">
        <v>285</v>
      </c>
      <c r="DU1" s="1083" t="s">
        <v>286</v>
      </c>
      <c r="DV1" s="1083" t="s">
        <v>285</v>
      </c>
      <c r="DW1" s="1083" t="s">
        <v>286</v>
      </c>
      <c r="DX1" s="1083" t="s">
        <v>285</v>
      </c>
      <c r="DY1" s="1083" t="s">
        <v>286</v>
      </c>
      <c r="DZ1" s="1083" t="s">
        <v>285</v>
      </c>
      <c r="EA1" s="1083" t="s">
        <v>286</v>
      </c>
      <c r="EB1" s="1083" t="s">
        <v>285</v>
      </c>
      <c r="EC1" s="1083" t="s">
        <v>286</v>
      </c>
      <c r="ED1" s="1083" t="s">
        <v>285</v>
      </c>
      <c r="EE1" s="1083" t="s">
        <v>286</v>
      </c>
      <c r="EF1" s="1083" t="s">
        <v>285</v>
      </c>
      <c r="EG1" s="1083" t="s">
        <v>285</v>
      </c>
      <c r="EH1" s="1083" t="s">
        <v>285</v>
      </c>
      <c r="EI1" s="1083" t="s">
        <v>285</v>
      </c>
      <c r="EJ1" s="1083" t="s">
        <v>285</v>
      </c>
      <c r="EK1" s="1083" t="s">
        <v>285</v>
      </c>
      <c r="EL1" s="1083" t="s">
        <v>285</v>
      </c>
      <c r="EM1" s="1083" t="s">
        <v>285</v>
      </c>
      <c r="EN1" s="1083" t="s">
        <v>285</v>
      </c>
      <c r="EO1" s="1083" t="s">
        <v>285</v>
      </c>
      <c r="EP1" s="1083" t="s">
        <v>285</v>
      </c>
      <c r="EQ1" s="1083" t="s">
        <v>285</v>
      </c>
      <c r="ER1" s="1083" t="s">
        <v>285</v>
      </c>
      <c r="ES1" s="1083" t="s">
        <v>285</v>
      </c>
      <c r="ET1" s="1083" t="s">
        <v>285</v>
      </c>
      <c r="EU1" s="1083" t="s">
        <v>285</v>
      </c>
      <c r="EV1" s="1083" t="s">
        <v>286</v>
      </c>
      <c r="EW1" s="1083" t="s">
        <v>285</v>
      </c>
      <c r="EX1" s="1083" t="s">
        <v>286</v>
      </c>
      <c r="EY1" s="1083" t="s">
        <v>285</v>
      </c>
      <c r="EZ1" s="1083" t="s">
        <v>286</v>
      </c>
      <c r="FA1" s="1083" t="s">
        <v>285</v>
      </c>
      <c r="FB1" s="1083" t="s">
        <v>286</v>
      </c>
      <c r="FC1" s="1083" t="s">
        <v>285</v>
      </c>
      <c r="FD1" s="1083" t="s">
        <v>286</v>
      </c>
      <c r="FE1" s="1083" t="s">
        <v>285</v>
      </c>
      <c r="FF1" s="1083" t="s">
        <v>286</v>
      </c>
      <c r="FG1" s="1083" t="s">
        <v>285</v>
      </c>
      <c r="FH1" s="1083" t="s">
        <v>286</v>
      </c>
      <c r="FI1" s="1083" t="s">
        <v>285</v>
      </c>
      <c r="FJ1" s="1083" t="s">
        <v>286</v>
      </c>
      <c r="FK1" s="1083" t="s">
        <v>285</v>
      </c>
      <c r="FL1" s="1083" t="s">
        <v>285</v>
      </c>
      <c r="FM1" s="1083" t="s">
        <v>285</v>
      </c>
      <c r="FN1" s="1083" t="s">
        <v>285</v>
      </c>
      <c r="FO1" s="1083" t="s">
        <v>285</v>
      </c>
      <c r="FP1" s="1083" t="s">
        <v>285</v>
      </c>
      <c r="FQ1" s="1083" t="s">
        <v>285</v>
      </c>
      <c r="FR1" s="1083" t="s">
        <v>286</v>
      </c>
      <c r="FS1" s="1083" t="s">
        <v>285</v>
      </c>
      <c r="FT1" s="1083" t="s">
        <v>286</v>
      </c>
      <c r="FU1" s="1083" t="s">
        <v>285</v>
      </c>
      <c r="FV1" s="1083" t="s">
        <v>286</v>
      </c>
      <c r="FW1" s="1083" t="s">
        <v>285</v>
      </c>
      <c r="FX1" s="1083" t="s">
        <v>286</v>
      </c>
      <c r="FY1" s="1083" t="s">
        <v>285</v>
      </c>
      <c r="FZ1" s="1083" t="s">
        <v>286</v>
      </c>
      <c r="GA1" s="1083" t="s">
        <v>285</v>
      </c>
      <c r="GB1" s="1083" t="s">
        <v>285</v>
      </c>
      <c r="GC1" s="1083" t="s">
        <v>285</v>
      </c>
      <c r="GD1" s="1083" t="s">
        <v>285</v>
      </c>
      <c r="GE1" s="1083" t="s">
        <v>285</v>
      </c>
      <c r="GF1" s="1083" t="s">
        <v>285</v>
      </c>
      <c r="GG1" s="1083" t="s">
        <v>285</v>
      </c>
      <c r="GH1" s="1083" t="s">
        <v>286</v>
      </c>
      <c r="GI1" s="1083" t="s">
        <v>285</v>
      </c>
      <c r="GJ1" s="1083" t="s">
        <v>286</v>
      </c>
      <c r="GK1" s="1083" t="s">
        <v>285</v>
      </c>
      <c r="GL1" s="1083" t="s">
        <v>286</v>
      </c>
      <c r="GM1" s="1083" t="s">
        <v>285</v>
      </c>
      <c r="GN1" s="1083" t="s">
        <v>286</v>
      </c>
      <c r="GO1" s="1083" t="s">
        <v>285</v>
      </c>
      <c r="GP1" s="1083" t="s">
        <v>285</v>
      </c>
      <c r="GQ1" s="1083" t="s">
        <v>285</v>
      </c>
      <c r="GR1" s="1083" t="s">
        <v>286</v>
      </c>
      <c r="GS1" s="1083" t="s">
        <v>285</v>
      </c>
      <c r="GT1" s="1083" t="s">
        <v>286</v>
      </c>
      <c r="GU1" s="1083" t="s">
        <v>285</v>
      </c>
      <c r="GV1" s="1083" t="s">
        <v>286</v>
      </c>
      <c r="GW1" s="1083" t="s">
        <v>285</v>
      </c>
      <c r="GX1" s="1083" t="s">
        <v>286</v>
      </c>
      <c r="GY1" s="1083" t="s">
        <v>285</v>
      </c>
      <c r="GZ1" s="1083" t="s">
        <v>286</v>
      </c>
      <c r="HA1" s="1083" t="s">
        <v>285</v>
      </c>
      <c r="HB1" s="1083" t="s">
        <v>286</v>
      </c>
      <c r="HC1" s="1083" t="s">
        <v>285</v>
      </c>
      <c r="HD1" s="1083" t="s">
        <v>286</v>
      </c>
      <c r="HE1" s="1083" t="s">
        <v>285</v>
      </c>
      <c r="HF1" s="1083" t="s">
        <v>285</v>
      </c>
      <c r="HG1" s="1083" t="s">
        <v>286</v>
      </c>
      <c r="HH1" s="1083" t="s">
        <v>285</v>
      </c>
      <c r="HI1" s="1083" t="s">
        <v>285</v>
      </c>
      <c r="HJ1" s="1083" t="s">
        <v>285</v>
      </c>
      <c r="HK1" s="1083" t="s">
        <v>285</v>
      </c>
      <c r="HL1" s="1083" t="s">
        <v>286</v>
      </c>
      <c r="HM1" s="1083" t="s">
        <v>285</v>
      </c>
      <c r="HN1" s="1083" t="s">
        <v>286</v>
      </c>
      <c r="HO1" s="1083" t="s">
        <v>285</v>
      </c>
      <c r="HP1" s="1083" t="s">
        <v>285</v>
      </c>
      <c r="HQ1" s="1083" t="s">
        <v>285</v>
      </c>
      <c r="HR1" s="1083" t="s">
        <v>285</v>
      </c>
      <c r="HS1" s="1083" t="s">
        <v>285</v>
      </c>
      <c r="HT1" s="1083" t="s">
        <v>285</v>
      </c>
      <c r="HU1" s="1083" t="s">
        <v>285</v>
      </c>
      <c r="HV1" s="1083" t="s">
        <v>285</v>
      </c>
      <c r="HW1" s="1083" t="s">
        <v>285</v>
      </c>
      <c r="HX1" s="1083" t="s">
        <v>285</v>
      </c>
      <c r="HY1" s="1083" t="s">
        <v>285</v>
      </c>
      <c r="HZ1" s="1083" t="s">
        <v>285</v>
      </c>
      <c r="IA1" s="1083" t="s">
        <v>285</v>
      </c>
      <c r="IB1" s="1083" t="s">
        <v>285</v>
      </c>
      <c r="IC1" s="1083" t="s">
        <v>285</v>
      </c>
      <c r="ID1" s="1083" t="s">
        <v>285</v>
      </c>
      <c r="IE1" s="1083" t="s">
        <v>285</v>
      </c>
      <c r="IF1" s="1083" t="s">
        <v>285</v>
      </c>
      <c r="IG1" s="1083" t="s">
        <v>285</v>
      </c>
      <c r="IH1" s="1083" t="s">
        <v>285</v>
      </c>
      <c r="II1" s="1083" t="s">
        <v>285</v>
      </c>
      <c r="IJ1" s="1083" t="s">
        <v>285</v>
      </c>
      <c r="IK1" s="1083" t="s">
        <v>285</v>
      </c>
      <c r="IL1" s="1083" t="s">
        <v>285</v>
      </c>
      <c r="IM1" s="1084" t="s">
        <v>285</v>
      </c>
      <c r="IN1" s="1083" t="s">
        <v>285</v>
      </c>
      <c r="IO1" s="1083" t="s">
        <v>286</v>
      </c>
      <c r="IP1" s="1083" t="s">
        <v>285</v>
      </c>
      <c r="IQ1" s="1083" t="s">
        <v>286</v>
      </c>
      <c r="IR1" s="1083" t="s">
        <v>285</v>
      </c>
      <c r="IS1" s="1083" t="s">
        <v>285</v>
      </c>
      <c r="IT1" s="1083" t="s">
        <v>285</v>
      </c>
      <c r="IU1" s="1083" t="s">
        <v>285</v>
      </c>
      <c r="IV1" s="1083" t="s">
        <v>285</v>
      </c>
      <c r="IW1" s="1083" t="s">
        <v>285</v>
      </c>
      <c r="IX1" s="1083" t="s">
        <v>285</v>
      </c>
      <c r="IY1" s="1083" t="s">
        <v>285</v>
      </c>
      <c r="IZ1" s="1083" t="s">
        <v>285</v>
      </c>
      <c r="JA1" s="1083" t="s">
        <v>285</v>
      </c>
      <c r="JB1" s="1083" t="s">
        <v>285</v>
      </c>
      <c r="JC1" s="1083" t="s">
        <v>285</v>
      </c>
      <c r="JD1" s="1083" t="s">
        <v>285</v>
      </c>
      <c r="JE1" s="1083" t="s">
        <v>285</v>
      </c>
      <c r="JF1" s="1083" t="s">
        <v>285</v>
      </c>
      <c r="JG1" s="1083" t="s">
        <v>285</v>
      </c>
      <c r="JH1" s="1083" t="s">
        <v>285</v>
      </c>
      <c r="JI1" s="1083" t="s">
        <v>285</v>
      </c>
      <c r="JJ1" s="1083" t="s">
        <v>285</v>
      </c>
      <c r="JK1" s="1083" t="s">
        <v>285</v>
      </c>
      <c r="JL1" s="1083" t="s">
        <v>285</v>
      </c>
      <c r="JM1" s="1083" t="s">
        <v>285</v>
      </c>
      <c r="JN1" s="1083" t="s">
        <v>285</v>
      </c>
      <c r="JO1" s="1083" t="s">
        <v>285</v>
      </c>
      <c r="JP1" s="1083" t="s">
        <v>285</v>
      </c>
      <c r="JQ1" s="1083" t="s">
        <v>285</v>
      </c>
      <c r="JR1" s="1083" t="s">
        <v>285</v>
      </c>
      <c r="JS1" s="1083" t="s">
        <v>285</v>
      </c>
      <c r="JT1" s="1083" t="s">
        <v>285</v>
      </c>
      <c r="JU1" s="1083" t="s">
        <v>285</v>
      </c>
      <c r="JV1" s="1083" t="s">
        <v>285</v>
      </c>
      <c r="JW1" s="1083" t="s">
        <v>285</v>
      </c>
      <c r="JX1" s="1083" t="s">
        <v>285</v>
      </c>
      <c r="JY1" s="1083" t="s">
        <v>285</v>
      </c>
      <c r="JZ1" s="1083" t="s">
        <v>285</v>
      </c>
      <c r="KA1" s="1083" t="s">
        <v>285</v>
      </c>
      <c r="KB1" s="1083" t="s">
        <v>285</v>
      </c>
      <c r="KC1" s="1083" t="s">
        <v>285</v>
      </c>
      <c r="KD1" s="1083" t="s">
        <v>285</v>
      </c>
      <c r="KE1" s="1083" t="s">
        <v>285</v>
      </c>
      <c r="KF1" s="1083" t="s">
        <v>285</v>
      </c>
      <c r="KG1" s="1083" t="s">
        <v>285</v>
      </c>
      <c r="KH1" s="1083" t="s">
        <v>285</v>
      </c>
      <c r="KI1" s="1083" t="s">
        <v>285</v>
      </c>
      <c r="KJ1" s="1083" t="s">
        <v>285</v>
      </c>
      <c r="KK1" s="1083" t="s">
        <v>285</v>
      </c>
      <c r="KL1" s="1083" t="s">
        <v>285</v>
      </c>
      <c r="KM1" s="1083" t="s">
        <v>286</v>
      </c>
      <c r="KN1" s="1083" t="s">
        <v>285</v>
      </c>
      <c r="KO1" s="1083" t="s">
        <v>286</v>
      </c>
      <c r="KP1" s="1083" t="s">
        <v>285</v>
      </c>
      <c r="KQ1" s="1083" t="s">
        <v>286</v>
      </c>
      <c r="KR1" s="1083" t="s">
        <v>285</v>
      </c>
      <c r="KS1" s="1083" t="s">
        <v>286</v>
      </c>
      <c r="KT1" s="1083" t="s">
        <v>285</v>
      </c>
      <c r="KU1" s="1083" t="s">
        <v>286</v>
      </c>
      <c r="KV1" s="1083" t="s">
        <v>285</v>
      </c>
      <c r="KW1" s="1083" t="s">
        <v>285</v>
      </c>
      <c r="KX1" s="1083" t="s">
        <v>285</v>
      </c>
      <c r="KY1" s="1083" t="s">
        <v>285</v>
      </c>
      <c r="KZ1" s="1083" t="s">
        <v>285</v>
      </c>
      <c r="LA1" s="1083" t="s">
        <v>285</v>
      </c>
      <c r="LB1" s="1083" t="s">
        <v>285</v>
      </c>
      <c r="LC1" s="1083" t="s">
        <v>285</v>
      </c>
      <c r="LD1" s="1083" t="s">
        <v>285</v>
      </c>
      <c r="LE1" s="1083" t="s">
        <v>285</v>
      </c>
      <c r="LF1" s="1083" t="s">
        <v>285</v>
      </c>
      <c r="LG1" s="1083" t="s">
        <v>285</v>
      </c>
      <c r="LH1" s="1083" t="s">
        <v>285</v>
      </c>
      <c r="LI1" s="1083" t="s">
        <v>285</v>
      </c>
      <c r="LJ1" s="1083" t="s">
        <v>285</v>
      </c>
      <c r="LK1" s="1083" t="s">
        <v>285</v>
      </c>
      <c r="LL1" s="1083" t="s">
        <v>285</v>
      </c>
      <c r="LM1" s="1083" t="s">
        <v>285</v>
      </c>
      <c r="LN1" s="1083" t="s">
        <v>285</v>
      </c>
      <c r="LO1" s="1083" t="s">
        <v>285</v>
      </c>
      <c r="LP1" s="1083" t="s">
        <v>285</v>
      </c>
      <c r="LQ1" s="1083" t="s">
        <v>285</v>
      </c>
      <c r="LR1" s="1083" t="s">
        <v>285</v>
      </c>
      <c r="LS1" s="1083" t="s">
        <v>285</v>
      </c>
      <c r="LT1" s="1083" t="s">
        <v>285</v>
      </c>
      <c r="LU1" s="1083" t="s">
        <v>285</v>
      </c>
      <c r="LV1" s="1083" t="s">
        <v>285</v>
      </c>
      <c r="LW1" s="1083" t="s">
        <v>285</v>
      </c>
      <c r="LX1" s="1083" t="s">
        <v>285</v>
      </c>
      <c r="LY1" s="1083" t="s">
        <v>285</v>
      </c>
      <c r="LZ1" s="1085" t="s">
        <v>286</v>
      </c>
      <c r="MA1" s="1085" t="s">
        <v>285</v>
      </c>
      <c r="MB1" s="1085" t="s">
        <v>286</v>
      </c>
      <c r="MC1" s="1085" t="s">
        <v>285</v>
      </c>
      <c r="MD1" s="1085" t="s">
        <v>286</v>
      </c>
      <c r="ME1" s="1085" t="s">
        <v>285</v>
      </c>
      <c r="MF1" s="1085" t="s">
        <v>286</v>
      </c>
      <c r="MG1" s="1085" t="s">
        <v>285</v>
      </c>
      <c r="MH1" s="1085" t="s">
        <v>286</v>
      </c>
      <c r="MI1" s="1085" t="s">
        <v>285</v>
      </c>
      <c r="MJ1" s="1085" t="s">
        <v>286</v>
      </c>
    </row>
    <row r="2" spans="1:348" s="330" customFormat="1" ht="32.25" thickBot="1" x14ac:dyDescent="0.3">
      <c r="A2" s="325" t="s">
        <v>1</v>
      </c>
      <c r="B2" s="326" t="s">
        <v>2</v>
      </c>
      <c r="C2" s="327" t="s">
        <v>3</v>
      </c>
      <c r="D2" s="328" t="s">
        <v>4</v>
      </c>
      <c r="E2" s="832" t="s">
        <v>9</v>
      </c>
      <c r="F2" s="852" t="s">
        <v>287</v>
      </c>
      <c r="G2" s="852" t="s">
        <v>287</v>
      </c>
      <c r="H2" s="852" t="s">
        <v>288</v>
      </c>
      <c r="I2" s="852" t="s">
        <v>288</v>
      </c>
      <c r="J2" s="852" t="s">
        <v>289</v>
      </c>
      <c r="K2" s="852" t="s">
        <v>289</v>
      </c>
      <c r="L2" s="852" t="s">
        <v>290</v>
      </c>
      <c r="M2" s="852" t="s">
        <v>290</v>
      </c>
      <c r="N2" s="852" t="s">
        <v>291</v>
      </c>
      <c r="O2" s="852" t="s">
        <v>291</v>
      </c>
      <c r="P2" s="852" t="s">
        <v>292</v>
      </c>
      <c r="Q2" s="852" t="s">
        <v>292</v>
      </c>
      <c r="R2" s="852" t="s">
        <v>292</v>
      </c>
      <c r="S2" s="852" t="s">
        <v>292</v>
      </c>
      <c r="T2" s="852" t="s">
        <v>292</v>
      </c>
      <c r="U2" s="852" t="s">
        <v>292</v>
      </c>
      <c r="V2" s="852" t="s">
        <v>293</v>
      </c>
      <c r="W2" s="852" t="s">
        <v>293</v>
      </c>
      <c r="X2" s="852" t="s">
        <v>293</v>
      </c>
      <c r="Y2" s="852" t="s">
        <v>293</v>
      </c>
      <c r="Z2" s="852" t="s">
        <v>297</v>
      </c>
      <c r="AA2" s="852" t="s">
        <v>297</v>
      </c>
      <c r="AB2" s="852" t="s">
        <v>298</v>
      </c>
      <c r="AC2" s="852" t="s">
        <v>298</v>
      </c>
      <c r="AD2" s="852" t="s">
        <v>299</v>
      </c>
      <c r="AE2" s="852" t="s">
        <v>299</v>
      </c>
      <c r="AF2" s="852" t="s">
        <v>300</v>
      </c>
      <c r="AG2" s="852" t="s">
        <v>300</v>
      </c>
      <c r="AH2" s="852" t="s">
        <v>301</v>
      </c>
      <c r="AI2" s="852" t="s">
        <v>301</v>
      </c>
      <c r="AJ2" s="852" t="s">
        <v>302</v>
      </c>
      <c r="AK2" s="852" t="s">
        <v>302</v>
      </c>
      <c r="AL2" s="852" t="s">
        <v>303</v>
      </c>
      <c r="AM2" s="852" t="s">
        <v>303</v>
      </c>
      <c r="AN2" s="852" t="s">
        <v>304</v>
      </c>
      <c r="AO2" s="852" t="s">
        <v>304</v>
      </c>
      <c r="AP2" s="852" t="s">
        <v>305</v>
      </c>
      <c r="AQ2" s="852" t="s">
        <v>305</v>
      </c>
      <c r="AR2" s="852" t="s">
        <v>306</v>
      </c>
      <c r="AS2" s="852" t="s">
        <v>306</v>
      </c>
      <c r="AT2" s="852" t="s">
        <v>307</v>
      </c>
      <c r="AU2" s="852" t="s">
        <v>307</v>
      </c>
      <c r="AV2" s="852" t="s">
        <v>308</v>
      </c>
      <c r="AW2" s="852" t="s">
        <v>308</v>
      </c>
      <c r="AX2" s="852" t="s">
        <v>308</v>
      </c>
      <c r="AY2" s="852" t="s">
        <v>309</v>
      </c>
      <c r="AZ2" s="852" t="s">
        <v>309</v>
      </c>
      <c r="BA2" s="852" t="s">
        <v>310</v>
      </c>
      <c r="BB2" s="852" t="s">
        <v>310</v>
      </c>
      <c r="BC2" s="852" t="s">
        <v>310</v>
      </c>
      <c r="BD2" s="852" t="s">
        <v>310</v>
      </c>
      <c r="BE2" s="852" t="s">
        <v>310</v>
      </c>
      <c r="BF2" s="852" t="s">
        <v>311</v>
      </c>
      <c r="BG2" s="852" t="s">
        <v>311</v>
      </c>
      <c r="BH2" s="852" t="s">
        <v>312</v>
      </c>
      <c r="BI2" s="852" t="s">
        <v>312</v>
      </c>
      <c r="BJ2" s="852" t="s">
        <v>313</v>
      </c>
      <c r="BK2" s="852" t="s">
        <v>313</v>
      </c>
      <c r="BL2" s="852" t="s">
        <v>314</v>
      </c>
      <c r="BM2" s="852" t="s">
        <v>314</v>
      </c>
      <c r="BN2" s="852" t="s">
        <v>315</v>
      </c>
      <c r="BO2" s="852" t="s">
        <v>315</v>
      </c>
      <c r="BP2" s="852" t="s">
        <v>316</v>
      </c>
      <c r="BQ2" s="852" t="s">
        <v>316</v>
      </c>
      <c r="BR2" s="852" t="s">
        <v>317</v>
      </c>
      <c r="BS2" s="852" t="s">
        <v>317</v>
      </c>
      <c r="BT2" s="852" t="s">
        <v>318</v>
      </c>
      <c r="BU2" s="852" t="s">
        <v>319</v>
      </c>
      <c r="BV2" s="852" t="s">
        <v>319</v>
      </c>
      <c r="BW2" s="852" t="s">
        <v>319</v>
      </c>
      <c r="BX2" s="852" t="s">
        <v>319</v>
      </c>
      <c r="BY2" s="852" t="s">
        <v>319</v>
      </c>
      <c r="BZ2" s="852" t="s">
        <v>319</v>
      </c>
      <c r="CA2" s="852" t="s">
        <v>319</v>
      </c>
      <c r="CB2" s="852" t="s">
        <v>319</v>
      </c>
      <c r="CC2" s="852" t="s">
        <v>320</v>
      </c>
      <c r="CD2" s="852" t="s">
        <v>320</v>
      </c>
      <c r="CE2" s="852" t="s">
        <v>320</v>
      </c>
      <c r="CF2" s="852" t="s">
        <v>320</v>
      </c>
      <c r="CG2" s="852" t="s">
        <v>320</v>
      </c>
      <c r="CH2" s="852" t="s">
        <v>320</v>
      </c>
      <c r="CI2" s="852" t="s">
        <v>321</v>
      </c>
      <c r="CJ2" s="852" t="s">
        <v>321</v>
      </c>
      <c r="CK2" s="852" t="s">
        <v>322</v>
      </c>
      <c r="CL2" s="852" t="s">
        <v>322</v>
      </c>
      <c r="CM2" s="852" t="s">
        <v>322</v>
      </c>
      <c r="CN2" s="852" t="s">
        <v>323</v>
      </c>
      <c r="CO2" s="852" t="s">
        <v>323</v>
      </c>
      <c r="CP2" s="852" t="s">
        <v>324</v>
      </c>
      <c r="CQ2" s="852" t="s">
        <v>324</v>
      </c>
      <c r="CR2" s="852" t="s">
        <v>325</v>
      </c>
      <c r="CS2" s="852" t="s">
        <v>325</v>
      </c>
      <c r="CT2" s="852" t="s">
        <v>326</v>
      </c>
      <c r="CU2" s="852" t="s">
        <v>326</v>
      </c>
      <c r="CV2" s="852" t="s">
        <v>327</v>
      </c>
      <c r="CW2" s="852" t="s">
        <v>327</v>
      </c>
      <c r="CX2" s="852" t="s">
        <v>328</v>
      </c>
      <c r="CY2" s="852" t="s">
        <v>328</v>
      </c>
      <c r="CZ2" s="852" t="s">
        <v>329</v>
      </c>
      <c r="DA2" s="852" t="s">
        <v>329</v>
      </c>
      <c r="DB2" s="852" t="s">
        <v>330</v>
      </c>
      <c r="DC2" s="852" t="s">
        <v>330</v>
      </c>
      <c r="DD2" s="852" t="s">
        <v>331</v>
      </c>
      <c r="DE2" s="852" t="s">
        <v>331</v>
      </c>
      <c r="DF2" s="852" t="s">
        <v>332</v>
      </c>
      <c r="DG2" s="852" t="s">
        <v>332</v>
      </c>
      <c r="DH2" s="852" t="s">
        <v>333</v>
      </c>
      <c r="DI2" s="852" t="s">
        <v>333</v>
      </c>
      <c r="DJ2" s="852" t="s">
        <v>333</v>
      </c>
      <c r="DK2" s="852" t="s">
        <v>333</v>
      </c>
      <c r="DL2" s="852" t="s">
        <v>333</v>
      </c>
      <c r="DM2" s="852" t="s">
        <v>333</v>
      </c>
      <c r="DN2" s="852" t="s">
        <v>334</v>
      </c>
      <c r="DO2" s="852" t="s">
        <v>334</v>
      </c>
      <c r="DP2" s="852" t="s">
        <v>335</v>
      </c>
      <c r="DQ2" s="852" t="s">
        <v>335</v>
      </c>
      <c r="DR2" s="852" t="s">
        <v>335</v>
      </c>
      <c r="DS2" s="852" t="s">
        <v>335</v>
      </c>
      <c r="DT2" s="852" t="s">
        <v>335</v>
      </c>
      <c r="DU2" s="852" t="s">
        <v>335</v>
      </c>
      <c r="DV2" s="852" t="s">
        <v>335</v>
      </c>
      <c r="DW2" s="852" t="s">
        <v>335</v>
      </c>
      <c r="DX2" s="852" t="s">
        <v>335</v>
      </c>
      <c r="DY2" s="852" t="s">
        <v>335</v>
      </c>
      <c r="DZ2" s="852" t="s">
        <v>335</v>
      </c>
      <c r="EA2" s="852" t="s">
        <v>335</v>
      </c>
      <c r="EB2" s="852" t="s">
        <v>335</v>
      </c>
      <c r="EC2" s="852" t="s">
        <v>335</v>
      </c>
      <c r="ED2" s="852" t="s">
        <v>335</v>
      </c>
      <c r="EE2" s="852" t="s">
        <v>335</v>
      </c>
      <c r="EF2" s="852" t="s">
        <v>336</v>
      </c>
      <c r="EG2" s="852" t="s">
        <v>336</v>
      </c>
      <c r="EH2" s="852" t="s">
        <v>336</v>
      </c>
      <c r="EI2" s="852" t="s">
        <v>336</v>
      </c>
      <c r="EJ2" s="852" t="s">
        <v>336</v>
      </c>
      <c r="EK2" s="853" t="s">
        <v>336</v>
      </c>
      <c r="EL2" s="853" t="s">
        <v>336</v>
      </c>
      <c r="EM2" s="853" t="s">
        <v>336</v>
      </c>
      <c r="EN2" s="853" t="s">
        <v>336</v>
      </c>
      <c r="EO2" s="853" t="s">
        <v>336</v>
      </c>
      <c r="EP2" s="853" t="s">
        <v>336</v>
      </c>
      <c r="EQ2" s="853" t="s">
        <v>336</v>
      </c>
      <c r="ER2" s="852" t="s">
        <v>336</v>
      </c>
      <c r="ES2" s="852" t="s">
        <v>336</v>
      </c>
      <c r="ET2" s="852" t="s">
        <v>336</v>
      </c>
      <c r="EU2" s="852" t="s">
        <v>337</v>
      </c>
      <c r="EV2" s="852" t="s">
        <v>337</v>
      </c>
      <c r="EW2" s="852" t="s">
        <v>338</v>
      </c>
      <c r="EX2" s="852" t="s">
        <v>338</v>
      </c>
      <c r="EY2" s="852" t="s">
        <v>339</v>
      </c>
      <c r="EZ2" s="852" t="s">
        <v>339</v>
      </c>
      <c r="FA2" s="852" t="s">
        <v>340</v>
      </c>
      <c r="FB2" s="852" t="s">
        <v>340</v>
      </c>
      <c r="FC2" s="852" t="s">
        <v>341</v>
      </c>
      <c r="FD2" s="852" t="s">
        <v>341</v>
      </c>
      <c r="FE2" s="852" t="s">
        <v>342</v>
      </c>
      <c r="FF2" s="852" t="s">
        <v>342</v>
      </c>
      <c r="FG2" s="852" t="s">
        <v>342</v>
      </c>
      <c r="FH2" s="852" t="s">
        <v>342</v>
      </c>
      <c r="FI2" s="852" t="s">
        <v>343</v>
      </c>
      <c r="FJ2" s="852" t="s">
        <v>343</v>
      </c>
      <c r="FK2" s="852" t="s">
        <v>344</v>
      </c>
      <c r="FL2" s="852" t="s">
        <v>344</v>
      </c>
      <c r="FM2" s="852" t="s">
        <v>344</v>
      </c>
      <c r="FN2" s="852" t="s">
        <v>344</v>
      </c>
      <c r="FO2" s="852" t="s">
        <v>344</v>
      </c>
      <c r="FP2" s="852" t="s">
        <v>344</v>
      </c>
      <c r="FQ2" s="852" t="s">
        <v>344</v>
      </c>
      <c r="FR2" s="852" t="s">
        <v>344</v>
      </c>
      <c r="FS2" s="852" t="s">
        <v>345</v>
      </c>
      <c r="FT2" s="852" t="s">
        <v>345</v>
      </c>
      <c r="FU2" s="852" t="s">
        <v>346</v>
      </c>
      <c r="FV2" s="852" t="s">
        <v>346</v>
      </c>
      <c r="FW2" s="852" t="s">
        <v>347</v>
      </c>
      <c r="FX2" s="852" t="s">
        <v>347</v>
      </c>
      <c r="FY2" s="852" t="s">
        <v>348</v>
      </c>
      <c r="FZ2" s="852" t="s">
        <v>348</v>
      </c>
      <c r="GA2" s="852" t="s">
        <v>349</v>
      </c>
      <c r="GB2" s="852" t="s">
        <v>349</v>
      </c>
      <c r="GC2" s="852" t="s">
        <v>349</v>
      </c>
      <c r="GD2" s="852" t="s">
        <v>349</v>
      </c>
      <c r="GE2" s="852" t="s">
        <v>349</v>
      </c>
      <c r="GF2" s="852" t="s">
        <v>349</v>
      </c>
      <c r="GG2" s="852" t="s">
        <v>349</v>
      </c>
      <c r="GH2" s="852" t="s">
        <v>349</v>
      </c>
      <c r="GI2" s="852" t="s">
        <v>350</v>
      </c>
      <c r="GJ2" s="852" t="s">
        <v>350</v>
      </c>
      <c r="GK2" s="852" t="s">
        <v>351</v>
      </c>
      <c r="GL2" s="852" t="s">
        <v>351</v>
      </c>
      <c r="GM2" s="852" t="s">
        <v>352</v>
      </c>
      <c r="GN2" s="852" t="s">
        <v>352</v>
      </c>
      <c r="GO2" s="852" t="s">
        <v>353</v>
      </c>
      <c r="GP2" s="852" t="s">
        <v>353</v>
      </c>
      <c r="GQ2" s="852" t="s">
        <v>353</v>
      </c>
      <c r="GR2" s="852" t="s">
        <v>353</v>
      </c>
      <c r="GS2" s="852" t="s">
        <v>354</v>
      </c>
      <c r="GT2" s="852" t="s">
        <v>354</v>
      </c>
      <c r="GU2" s="852" t="s">
        <v>355</v>
      </c>
      <c r="GV2" s="852" t="s">
        <v>355</v>
      </c>
      <c r="GW2" s="852" t="s">
        <v>356</v>
      </c>
      <c r="GX2" s="852" t="s">
        <v>356</v>
      </c>
      <c r="GY2" s="852" t="s">
        <v>357</v>
      </c>
      <c r="GZ2" s="852" t="s">
        <v>357</v>
      </c>
      <c r="HA2" s="852" t="s">
        <v>358</v>
      </c>
      <c r="HB2" s="852" t="s">
        <v>358</v>
      </c>
      <c r="HC2" s="852" t="s">
        <v>359</v>
      </c>
      <c r="HD2" s="852" t="s">
        <v>359</v>
      </c>
      <c r="HE2" s="852" t="s">
        <v>360</v>
      </c>
      <c r="HF2" s="852" t="s">
        <v>360</v>
      </c>
      <c r="HG2" s="852" t="s">
        <v>360</v>
      </c>
      <c r="HH2" s="852" t="s">
        <v>361</v>
      </c>
      <c r="HI2" s="852" t="s">
        <v>361</v>
      </c>
      <c r="HJ2" s="852" t="s">
        <v>361</v>
      </c>
      <c r="HK2" s="852" t="s">
        <v>361</v>
      </c>
      <c r="HL2" s="852" t="s">
        <v>361</v>
      </c>
      <c r="HM2" s="852" t="s">
        <v>361</v>
      </c>
      <c r="HN2" s="852" t="s">
        <v>361</v>
      </c>
      <c r="HO2" s="852" t="s">
        <v>362</v>
      </c>
      <c r="HP2" s="852" t="s">
        <v>362</v>
      </c>
      <c r="HQ2" s="852" t="s">
        <v>362</v>
      </c>
      <c r="HR2" s="852" t="s">
        <v>362</v>
      </c>
      <c r="HS2" s="852" t="s">
        <v>362</v>
      </c>
      <c r="HT2" s="852" t="s">
        <v>362</v>
      </c>
      <c r="HU2" s="852" t="s">
        <v>362</v>
      </c>
      <c r="HV2" s="852" t="s">
        <v>362</v>
      </c>
      <c r="HW2" s="852" t="s">
        <v>362</v>
      </c>
      <c r="HX2" s="852" t="s">
        <v>362</v>
      </c>
      <c r="HY2" s="852" t="s">
        <v>362</v>
      </c>
      <c r="HZ2" s="852" t="s">
        <v>362</v>
      </c>
      <c r="IA2" s="852" t="s">
        <v>362</v>
      </c>
      <c r="IB2" s="852" t="s">
        <v>362</v>
      </c>
      <c r="IC2" s="852" t="s">
        <v>362</v>
      </c>
      <c r="ID2" s="852" t="s">
        <v>362</v>
      </c>
      <c r="IE2" s="852" t="s">
        <v>362</v>
      </c>
      <c r="IF2" s="852" t="s">
        <v>362</v>
      </c>
      <c r="IG2" s="852" t="s">
        <v>362</v>
      </c>
      <c r="IH2" s="852" t="s">
        <v>362</v>
      </c>
      <c r="II2" s="852" t="s">
        <v>362</v>
      </c>
      <c r="IJ2" s="852" t="s">
        <v>362</v>
      </c>
      <c r="IK2" s="852" t="s">
        <v>362</v>
      </c>
      <c r="IL2" s="852" t="s">
        <v>362</v>
      </c>
      <c r="IM2" s="852" t="s">
        <v>363</v>
      </c>
      <c r="IN2" s="852" t="s">
        <v>363</v>
      </c>
      <c r="IO2" s="852" t="s">
        <v>363</v>
      </c>
      <c r="IP2" s="852" t="s">
        <v>364</v>
      </c>
      <c r="IQ2" s="852" t="s">
        <v>364</v>
      </c>
      <c r="IR2" s="852" t="s">
        <v>365</v>
      </c>
      <c r="IS2" s="852" t="s">
        <v>365</v>
      </c>
      <c r="IT2" s="852" t="s">
        <v>365</v>
      </c>
      <c r="IU2" s="852" t="s">
        <v>365</v>
      </c>
      <c r="IV2" s="852" t="s">
        <v>365</v>
      </c>
      <c r="IW2" s="852" t="s">
        <v>365</v>
      </c>
      <c r="IX2" s="852" t="s">
        <v>365</v>
      </c>
      <c r="IY2" s="852" t="s">
        <v>365</v>
      </c>
      <c r="IZ2" s="852" t="s">
        <v>365</v>
      </c>
      <c r="JA2" s="852" t="s">
        <v>365</v>
      </c>
      <c r="JB2" s="852" t="s">
        <v>365</v>
      </c>
      <c r="JC2" s="852" t="s">
        <v>365</v>
      </c>
      <c r="JD2" s="852" t="s">
        <v>365</v>
      </c>
      <c r="JE2" s="852" t="s">
        <v>365</v>
      </c>
      <c r="JF2" s="852" t="s">
        <v>365</v>
      </c>
      <c r="JG2" s="852" t="s">
        <v>365</v>
      </c>
      <c r="JH2" s="852" t="s">
        <v>365</v>
      </c>
      <c r="JI2" s="852" t="s">
        <v>365</v>
      </c>
      <c r="JJ2" s="852" t="s">
        <v>365</v>
      </c>
      <c r="JK2" s="852" t="s">
        <v>365</v>
      </c>
      <c r="JL2" s="852" t="s">
        <v>365</v>
      </c>
      <c r="JM2" s="852" t="s">
        <v>365</v>
      </c>
      <c r="JN2" s="852" t="s">
        <v>365</v>
      </c>
      <c r="JO2" s="852" t="s">
        <v>365</v>
      </c>
      <c r="JP2" s="852" t="s">
        <v>365</v>
      </c>
      <c r="JQ2" s="852" t="s">
        <v>365</v>
      </c>
      <c r="JR2" s="852" t="s">
        <v>365</v>
      </c>
      <c r="JS2" s="852" t="s">
        <v>365</v>
      </c>
      <c r="JT2" s="852" t="s">
        <v>365</v>
      </c>
      <c r="JU2" s="852" t="s">
        <v>365</v>
      </c>
      <c r="JV2" s="852" t="s">
        <v>365</v>
      </c>
      <c r="JW2" s="852" t="s">
        <v>365</v>
      </c>
      <c r="JX2" s="852" t="s">
        <v>365</v>
      </c>
      <c r="JY2" s="852" t="s">
        <v>365</v>
      </c>
      <c r="JZ2" s="852" t="s">
        <v>365</v>
      </c>
      <c r="KA2" s="852" t="s">
        <v>365</v>
      </c>
      <c r="KB2" s="852" t="s">
        <v>365</v>
      </c>
      <c r="KC2" s="852" t="s">
        <v>365</v>
      </c>
      <c r="KD2" s="852" t="s">
        <v>365</v>
      </c>
      <c r="KE2" s="852" t="s">
        <v>365</v>
      </c>
      <c r="KF2" s="852" t="s">
        <v>365</v>
      </c>
      <c r="KG2" s="852" t="s">
        <v>365</v>
      </c>
      <c r="KH2" s="852" t="s">
        <v>365</v>
      </c>
      <c r="KI2" s="852" t="s">
        <v>365</v>
      </c>
      <c r="KJ2" s="852" t="s">
        <v>365</v>
      </c>
      <c r="KK2" s="852" t="s">
        <v>365</v>
      </c>
      <c r="KL2" s="852" t="s">
        <v>366</v>
      </c>
      <c r="KM2" s="852" t="s">
        <v>366</v>
      </c>
      <c r="KN2" s="852" t="s">
        <v>366</v>
      </c>
      <c r="KO2" s="852" t="s">
        <v>366</v>
      </c>
      <c r="KP2" s="852" t="s">
        <v>367</v>
      </c>
      <c r="KQ2" s="852" t="s">
        <v>367</v>
      </c>
      <c r="KR2" s="852" t="s">
        <v>368</v>
      </c>
      <c r="KS2" s="852" t="s">
        <v>368</v>
      </c>
      <c r="KT2" s="852" t="s">
        <v>369</v>
      </c>
      <c r="KU2" s="852" t="s">
        <v>369</v>
      </c>
      <c r="KV2" s="852" t="s">
        <v>370</v>
      </c>
      <c r="KW2" s="852" t="s">
        <v>370</v>
      </c>
      <c r="KX2" s="852" t="s">
        <v>370</v>
      </c>
      <c r="KY2" s="853" t="s">
        <v>370</v>
      </c>
      <c r="KZ2" s="852" t="s">
        <v>370</v>
      </c>
      <c r="LA2" s="852" t="s">
        <v>370</v>
      </c>
      <c r="LB2" s="852" t="s">
        <v>370</v>
      </c>
      <c r="LC2" s="852" t="s">
        <v>370</v>
      </c>
      <c r="LD2" s="852" t="s">
        <v>370</v>
      </c>
      <c r="LE2" s="852" t="s">
        <v>370</v>
      </c>
      <c r="LF2" s="852" t="s">
        <v>370</v>
      </c>
      <c r="LG2" s="852" t="s">
        <v>370</v>
      </c>
      <c r="LH2" s="852" t="s">
        <v>370</v>
      </c>
      <c r="LI2" s="852" t="s">
        <v>370</v>
      </c>
      <c r="LJ2" s="852" t="s">
        <v>370</v>
      </c>
      <c r="LK2" s="852" t="s">
        <v>370</v>
      </c>
      <c r="LL2" s="852" t="s">
        <v>370</v>
      </c>
      <c r="LM2" s="852" t="s">
        <v>370</v>
      </c>
      <c r="LN2" s="852" t="s">
        <v>370</v>
      </c>
      <c r="LO2" s="852" t="s">
        <v>370</v>
      </c>
      <c r="LP2" s="852" t="s">
        <v>370</v>
      </c>
      <c r="LQ2" s="852" t="s">
        <v>370</v>
      </c>
      <c r="LR2" s="852" t="s">
        <v>370</v>
      </c>
      <c r="LS2" s="852" t="s">
        <v>370</v>
      </c>
      <c r="LT2" s="852" t="s">
        <v>370</v>
      </c>
      <c r="LU2" s="852" t="s">
        <v>370</v>
      </c>
      <c r="LV2" s="852" t="s">
        <v>370</v>
      </c>
      <c r="LW2" s="852" t="s">
        <v>370</v>
      </c>
      <c r="LX2" s="852" t="s">
        <v>370</v>
      </c>
      <c r="LY2" s="852" t="s">
        <v>370</v>
      </c>
      <c r="LZ2" s="329" t="s">
        <v>370</v>
      </c>
      <c r="MA2" s="329" t="s">
        <v>371</v>
      </c>
      <c r="MB2" s="329" t="s">
        <v>371</v>
      </c>
      <c r="MC2" s="329" t="s">
        <v>371</v>
      </c>
      <c r="MD2" s="329" t="s">
        <v>371</v>
      </c>
      <c r="ME2" s="329" t="s">
        <v>371</v>
      </c>
      <c r="MF2" s="329" t="s">
        <v>371</v>
      </c>
      <c r="MG2" s="329" t="s">
        <v>371</v>
      </c>
      <c r="MH2" s="329" t="s">
        <v>371</v>
      </c>
      <c r="MI2" s="329" t="s">
        <v>371</v>
      </c>
      <c r="MJ2" s="329" t="s">
        <v>371</v>
      </c>
    </row>
    <row r="3" spans="1:348" s="334" customFormat="1" ht="111" thickBot="1" x14ac:dyDescent="0.3">
      <c r="A3" s="1583" t="s">
        <v>147</v>
      </c>
      <c r="B3" s="1616" t="s">
        <v>5316</v>
      </c>
      <c r="C3" s="331" t="s">
        <v>151</v>
      </c>
      <c r="D3" s="332" t="s">
        <v>284</v>
      </c>
      <c r="E3" s="833" t="s">
        <v>48</v>
      </c>
      <c r="F3" s="852" t="s">
        <v>372</v>
      </c>
      <c r="G3" s="852" t="s">
        <v>372</v>
      </c>
      <c r="H3" s="852" t="s">
        <v>5275</v>
      </c>
      <c r="I3" s="852" t="s">
        <v>5275</v>
      </c>
      <c r="J3" s="852" t="s">
        <v>374</v>
      </c>
      <c r="K3" s="852" t="s">
        <v>374</v>
      </c>
      <c r="L3" s="852" t="s">
        <v>375</v>
      </c>
      <c r="M3" s="852" t="s">
        <v>375</v>
      </c>
      <c r="N3" s="852" t="s">
        <v>376</v>
      </c>
      <c r="O3" s="852" t="s">
        <v>376</v>
      </c>
      <c r="P3" s="852" t="s">
        <v>377</v>
      </c>
      <c r="Q3" s="852" t="s">
        <v>377</v>
      </c>
      <c r="R3" s="852" t="s">
        <v>377</v>
      </c>
      <c r="S3" s="852" t="s">
        <v>377</v>
      </c>
      <c r="T3" s="852" t="s">
        <v>377</v>
      </c>
      <c r="U3" s="852" t="s">
        <v>377</v>
      </c>
      <c r="V3" s="852" t="s">
        <v>378</v>
      </c>
      <c r="W3" s="852" t="s">
        <v>378</v>
      </c>
      <c r="X3" s="852" t="s">
        <v>378</v>
      </c>
      <c r="Y3" s="852" t="s">
        <v>378</v>
      </c>
      <c r="Z3" s="852" t="s">
        <v>382</v>
      </c>
      <c r="AA3" s="852" t="s">
        <v>382</v>
      </c>
      <c r="AB3" s="852" t="s">
        <v>383</v>
      </c>
      <c r="AC3" s="852" t="s">
        <v>383</v>
      </c>
      <c r="AD3" s="852" t="s">
        <v>384</v>
      </c>
      <c r="AE3" s="852" t="s">
        <v>384</v>
      </c>
      <c r="AF3" s="852" t="s">
        <v>385</v>
      </c>
      <c r="AG3" s="852" t="s">
        <v>385</v>
      </c>
      <c r="AH3" s="852" t="s">
        <v>386</v>
      </c>
      <c r="AI3" s="852" t="s">
        <v>386</v>
      </c>
      <c r="AJ3" s="852" t="s">
        <v>387</v>
      </c>
      <c r="AK3" s="852" t="s">
        <v>387</v>
      </c>
      <c r="AL3" s="852" t="s">
        <v>388</v>
      </c>
      <c r="AM3" s="852" t="s">
        <v>388</v>
      </c>
      <c r="AN3" s="852" t="s">
        <v>389</v>
      </c>
      <c r="AO3" s="852" t="s">
        <v>389</v>
      </c>
      <c r="AP3" s="852" t="s">
        <v>390</v>
      </c>
      <c r="AQ3" s="852" t="s">
        <v>390</v>
      </c>
      <c r="AR3" s="852" t="s">
        <v>391</v>
      </c>
      <c r="AS3" s="852" t="s">
        <v>391</v>
      </c>
      <c r="AT3" s="852" t="s">
        <v>392</v>
      </c>
      <c r="AU3" s="852" t="s">
        <v>392</v>
      </c>
      <c r="AV3" s="852" t="s">
        <v>393</v>
      </c>
      <c r="AW3" s="852" t="s">
        <v>393</v>
      </c>
      <c r="AX3" s="852" t="s">
        <v>393</v>
      </c>
      <c r="AY3" s="852" t="s">
        <v>394</v>
      </c>
      <c r="AZ3" s="852" t="s">
        <v>394</v>
      </c>
      <c r="BA3" s="852" t="s">
        <v>395</v>
      </c>
      <c r="BB3" s="852" t="s">
        <v>395</v>
      </c>
      <c r="BC3" s="852" t="s">
        <v>395</v>
      </c>
      <c r="BD3" s="852" t="s">
        <v>395</v>
      </c>
      <c r="BE3" s="852" t="s">
        <v>395</v>
      </c>
      <c r="BF3" s="852" t="s">
        <v>396</v>
      </c>
      <c r="BG3" s="852" t="s">
        <v>396</v>
      </c>
      <c r="BH3" s="852" t="s">
        <v>397</v>
      </c>
      <c r="BI3" s="852" t="s">
        <v>397</v>
      </c>
      <c r="BJ3" s="852" t="s">
        <v>398</v>
      </c>
      <c r="BK3" s="852" t="s">
        <v>398</v>
      </c>
      <c r="BL3" s="852" t="s">
        <v>399</v>
      </c>
      <c r="BM3" s="852" t="s">
        <v>399</v>
      </c>
      <c r="BN3" s="852" t="s">
        <v>400</v>
      </c>
      <c r="BO3" s="852" t="s">
        <v>400</v>
      </c>
      <c r="BP3" s="852" t="s">
        <v>401</v>
      </c>
      <c r="BQ3" s="852" t="s">
        <v>401</v>
      </c>
      <c r="BR3" s="852" t="s">
        <v>402</v>
      </c>
      <c r="BS3" s="852" t="s">
        <v>402</v>
      </c>
      <c r="BT3" s="852" t="s">
        <v>403</v>
      </c>
      <c r="BU3" s="852" t="s">
        <v>403</v>
      </c>
      <c r="BV3" s="852" t="s">
        <v>403</v>
      </c>
      <c r="BW3" s="852" t="s">
        <v>403</v>
      </c>
      <c r="BX3" s="852" t="s">
        <v>403</v>
      </c>
      <c r="BY3" s="852" t="s">
        <v>404</v>
      </c>
      <c r="BZ3" s="852" t="s">
        <v>404</v>
      </c>
      <c r="CA3" s="852" t="s">
        <v>404</v>
      </c>
      <c r="CB3" s="852" t="s">
        <v>404</v>
      </c>
      <c r="CC3" s="852" t="s">
        <v>405</v>
      </c>
      <c r="CD3" s="852" t="s">
        <v>405</v>
      </c>
      <c r="CE3" s="852" t="s">
        <v>405</v>
      </c>
      <c r="CF3" s="852" t="s">
        <v>405</v>
      </c>
      <c r="CG3" s="852" t="s">
        <v>405</v>
      </c>
      <c r="CH3" s="852" t="s">
        <v>405</v>
      </c>
      <c r="CI3" s="852" t="s">
        <v>406</v>
      </c>
      <c r="CJ3" s="852" t="s">
        <v>406</v>
      </c>
      <c r="CK3" s="852" t="s">
        <v>407</v>
      </c>
      <c r="CL3" s="852" t="s">
        <v>407</v>
      </c>
      <c r="CM3" s="852" t="s">
        <v>407</v>
      </c>
      <c r="CN3" s="852" t="s">
        <v>408</v>
      </c>
      <c r="CO3" s="852" t="s">
        <v>408</v>
      </c>
      <c r="CP3" s="852" t="s">
        <v>409</v>
      </c>
      <c r="CQ3" s="852" t="s">
        <v>409</v>
      </c>
      <c r="CR3" s="852" t="s">
        <v>410</v>
      </c>
      <c r="CS3" s="852" t="s">
        <v>410</v>
      </c>
      <c r="CT3" s="852" t="s">
        <v>411</v>
      </c>
      <c r="CU3" s="852" t="s">
        <v>411</v>
      </c>
      <c r="CV3" s="852" t="s">
        <v>412</v>
      </c>
      <c r="CW3" s="852" t="s">
        <v>412</v>
      </c>
      <c r="CX3" s="852" t="s">
        <v>413</v>
      </c>
      <c r="CY3" s="852" t="s">
        <v>413</v>
      </c>
      <c r="CZ3" s="852" t="s">
        <v>414</v>
      </c>
      <c r="DA3" s="852" t="s">
        <v>414</v>
      </c>
      <c r="DB3" s="852" t="s">
        <v>415</v>
      </c>
      <c r="DC3" s="852" t="s">
        <v>415</v>
      </c>
      <c r="DD3" s="852" t="s">
        <v>416</v>
      </c>
      <c r="DE3" s="852" t="s">
        <v>416</v>
      </c>
      <c r="DF3" s="852" t="s">
        <v>417</v>
      </c>
      <c r="DG3" s="852" t="s">
        <v>417</v>
      </c>
      <c r="DH3" s="852" t="s">
        <v>418</v>
      </c>
      <c r="DI3" s="852" t="s">
        <v>418</v>
      </c>
      <c r="DJ3" s="852" t="s">
        <v>418</v>
      </c>
      <c r="DK3" s="852" t="s">
        <v>418</v>
      </c>
      <c r="DL3" s="852" t="s">
        <v>418</v>
      </c>
      <c r="DM3" s="852" t="s">
        <v>418</v>
      </c>
      <c r="DN3" s="852" t="s">
        <v>419</v>
      </c>
      <c r="DO3" s="852" t="s">
        <v>419</v>
      </c>
      <c r="DP3" s="852" t="s">
        <v>420</v>
      </c>
      <c r="DQ3" s="852" t="s">
        <v>420</v>
      </c>
      <c r="DR3" s="852" t="s">
        <v>420</v>
      </c>
      <c r="DS3" s="852" t="s">
        <v>420</v>
      </c>
      <c r="DT3" s="852" t="s">
        <v>420</v>
      </c>
      <c r="DU3" s="852" t="s">
        <v>420</v>
      </c>
      <c r="DV3" s="852" t="s">
        <v>420</v>
      </c>
      <c r="DW3" s="852" t="s">
        <v>420</v>
      </c>
      <c r="DX3" s="852" t="s">
        <v>420</v>
      </c>
      <c r="DY3" s="852" t="s">
        <v>420</v>
      </c>
      <c r="DZ3" s="852" t="s">
        <v>420</v>
      </c>
      <c r="EA3" s="852" t="s">
        <v>420</v>
      </c>
      <c r="EB3" s="852" t="s">
        <v>420</v>
      </c>
      <c r="EC3" s="852" t="s">
        <v>420</v>
      </c>
      <c r="ED3" s="852" t="s">
        <v>420</v>
      </c>
      <c r="EE3" s="852" t="s">
        <v>420</v>
      </c>
      <c r="EF3" s="852" t="s">
        <v>421</v>
      </c>
      <c r="EG3" s="852" t="s">
        <v>421</v>
      </c>
      <c r="EH3" s="852" t="s">
        <v>421</v>
      </c>
      <c r="EI3" s="852" t="s">
        <v>421</v>
      </c>
      <c r="EJ3" s="852" t="s">
        <v>421</v>
      </c>
      <c r="EK3" s="853" t="s">
        <v>421</v>
      </c>
      <c r="EL3" s="853" t="s">
        <v>421</v>
      </c>
      <c r="EM3" s="853" t="s">
        <v>421</v>
      </c>
      <c r="EN3" s="853" t="s">
        <v>421</v>
      </c>
      <c r="EO3" s="853" t="s">
        <v>421</v>
      </c>
      <c r="EP3" s="853" t="s">
        <v>421</v>
      </c>
      <c r="EQ3" s="853" t="s">
        <v>421</v>
      </c>
      <c r="ER3" s="852" t="s">
        <v>421</v>
      </c>
      <c r="ES3" s="852" t="s">
        <v>421</v>
      </c>
      <c r="ET3" s="852" t="s">
        <v>421</v>
      </c>
      <c r="EU3" s="852" t="s">
        <v>422</v>
      </c>
      <c r="EV3" s="852" t="s">
        <v>422</v>
      </c>
      <c r="EW3" s="852" t="s">
        <v>423</v>
      </c>
      <c r="EX3" s="852" t="s">
        <v>423</v>
      </c>
      <c r="EY3" s="852" t="s">
        <v>424</v>
      </c>
      <c r="EZ3" s="852" t="s">
        <v>424</v>
      </c>
      <c r="FA3" s="852" t="s">
        <v>425</v>
      </c>
      <c r="FB3" s="852" t="s">
        <v>425</v>
      </c>
      <c r="FC3" s="852" t="s">
        <v>426</v>
      </c>
      <c r="FD3" s="852" t="s">
        <v>426</v>
      </c>
      <c r="FE3" s="852" t="s">
        <v>427</v>
      </c>
      <c r="FF3" s="852" t="s">
        <v>427</v>
      </c>
      <c r="FG3" s="852" t="s">
        <v>427</v>
      </c>
      <c r="FH3" s="852" t="s">
        <v>427</v>
      </c>
      <c r="FI3" s="852" t="s">
        <v>428</v>
      </c>
      <c r="FJ3" s="852" t="s">
        <v>428</v>
      </c>
      <c r="FK3" s="852" t="s">
        <v>429</v>
      </c>
      <c r="FL3" s="852" t="s">
        <v>429</v>
      </c>
      <c r="FM3" s="852" t="s">
        <v>429</v>
      </c>
      <c r="FN3" s="852" t="s">
        <v>429</v>
      </c>
      <c r="FO3" s="852" t="s">
        <v>429</v>
      </c>
      <c r="FP3" s="852" t="s">
        <v>429</v>
      </c>
      <c r="FQ3" s="852" t="s">
        <v>429</v>
      </c>
      <c r="FR3" s="852" t="s">
        <v>429</v>
      </c>
      <c r="FS3" s="852" t="s">
        <v>430</v>
      </c>
      <c r="FT3" s="852" t="s">
        <v>430</v>
      </c>
      <c r="FU3" s="852" t="s">
        <v>431</v>
      </c>
      <c r="FV3" s="852" t="s">
        <v>431</v>
      </c>
      <c r="FW3" s="852" t="s">
        <v>432</v>
      </c>
      <c r="FX3" s="852" t="s">
        <v>432</v>
      </c>
      <c r="FY3" s="852" t="s">
        <v>433</v>
      </c>
      <c r="FZ3" s="852" t="s">
        <v>433</v>
      </c>
      <c r="GA3" s="852" t="s">
        <v>434</v>
      </c>
      <c r="GB3" s="852" t="s">
        <v>434</v>
      </c>
      <c r="GC3" s="852" t="s">
        <v>434</v>
      </c>
      <c r="GD3" s="852" t="s">
        <v>434</v>
      </c>
      <c r="GE3" s="852" t="s">
        <v>434</v>
      </c>
      <c r="GF3" s="852" t="s">
        <v>434</v>
      </c>
      <c r="GG3" s="852" t="s">
        <v>434</v>
      </c>
      <c r="GH3" s="852" t="s">
        <v>434</v>
      </c>
      <c r="GI3" s="852" t="s">
        <v>435</v>
      </c>
      <c r="GJ3" s="852" t="s">
        <v>435</v>
      </c>
      <c r="GK3" s="852" t="s">
        <v>436</v>
      </c>
      <c r="GL3" s="852" t="s">
        <v>436</v>
      </c>
      <c r="GM3" s="852" t="s">
        <v>437</v>
      </c>
      <c r="GN3" s="852" t="s">
        <v>437</v>
      </c>
      <c r="GO3" s="852" t="s">
        <v>438</v>
      </c>
      <c r="GP3" s="852" t="s">
        <v>438</v>
      </c>
      <c r="GQ3" s="852" t="s">
        <v>438</v>
      </c>
      <c r="GR3" s="852" t="s">
        <v>438</v>
      </c>
      <c r="GS3" s="852" t="s">
        <v>439</v>
      </c>
      <c r="GT3" s="852" t="s">
        <v>439</v>
      </c>
      <c r="GU3" s="852" t="s">
        <v>440</v>
      </c>
      <c r="GV3" s="852" t="s">
        <v>440</v>
      </c>
      <c r="GW3" s="852" t="s">
        <v>441</v>
      </c>
      <c r="GX3" s="852" t="s">
        <v>441</v>
      </c>
      <c r="GY3" s="852" t="s">
        <v>442</v>
      </c>
      <c r="GZ3" s="852" t="s">
        <v>442</v>
      </c>
      <c r="HA3" s="852" t="s">
        <v>443</v>
      </c>
      <c r="HB3" s="852" t="s">
        <v>443</v>
      </c>
      <c r="HC3" s="852" t="s">
        <v>444</v>
      </c>
      <c r="HD3" s="852" t="s">
        <v>444</v>
      </c>
      <c r="HE3" s="852" t="s">
        <v>445</v>
      </c>
      <c r="HF3" s="852" t="s">
        <v>445</v>
      </c>
      <c r="HG3" s="852" t="s">
        <v>445</v>
      </c>
      <c r="HH3" s="852" t="s">
        <v>446</v>
      </c>
      <c r="HI3" s="852" t="s">
        <v>446</v>
      </c>
      <c r="HJ3" s="852" t="s">
        <v>446</v>
      </c>
      <c r="HK3" s="852" t="s">
        <v>446</v>
      </c>
      <c r="HL3" s="852" t="s">
        <v>446</v>
      </c>
      <c r="HM3" s="852" t="s">
        <v>446</v>
      </c>
      <c r="HN3" s="852" t="s">
        <v>446</v>
      </c>
      <c r="HO3" s="852" t="s">
        <v>447</v>
      </c>
      <c r="HP3" s="852" t="s">
        <v>447</v>
      </c>
      <c r="HQ3" s="852" t="s">
        <v>447</v>
      </c>
      <c r="HR3" s="852" t="s">
        <v>447</v>
      </c>
      <c r="HS3" s="852" t="s">
        <v>447</v>
      </c>
      <c r="HT3" s="852" t="s">
        <v>447</v>
      </c>
      <c r="HU3" s="852" t="s">
        <v>447</v>
      </c>
      <c r="HV3" s="852" t="s">
        <v>447</v>
      </c>
      <c r="HW3" s="852" t="s">
        <v>447</v>
      </c>
      <c r="HX3" s="852" t="s">
        <v>447</v>
      </c>
      <c r="HY3" s="852" t="s">
        <v>447</v>
      </c>
      <c r="HZ3" s="852" t="s">
        <v>447</v>
      </c>
      <c r="IA3" s="852" t="s">
        <v>447</v>
      </c>
      <c r="IB3" s="852" t="s">
        <v>447</v>
      </c>
      <c r="IC3" s="852" t="s">
        <v>447</v>
      </c>
      <c r="ID3" s="852" t="s">
        <v>447</v>
      </c>
      <c r="IE3" s="852" t="s">
        <v>447</v>
      </c>
      <c r="IF3" s="852" t="s">
        <v>447</v>
      </c>
      <c r="IG3" s="852" t="s">
        <v>447</v>
      </c>
      <c r="IH3" s="852" t="s">
        <v>447</v>
      </c>
      <c r="II3" s="852" t="s">
        <v>447</v>
      </c>
      <c r="IJ3" s="852" t="s">
        <v>447</v>
      </c>
      <c r="IK3" s="852" t="s">
        <v>447</v>
      </c>
      <c r="IL3" s="852" t="s">
        <v>447</v>
      </c>
      <c r="IM3" s="852" t="s">
        <v>448</v>
      </c>
      <c r="IN3" s="852" t="s">
        <v>448</v>
      </c>
      <c r="IO3" s="852" t="s">
        <v>448</v>
      </c>
      <c r="IP3" s="852" t="s">
        <v>449</v>
      </c>
      <c r="IQ3" s="852" t="s">
        <v>449</v>
      </c>
      <c r="IR3" s="852" t="s">
        <v>450</v>
      </c>
      <c r="IS3" s="852" t="s">
        <v>450</v>
      </c>
      <c r="IT3" s="852" t="s">
        <v>450</v>
      </c>
      <c r="IU3" s="852" t="s">
        <v>450</v>
      </c>
      <c r="IV3" s="852" t="s">
        <v>450</v>
      </c>
      <c r="IW3" s="852" t="s">
        <v>450</v>
      </c>
      <c r="IX3" s="852" t="s">
        <v>450</v>
      </c>
      <c r="IY3" s="852" t="s">
        <v>450</v>
      </c>
      <c r="IZ3" s="852" t="s">
        <v>450</v>
      </c>
      <c r="JA3" s="852" t="s">
        <v>450</v>
      </c>
      <c r="JB3" s="852" t="s">
        <v>450</v>
      </c>
      <c r="JC3" s="852" t="s">
        <v>450</v>
      </c>
      <c r="JD3" s="852" t="s">
        <v>450</v>
      </c>
      <c r="JE3" s="852" t="s">
        <v>450</v>
      </c>
      <c r="JF3" s="852" t="s">
        <v>450</v>
      </c>
      <c r="JG3" s="852" t="s">
        <v>450</v>
      </c>
      <c r="JH3" s="852" t="s">
        <v>450</v>
      </c>
      <c r="JI3" s="852" t="s">
        <v>450</v>
      </c>
      <c r="JJ3" s="852" t="s">
        <v>450</v>
      </c>
      <c r="JK3" s="852" t="s">
        <v>450</v>
      </c>
      <c r="JL3" s="852" t="s">
        <v>450</v>
      </c>
      <c r="JM3" s="852" t="s">
        <v>450</v>
      </c>
      <c r="JN3" s="852" t="s">
        <v>450</v>
      </c>
      <c r="JO3" s="852" t="s">
        <v>450</v>
      </c>
      <c r="JP3" s="852" t="s">
        <v>450</v>
      </c>
      <c r="JQ3" s="852" t="s">
        <v>450</v>
      </c>
      <c r="JR3" s="852" t="s">
        <v>450</v>
      </c>
      <c r="JS3" s="852" t="s">
        <v>450</v>
      </c>
      <c r="JT3" s="852" t="s">
        <v>450</v>
      </c>
      <c r="JU3" s="852" t="s">
        <v>450</v>
      </c>
      <c r="JV3" s="852" t="s">
        <v>450</v>
      </c>
      <c r="JW3" s="852" t="s">
        <v>450</v>
      </c>
      <c r="JX3" s="852" t="s">
        <v>450</v>
      </c>
      <c r="JY3" s="852" t="s">
        <v>450</v>
      </c>
      <c r="JZ3" s="852" t="s">
        <v>450</v>
      </c>
      <c r="KA3" s="852" t="s">
        <v>450</v>
      </c>
      <c r="KB3" s="852" t="s">
        <v>450</v>
      </c>
      <c r="KC3" s="852" t="s">
        <v>450</v>
      </c>
      <c r="KD3" s="852" t="s">
        <v>450</v>
      </c>
      <c r="KE3" s="852" t="s">
        <v>450</v>
      </c>
      <c r="KF3" s="852" t="s">
        <v>450</v>
      </c>
      <c r="KG3" s="852" t="s">
        <v>450</v>
      </c>
      <c r="KH3" s="852" t="s">
        <v>450</v>
      </c>
      <c r="KI3" s="852" t="s">
        <v>450</v>
      </c>
      <c r="KJ3" s="852" t="s">
        <v>450</v>
      </c>
      <c r="KK3" s="852" t="s">
        <v>450</v>
      </c>
      <c r="KL3" s="852" t="s">
        <v>451</v>
      </c>
      <c r="KM3" s="852" t="s">
        <v>451</v>
      </c>
      <c r="KN3" s="852" t="s">
        <v>451</v>
      </c>
      <c r="KO3" s="852" t="s">
        <v>451</v>
      </c>
      <c r="KP3" s="852" t="s">
        <v>452</v>
      </c>
      <c r="KQ3" s="852" t="s">
        <v>452</v>
      </c>
      <c r="KR3" s="852" t="s">
        <v>453</v>
      </c>
      <c r="KS3" s="852" t="s">
        <v>453</v>
      </c>
      <c r="KT3" s="852" t="s">
        <v>454</v>
      </c>
      <c r="KU3" s="852" t="s">
        <v>454</v>
      </c>
      <c r="KV3" s="852" t="s">
        <v>455</v>
      </c>
      <c r="KW3" s="852" t="s">
        <v>455</v>
      </c>
      <c r="KX3" s="852" t="s">
        <v>455</v>
      </c>
      <c r="KY3" s="853" t="s">
        <v>455</v>
      </c>
      <c r="KZ3" s="852" t="s">
        <v>455</v>
      </c>
      <c r="LA3" s="852" t="s">
        <v>455</v>
      </c>
      <c r="LB3" s="852" t="s">
        <v>455</v>
      </c>
      <c r="LC3" s="852" t="s">
        <v>455</v>
      </c>
      <c r="LD3" s="852" t="s">
        <v>455</v>
      </c>
      <c r="LE3" s="852" t="s">
        <v>455</v>
      </c>
      <c r="LF3" s="852" t="s">
        <v>455</v>
      </c>
      <c r="LG3" s="852" t="s">
        <v>455</v>
      </c>
      <c r="LH3" s="852" t="s">
        <v>455</v>
      </c>
      <c r="LI3" s="852" t="s">
        <v>455</v>
      </c>
      <c r="LJ3" s="852" t="s">
        <v>455</v>
      </c>
      <c r="LK3" s="852" t="s">
        <v>455</v>
      </c>
      <c r="LL3" s="852" t="s">
        <v>455</v>
      </c>
      <c r="LM3" s="852" t="s">
        <v>455</v>
      </c>
      <c r="LN3" s="852" t="s">
        <v>455</v>
      </c>
      <c r="LO3" s="852" t="s">
        <v>455</v>
      </c>
      <c r="LP3" s="852" t="s">
        <v>455</v>
      </c>
      <c r="LQ3" s="852" t="s">
        <v>455</v>
      </c>
      <c r="LR3" s="852" t="s">
        <v>455</v>
      </c>
      <c r="LS3" s="852" t="s">
        <v>455</v>
      </c>
      <c r="LT3" s="852" t="s">
        <v>455</v>
      </c>
      <c r="LU3" s="852" t="s">
        <v>455</v>
      </c>
      <c r="LV3" s="852" t="s">
        <v>455</v>
      </c>
      <c r="LW3" s="852" t="s">
        <v>455</v>
      </c>
      <c r="LX3" s="852" t="s">
        <v>455</v>
      </c>
      <c r="LY3" s="852" t="s">
        <v>455</v>
      </c>
      <c r="LZ3" s="333" t="s">
        <v>455</v>
      </c>
      <c r="MA3" s="333" t="s">
        <v>456</v>
      </c>
      <c r="MB3" s="333" t="s">
        <v>456</v>
      </c>
      <c r="MC3" s="333" t="s">
        <v>456</v>
      </c>
      <c r="MD3" s="333" t="s">
        <v>456</v>
      </c>
      <c r="ME3" s="333" t="s">
        <v>456</v>
      </c>
      <c r="MF3" s="333" t="s">
        <v>456</v>
      </c>
      <c r="MG3" s="333" t="s">
        <v>456</v>
      </c>
      <c r="MH3" s="333" t="s">
        <v>456</v>
      </c>
      <c r="MI3" s="333" t="s">
        <v>456</v>
      </c>
      <c r="MJ3" s="333" t="s">
        <v>456</v>
      </c>
    </row>
    <row r="4" spans="1:348" s="334" customFormat="1" ht="63.75" thickBot="1" x14ac:dyDescent="0.3">
      <c r="A4" s="1585"/>
      <c r="B4" s="1618"/>
      <c r="C4" s="335" t="s">
        <v>5317</v>
      </c>
      <c r="D4" s="336" t="s">
        <v>2550</v>
      </c>
      <c r="E4" s="834" t="s">
        <v>48</v>
      </c>
      <c r="F4" s="852"/>
      <c r="G4" s="852"/>
      <c r="H4" s="854"/>
      <c r="I4" s="854"/>
      <c r="J4" s="854"/>
      <c r="K4" s="854"/>
      <c r="L4" s="854"/>
      <c r="M4" s="854"/>
      <c r="N4" s="852" t="s">
        <v>2640</v>
      </c>
      <c r="O4" s="854"/>
      <c r="P4" s="854"/>
      <c r="Q4" s="854"/>
      <c r="R4" s="854"/>
      <c r="S4" s="854"/>
      <c r="T4" s="854"/>
      <c r="U4" s="854"/>
      <c r="V4" s="855" t="s">
        <v>2661</v>
      </c>
      <c r="W4" s="855" t="s">
        <v>2680</v>
      </c>
      <c r="X4" s="856" t="s">
        <v>2694</v>
      </c>
      <c r="Y4" s="855" t="s">
        <v>2705</v>
      </c>
      <c r="Z4" s="855" t="s">
        <v>2715</v>
      </c>
      <c r="AA4" s="854"/>
      <c r="AB4" s="854"/>
      <c r="AC4" s="854"/>
      <c r="AD4" s="854"/>
      <c r="AE4" s="854"/>
      <c r="AF4" s="854"/>
      <c r="AG4" s="854"/>
      <c r="AH4" s="854"/>
      <c r="AI4" s="854"/>
      <c r="AJ4" s="854"/>
      <c r="AK4" s="854"/>
      <c r="AL4" s="854"/>
      <c r="AM4" s="854"/>
      <c r="AN4" s="854"/>
      <c r="AO4" s="854"/>
      <c r="AP4" s="854"/>
      <c r="AQ4" s="854"/>
      <c r="AR4" s="854"/>
      <c r="AS4" s="854"/>
      <c r="AT4" s="854"/>
      <c r="AU4" s="854"/>
      <c r="AV4" s="855" t="s">
        <v>2727</v>
      </c>
      <c r="AW4" s="852" t="s">
        <v>2739</v>
      </c>
      <c r="AX4" s="854"/>
      <c r="AY4" s="854"/>
      <c r="AZ4" s="854"/>
      <c r="BA4" s="852" t="s">
        <v>2755</v>
      </c>
      <c r="BB4" s="855" t="s">
        <v>2767</v>
      </c>
      <c r="BC4" s="855" t="s">
        <v>2784</v>
      </c>
      <c r="BD4" s="855" t="s">
        <v>2799</v>
      </c>
      <c r="BE4" s="854"/>
      <c r="BF4" s="854"/>
      <c r="BG4" s="854"/>
      <c r="BH4" s="854"/>
      <c r="BI4" s="854"/>
      <c r="BJ4" s="854"/>
      <c r="BK4" s="854"/>
      <c r="BL4" s="854"/>
      <c r="BM4" s="854"/>
      <c r="BN4" s="854"/>
      <c r="BO4" s="854"/>
      <c r="BP4" s="854"/>
      <c r="BQ4" s="854"/>
      <c r="BR4" s="854"/>
      <c r="BS4" s="854"/>
      <c r="BT4" s="855" t="s">
        <v>2813</v>
      </c>
      <c r="BU4" s="855" t="s">
        <v>2829</v>
      </c>
      <c r="BV4" s="855" t="s">
        <v>2837</v>
      </c>
      <c r="BW4" s="855" t="s">
        <v>2850</v>
      </c>
      <c r="BX4" s="854"/>
      <c r="BY4" s="854"/>
      <c r="BZ4" s="854"/>
      <c r="CA4" s="854"/>
      <c r="CB4" s="854"/>
      <c r="CC4" s="857" t="s">
        <v>2863</v>
      </c>
      <c r="CD4" s="854"/>
      <c r="CE4" s="854"/>
      <c r="CF4" s="854"/>
      <c r="CG4" s="854"/>
      <c r="CH4" s="854"/>
      <c r="CI4" s="854"/>
      <c r="CJ4" s="854"/>
      <c r="CK4" s="855" t="s">
        <v>2872</v>
      </c>
      <c r="CL4" s="855" t="s">
        <v>2872</v>
      </c>
      <c r="CM4" s="854"/>
      <c r="CN4" s="854"/>
      <c r="CO4" s="854"/>
      <c r="CP4" s="854"/>
      <c r="CQ4" s="854"/>
      <c r="CR4" s="854"/>
      <c r="CS4" s="854"/>
      <c r="CT4" s="854"/>
      <c r="CU4" s="854"/>
      <c r="CV4" s="854"/>
      <c r="CW4" s="854"/>
      <c r="CX4" s="854"/>
      <c r="CY4" s="854"/>
      <c r="CZ4" s="854"/>
      <c r="DA4" s="854"/>
      <c r="DB4" s="854"/>
      <c r="DC4" s="854"/>
      <c r="DD4" s="854"/>
      <c r="DE4" s="854"/>
      <c r="DF4" s="855" t="s">
        <v>2904</v>
      </c>
      <c r="DG4" s="854"/>
      <c r="DH4" s="855" t="s">
        <v>2920</v>
      </c>
      <c r="DI4" s="855" t="s">
        <v>2934</v>
      </c>
      <c r="DJ4" s="855" t="s">
        <v>2942</v>
      </c>
      <c r="DK4" s="855" t="s">
        <v>2951</v>
      </c>
      <c r="DL4" s="855" t="s">
        <v>2959</v>
      </c>
      <c r="DM4" s="855" t="s">
        <v>2970</v>
      </c>
      <c r="DN4" s="854"/>
      <c r="DO4" s="854"/>
      <c r="DP4" s="855" t="s">
        <v>2981</v>
      </c>
      <c r="DQ4" s="854"/>
      <c r="DR4" s="854"/>
      <c r="DS4" s="854"/>
      <c r="DT4" s="854"/>
      <c r="DU4" s="854"/>
      <c r="DV4" s="854"/>
      <c r="DW4" s="854"/>
      <c r="DX4" s="854"/>
      <c r="DY4" s="854"/>
      <c r="DZ4" s="854"/>
      <c r="EA4" s="854"/>
      <c r="EB4" s="854"/>
      <c r="EC4" s="854"/>
      <c r="ED4" s="854"/>
      <c r="EE4" s="854"/>
      <c r="EF4" s="855" t="s">
        <v>2988</v>
      </c>
      <c r="EG4" s="855" t="s">
        <v>3000</v>
      </c>
      <c r="EH4" s="855" t="s">
        <v>3020</v>
      </c>
      <c r="EI4" s="855" t="s">
        <v>3037</v>
      </c>
      <c r="EJ4" s="858" t="s">
        <v>3052</v>
      </c>
      <c r="EK4" s="858" t="s">
        <v>3068</v>
      </c>
      <c r="EL4" s="858" t="s">
        <v>3081</v>
      </c>
      <c r="EM4" s="853" t="s">
        <v>3092</v>
      </c>
      <c r="EN4" s="858" t="s">
        <v>3109</v>
      </c>
      <c r="EO4" s="858" t="s">
        <v>3123</v>
      </c>
      <c r="EP4" s="853" t="s">
        <v>3129</v>
      </c>
      <c r="EQ4" s="858" t="s">
        <v>3140</v>
      </c>
      <c r="ER4" s="858" t="s">
        <v>3154</v>
      </c>
      <c r="ES4" s="858" t="s">
        <v>3169</v>
      </c>
      <c r="ET4" s="853" t="s">
        <v>3183</v>
      </c>
      <c r="EU4" s="854"/>
      <c r="EV4" s="854"/>
      <c r="EW4" s="855" t="s">
        <v>3200</v>
      </c>
      <c r="EX4" s="854"/>
      <c r="EY4" s="854"/>
      <c r="EZ4" s="854"/>
      <c r="FA4" s="854"/>
      <c r="FB4" s="854"/>
      <c r="FC4" s="854"/>
      <c r="FD4" s="854"/>
      <c r="FE4" s="855" t="s">
        <v>3216</v>
      </c>
      <c r="FF4" s="854"/>
      <c r="FG4" s="854"/>
      <c r="FH4" s="854"/>
      <c r="FI4" s="854"/>
      <c r="FJ4" s="854"/>
      <c r="FK4" s="852" t="s">
        <v>3223</v>
      </c>
      <c r="FL4" s="852" t="s">
        <v>3244</v>
      </c>
      <c r="FM4" s="855" t="s">
        <v>3263</v>
      </c>
      <c r="FN4" s="855" t="s">
        <v>3285</v>
      </c>
      <c r="FO4" s="854" t="s">
        <v>3290</v>
      </c>
      <c r="FP4" s="852" t="s">
        <v>3303</v>
      </c>
      <c r="FQ4" s="852" t="s">
        <v>3314</v>
      </c>
      <c r="FR4" s="854"/>
      <c r="FS4" s="854"/>
      <c r="FT4" s="854"/>
      <c r="FU4" s="854"/>
      <c r="FV4" s="854"/>
      <c r="FW4" s="854"/>
      <c r="FX4" s="854"/>
      <c r="FY4" s="854"/>
      <c r="FZ4" s="854"/>
      <c r="GA4" s="855" t="s">
        <v>3329</v>
      </c>
      <c r="GB4" s="855" t="s">
        <v>3344</v>
      </c>
      <c r="GC4" s="855" t="s">
        <v>3354</v>
      </c>
      <c r="GD4" s="855" t="s">
        <v>3371</v>
      </c>
      <c r="GE4" s="855" t="s">
        <v>3389</v>
      </c>
      <c r="GF4" s="855" t="s">
        <v>3399</v>
      </c>
      <c r="GG4" s="855" t="s">
        <v>3404</v>
      </c>
      <c r="GH4" s="854"/>
      <c r="GI4" s="854"/>
      <c r="GJ4" s="854"/>
      <c r="GK4" s="854"/>
      <c r="GL4" s="854"/>
      <c r="GM4" s="854"/>
      <c r="GN4" s="854"/>
      <c r="GO4" s="859" t="s">
        <v>3423</v>
      </c>
      <c r="GP4" s="856" t="s">
        <v>3434</v>
      </c>
      <c r="GQ4" s="860" t="s">
        <v>3451</v>
      </c>
      <c r="GR4" s="854"/>
      <c r="GS4" s="854"/>
      <c r="GT4" s="854"/>
      <c r="GU4" s="854"/>
      <c r="GV4" s="854"/>
      <c r="GW4" s="854"/>
      <c r="GX4" s="854"/>
      <c r="GY4" s="854"/>
      <c r="GZ4" s="854"/>
      <c r="HA4" s="854"/>
      <c r="HB4" s="854"/>
      <c r="HC4" s="854"/>
      <c r="HD4" s="854"/>
      <c r="HE4" s="855" t="s">
        <v>3462</v>
      </c>
      <c r="HF4" s="852" t="s">
        <v>3481</v>
      </c>
      <c r="HG4" s="854"/>
      <c r="HH4" s="853" t="s">
        <v>3491</v>
      </c>
      <c r="HI4" s="855" t="s">
        <v>3508</v>
      </c>
      <c r="HJ4" s="855" t="s">
        <v>3526</v>
      </c>
      <c r="HK4" s="858" t="s">
        <v>3539</v>
      </c>
      <c r="HL4" s="854"/>
      <c r="HM4" s="854"/>
      <c r="HN4" s="854"/>
      <c r="HO4" s="861" t="s">
        <v>3549</v>
      </c>
      <c r="HP4" s="852" t="s">
        <v>3561</v>
      </c>
      <c r="HQ4" s="852" t="s">
        <v>3570</v>
      </c>
      <c r="HR4" s="862" t="s">
        <v>3581</v>
      </c>
      <c r="HS4" s="852" t="s">
        <v>3591</v>
      </c>
      <c r="HT4" s="852" t="s">
        <v>3599</v>
      </c>
      <c r="HU4" s="852" t="s">
        <v>3603</v>
      </c>
      <c r="HV4" s="863" t="s">
        <v>3607</v>
      </c>
      <c r="HW4" s="852" t="s">
        <v>3618</v>
      </c>
      <c r="HX4" s="855" t="s">
        <v>3623</v>
      </c>
      <c r="HY4" s="855" t="s">
        <v>3636</v>
      </c>
      <c r="HZ4" s="855" t="s">
        <v>3644</v>
      </c>
      <c r="IA4" s="855" t="s">
        <v>3654</v>
      </c>
      <c r="IB4" s="855" t="s">
        <v>3664</v>
      </c>
      <c r="IC4" s="852" t="s">
        <v>3678</v>
      </c>
      <c r="ID4" s="855" t="s">
        <v>3689</v>
      </c>
      <c r="IE4" s="855" t="s">
        <v>3702</v>
      </c>
      <c r="IF4" s="852" t="s">
        <v>3714</v>
      </c>
      <c r="IG4" s="862" t="s">
        <v>3718</v>
      </c>
      <c r="IH4" s="852" t="s">
        <v>3731</v>
      </c>
      <c r="II4" s="852" t="s">
        <v>3743</v>
      </c>
      <c r="IJ4" s="857" t="s">
        <v>3758</v>
      </c>
      <c r="IK4" s="852" t="s">
        <v>3766</v>
      </c>
      <c r="IL4" s="855" t="s">
        <v>3770</v>
      </c>
      <c r="IM4" s="855" t="s">
        <v>3786</v>
      </c>
      <c r="IN4" s="855" t="s">
        <v>3800</v>
      </c>
      <c r="IO4" s="854"/>
      <c r="IP4" s="854"/>
      <c r="IQ4" s="854"/>
      <c r="IR4" s="862" t="s">
        <v>3807</v>
      </c>
      <c r="IS4" s="855" t="s">
        <v>3823</v>
      </c>
      <c r="IT4" s="855" t="s">
        <v>3840</v>
      </c>
      <c r="IU4" s="852" t="s">
        <v>3862</v>
      </c>
      <c r="IV4" s="855" t="s">
        <v>3882</v>
      </c>
      <c r="IW4" s="855" t="s">
        <v>3905</v>
      </c>
      <c r="IX4" s="858" t="s">
        <v>3216</v>
      </c>
      <c r="IY4" s="855" t="s">
        <v>3939</v>
      </c>
      <c r="IZ4" s="855" t="s">
        <v>3951</v>
      </c>
      <c r="JA4" s="855" t="s">
        <v>3964</v>
      </c>
      <c r="JB4" s="852" t="s">
        <v>3978</v>
      </c>
      <c r="JC4" s="855" t="s">
        <v>3994</v>
      </c>
      <c r="JD4" s="855" t="s">
        <v>4006</v>
      </c>
      <c r="JE4" s="852" t="s">
        <v>4022</v>
      </c>
      <c r="JF4" s="858" t="s">
        <v>4044</v>
      </c>
      <c r="JG4" s="852" t="s">
        <v>4063</v>
      </c>
      <c r="JH4" s="855" t="s">
        <v>4078</v>
      </c>
      <c r="JI4" s="855" t="s">
        <v>4090</v>
      </c>
      <c r="JJ4" s="855" t="s">
        <v>4116</v>
      </c>
      <c r="JK4" s="855" t="s">
        <v>4131</v>
      </c>
      <c r="JL4" s="855" t="s">
        <v>4140</v>
      </c>
      <c r="JM4" s="855" t="s">
        <v>4149</v>
      </c>
      <c r="JN4" s="855" t="s">
        <v>4159</v>
      </c>
      <c r="JO4" s="855" t="s">
        <v>4164</v>
      </c>
      <c r="JP4" s="855" t="s">
        <v>4168</v>
      </c>
      <c r="JQ4" s="858" t="s">
        <v>4176</v>
      </c>
      <c r="JR4" s="855" t="s">
        <v>4184</v>
      </c>
      <c r="JS4" s="855" t="s">
        <v>4191</v>
      </c>
      <c r="JT4" s="855" t="s">
        <v>4201</v>
      </c>
      <c r="JU4" s="855" t="s">
        <v>4214</v>
      </c>
      <c r="JV4" s="855" t="s">
        <v>4222</v>
      </c>
      <c r="JW4" s="855" t="s">
        <v>4229</v>
      </c>
      <c r="JX4" s="855" t="s">
        <v>4240</v>
      </c>
      <c r="JY4" s="855" t="s">
        <v>4253</v>
      </c>
      <c r="JZ4" s="855" t="s">
        <v>4263</v>
      </c>
      <c r="KA4" s="855" t="s">
        <v>4269</v>
      </c>
      <c r="KB4" s="856" t="s">
        <v>4281</v>
      </c>
      <c r="KC4" s="855" t="s">
        <v>3823</v>
      </c>
      <c r="KD4" s="855" t="s">
        <v>3823</v>
      </c>
      <c r="KE4" s="862" t="s">
        <v>4309</v>
      </c>
      <c r="KF4" s="862" t="s">
        <v>4318</v>
      </c>
      <c r="KG4" s="862" t="s">
        <v>4327</v>
      </c>
      <c r="KH4" s="862" t="s">
        <v>4334</v>
      </c>
      <c r="KI4" s="862" t="s">
        <v>4341</v>
      </c>
      <c r="KJ4" s="862" t="s">
        <v>4347</v>
      </c>
      <c r="KK4" s="862" t="s">
        <v>4355</v>
      </c>
      <c r="KL4" s="855" t="s">
        <v>4362</v>
      </c>
      <c r="KM4" s="854"/>
      <c r="KN4" s="854"/>
      <c r="KO4" s="854"/>
      <c r="KP4" s="854"/>
      <c r="KQ4" s="854"/>
      <c r="KR4" s="852" t="s">
        <v>4378</v>
      </c>
      <c r="KS4" s="854"/>
      <c r="KT4" s="855" t="s">
        <v>4389</v>
      </c>
      <c r="KU4" s="854"/>
      <c r="KV4" s="855" t="s">
        <v>4408</v>
      </c>
      <c r="KW4" s="855" t="s">
        <v>4430</v>
      </c>
      <c r="KX4" s="852" t="s">
        <v>4454</v>
      </c>
      <c r="KY4" s="858" t="s">
        <v>4474</v>
      </c>
      <c r="KZ4" s="855" t="s">
        <v>4495</v>
      </c>
      <c r="LA4" s="855" t="s">
        <v>4517</v>
      </c>
      <c r="LB4" s="855" t="s">
        <v>4538</v>
      </c>
      <c r="LC4" s="855" t="s">
        <v>4554</v>
      </c>
      <c r="LD4" s="855" t="s">
        <v>4556</v>
      </c>
      <c r="LE4" s="855" t="s">
        <v>4564</v>
      </c>
      <c r="LF4" s="858" t="s">
        <v>4571</v>
      </c>
      <c r="LG4" s="858" t="s">
        <v>4594</v>
      </c>
      <c r="LH4" s="858" t="s">
        <v>4606</v>
      </c>
      <c r="LI4" s="858" t="s">
        <v>4618</v>
      </c>
      <c r="LJ4" s="858" t="s">
        <v>4628</v>
      </c>
      <c r="LK4" s="858" t="s">
        <v>4639</v>
      </c>
      <c r="LL4" s="858" t="s">
        <v>4647</v>
      </c>
      <c r="LM4" s="858" t="s">
        <v>4656</v>
      </c>
      <c r="LN4" s="858" t="s">
        <v>4667</v>
      </c>
      <c r="LO4" s="858" t="s">
        <v>4679</v>
      </c>
      <c r="LP4" s="858" t="s">
        <v>4688</v>
      </c>
      <c r="LQ4" s="858" t="s">
        <v>4709</v>
      </c>
      <c r="LR4" s="853" t="s">
        <v>4728</v>
      </c>
      <c r="LS4" s="853" t="s">
        <v>4745</v>
      </c>
      <c r="LT4" s="853" t="s">
        <v>4757</v>
      </c>
      <c r="LU4" s="853" t="s">
        <v>4765</v>
      </c>
      <c r="LV4" s="853" t="s">
        <v>4778</v>
      </c>
      <c r="LW4" s="853" t="s">
        <v>4792</v>
      </c>
      <c r="LX4" s="853" t="s">
        <v>4804</v>
      </c>
      <c r="LY4" s="853" t="s">
        <v>4812</v>
      </c>
    </row>
    <row r="5" spans="1:348" ht="409.5" x14ac:dyDescent="0.25">
      <c r="A5" s="1583" t="s">
        <v>1</v>
      </c>
      <c r="B5" s="1586" t="s">
        <v>5318</v>
      </c>
      <c r="C5" s="331" t="s">
        <v>71</v>
      </c>
      <c r="D5" s="332" t="s">
        <v>5319</v>
      </c>
      <c r="E5" s="833" t="s">
        <v>48</v>
      </c>
      <c r="F5" s="863"/>
      <c r="G5" s="863"/>
      <c r="H5" s="864"/>
      <c r="I5" s="864"/>
      <c r="J5" s="864"/>
      <c r="K5" s="864"/>
      <c r="L5" s="864"/>
      <c r="M5" s="864"/>
      <c r="N5" s="852" t="s">
        <v>2641</v>
      </c>
      <c r="O5" s="864"/>
      <c r="P5" s="864"/>
      <c r="Q5" s="864"/>
      <c r="R5" s="864"/>
      <c r="S5" s="864"/>
      <c r="T5" s="864"/>
      <c r="U5" s="864"/>
      <c r="V5" s="855" t="s">
        <v>2662</v>
      </c>
      <c r="W5" s="855" t="s">
        <v>2681</v>
      </c>
      <c r="X5" s="856" t="s">
        <v>2662</v>
      </c>
      <c r="Y5" s="855" t="s">
        <v>2681</v>
      </c>
      <c r="Z5" s="855" t="s">
        <v>2716</v>
      </c>
      <c r="AA5" s="864"/>
      <c r="AB5" s="864"/>
      <c r="AC5" s="864"/>
      <c r="AD5" s="864"/>
      <c r="AE5" s="864"/>
      <c r="AF5" s="864"/>
      <c r="AG5" s="864"/>
      <c r="AH5" s="864"/>
      <c r="AI5" s="864"/>
      <c r="AJ5" s="864"/>
      <c r="AK5" s="864"/>
      <c r="AL5" s="864"/>
      <c r="AM5" s="864"/>
      <c r="AN5" s="864"/>
      <c r="AO5" s="864"/>
      <c r="AP5" s="864"/>
      <c r="AQ5" s="864"/>
      <c r="AR5" s="864"/>
      <c r="AS5" s="864"/>
      <c r="AT5" s="864"/>
      <c r="AU5" s="864"/>
      <c r="AV5" s="855" t="s">
        <v>2728</v>
      </c>
      <c r="AW5" s="852" t="s">
        <v>2740</v>
      </c>
      <c r="AX5" s="864"/>
      <c r="AY5" s="864"/>
      <c r="AZ5" s="864"/>
      <c r="BA5" s="852" t="s">
        <v>2756</v>
      </c>
      <c r="BB5" s="855" t="s">
        <v>2768</v>
      </c>
      <c r="BC5" s="855" t="s">
        <v>2785</v>
      </c>
      <c r="BD5" s="855" t="s">
        <v>2800</v>
      </c>
      <c r="BE5" s="864"/>
      <c r="BF5" s="864"/>
      <c r="BG5" s="864"/>
      <c r="BH5" s="864"/>
      <c r="BI5" s="864"/>
      <c r="BJ5" s="864"/>
      <c r="BK5" s="864"/>
      <c r="BL5" s="864"/>
      <c r="BM5" s="864"/>
      <c r="BN5" s="864"/>
      <c r="BO5" s="864"/>
      <c r="BP5" s="864"/>
      <c r="BQ5" s="864"/>
      <c r="BR5" s="864"/>
      <c r="BS5" s="864"/>
      <c r="BT5" s="855" t="s">
        <v>2814</v>
      </c>
      <c r="BU5" s="852" t="s">
        <v>2830</v>
      </c>
      <c r="BV5" s="855" t="s">
        <v>2838</v>
      </c>
      <c r="BW5" s="855" t="s">
        <v>2851</v>
      </c>
      <c r="BX5" s="864"/>
      <c r="BY5" s="864"/>
      <c r="BZ5" s="864"/>
      <c r="CA5" s="864"/>
      <c r="CB5" s="864"/>
      <c r="CC5" s="862"/>
      <c r="CD5" s="864"/>
      <c r="CE5" s="864"/>
      <c r="CF5" s="864"/>
      <c r="CG5" s="864"/>
      <c r="CH5" s="864"/>
      <c r="CI5" s="864"/>
      <c r="CJ5" s="864"/>
      <c r="CK5" s="855" t="s">
        <v>2873</v>
      </c>
      <c r="CL5" s="855" t="s">
        <v>2892</v>
      </c>
      <c r="CM5" s="864"/>
      <c r="CN5" s="864"/>
      <c r="CO5" s="864"/>
      <c r="CP5" s="864"/>
      <c r="CQ5" s="864"/>
      <c r="CR5" s="864"/>
      <c r="CS5" s="864"/>
      <c r="CT5" s="864"/>
      <c r="CU5" s="864"/>
      <c r="CV5" s="864"/>
      <c r="CW5" s="864"/>
      <c r="CX5" s="864"/>
      <c r="CY5" s="864"/>
      <c r="CZ5" s="864"/>
      <c r="DA5" s="864"/>
      <c r="DB5" s="864"/>
      <c r="DC5" s="864"/>
      <c r="DD5" s="864"/>
      <c r="DE5" s="864"/>
      <c r="DF5" s="855" t="s">
        <v>2905</v>
      </c>
      <c r="DG5" s="864"/>
      <c r="DH5" s="855" t="s">
        <v>2921</v>
      </c>
      <c r="DI5" s="855" t="s">
        <v>2935</v>
      </c>
      <c r="DJ5" s="855" t="s">
        <v>2943</v>
      </c>
      <c r="DK5" s="855" t="s">
        <v>2952</v>
      </c>
      <c r="DL5" s="855" t="s">
        <v>2935</v>
      </c>
      <c r="DM5" s="855" t="s">
        <v>2971</v>
      </c>
      <c r="DN5" s="864"/>
      <c r="DO5" s="864"/>
      <c r="DP5" s="855" t="s">
        <v>2982</v>
      </c>
      <c r="DQ5" s="864"/>
      <c r="DR5" s="864"/>
      <c r="DS5" s="864"/>
      <c r="DT5" s="864"/>
      <c r="DU5" s="864"/>
      <c r="DV5" s="864"/>
      <c r="DW5" s="864"/>
      <c r="DX5" s="864"/>
      <c r="DY5" s="864"/>
      <c r="DZ5" s="864"/>
      <c r="EA5" s="864"/>
      <c r="EB5" s="864"/>
      <c r="EC5" s="864"/>
      <c r="ED5" s="864"/>
      <c r="EE5" s="864"/>
      <c r="EF5" s="855" t="s">
        <v>2989</v>
      </c>
      <c r="EG5" s="855" t="s">
        <v>3001</v>
      </c>
      <c r="EH5" s="855" t="s">
        <v>1316</v>
      </c>
      <c r="EI5" s="855" t="s">
        <v>3038</v>
      </c>
      <c r="EJ5" s="858" t="s">
        <v>3053</v>
      </c>
      <c r="EK5" s="858" t="s">
        <v>3069</v>
      </c>
      <c r="EL5" s="858" t="s">
        <v>694</v>
      </c>
      <c r="EM5" s="853" t="s">
        <v>694</v>
      </c>
      <c r="EN5" s="858" t="s">
        <v>569</v>
      </c>
      <c r="EO5" s="858" t="s">
        <v>3082</v>
      </c>
      <c r="EP5" s="853" t="s">
        <v>1316</v>
      </c>
      <c r="EQ5" s="858" t="s">
        <v>694</v>
      </c>
      <c r="ER5" s="858" t="s">
        <v>3155</v>
      </c>
      <c r="ES5" s="858" t="s">
        <v>1316</v>
      </c>
      <c r="ET5" s="853" t="s">
        <v>694</v>
      </c>
      <c r="EU5" s="864"/>
      <c r="EV5" s="864"/>
      <c r="EW5" s="855" t="s">
        <v>3201</v>
      </c>
      <c r="EX5" s="864"/>
      <c r="EY5" s="864"/>
      <c r="EZ5" s="864"/>
      <c r="FA5" s="864"/>
      <c r="FB5" s="864"/>
      <c r="FC5" s="864"/>
      <c r="FD5" s="864"/>
      <c r="FE5" s="855" t="s">
        <v>3217</v>
      </c>
      <c r="FF5" s="864"/>
      <c r="FG5" s="864"/>
      <c r="FH5" s="864"/>
      <c r="FI5" s="864"/>
      <c r="FJ5" s="864"/>
      <c r="FK5" s="852" t="s">
        <v>3224</v>
      </c>
      <c r="FL5" s="852" t="s">
        <v>3245</v>
      </c>
      <c r="FM5" s="855" t="s">
        <v>3264</v>
      </c>
      <c r="FN5" s="855" t="s">
        <v>3286</v>
      </c>
      <c r="FO5" s="855" t="s">
        <v>3291</v>
      </c>
      <c r="FP5" s="852" t="s">
        <v>3304</v>
      </c>
      <c r="FQ5" s="852" t="s">
        <v>3315</v>
      </c>
      <c r="FR5" s="864"/>
      <c r="FS5" s="864"/>
      <c r="FT5" s="864"/>
      <c r="FU5" s="864"/>
      <c r="FV5" s="864"/>
      <c r="FW5" s="864"/>
      <c r="FX5" s="864"/>
      <c r="FY5" s="864"/>
      <c r="FZ5" s="864"/>
      <c r="GA5" s="855" t="s">
        <v>3330</v>
      </c>
      <c r="GB5" s="855" t="s">
        <v>3345</v>
      </c>
      <c r="GC5" s="855"/>
      <c r="GD5" s="855" t="s">
        <v>3372</v>
      </c>
      <c r="GE5" s="855" t="s">
        <v>3390</v>
      </c>
      <c r="GF5" s="855" t="s">
        <v>3400</v>
      </c>
      <c r="GG5" s="855" t="s">
        <v>3405</v>
      </c>
      <c r="GH5" s="864"/>
      <c r="GI5" s="864"/>
      <c r="GJ5" s="864"/>
      <c r="GK5" s="864"/>
      <c r="GL5" s="864"/>
      <c r="GM5" s="864"/>
      <c r="GN5" s="864"/>
      <c r="GO5" s="859" t="s">
        <v>3424</v>
      </c>
      <c r="GP5" s="856" t="s">
        <v>3435</v>
      </c>
      <c r="GQ5" s="860" t="s">
        <v>3452</v>
      </c>
      <c r="GR5" s="864"/>
      <c r="GS5" s="864"/>
      <c r="GT5" s="864"/>
      <c r="GU5" s="864"/>
      <c r="GV5" s="864"/>
      <c r="GW5" s="864"/>
      <c r="GX5" s="864"/>
      <c r="GY5" s="864"/>
      <c r="GZ5" s="864"/>
      <c r="HA5" s="864"/>
      <c r="HB5" s="864"/>
      <c r="HC5" s="864"/>
      <c r="HD5" s="864"/>
      <c r="HE5" s="855" t="s">
        <v>3463</v>
      </c>
      <c r="HF5" s="852" t="s">
        <v>3482</v>
      </c>
      <c r="HG5" s="864"/>
      <c r="HH5" s="853" t="s">
        <v>3492</v>
      </c>
      <c r="HI5" s="855" t="s">
        <v>3509</v>
      </c>
      <c r="HJ5" s="855" t="s">
        <v>3527</v>
      </c>
      <c r="HK5" s="858" t="s">
        <v>3540</v>
      </c>
      <c r="HL5" s="864"/>
      <c r="HM5" s="864"/>
      <c r="HN5" s="864"/>
      <c r="HO5" s="861" t="s">
        <v>3550</v>
      </c>
      <c r="HP5" s="852" t="s">
        <v>694</v>
      </c>
      <c r="HQ5" s="852" t="s">
        <v>3571</v>
      </c>
      <c r="HR5" s="862" t="s">
        <v>3582</v>
      </c>
      <c r="HS5" s="852" t="s">
        <v>3571</v>
      </c>
      <c r="HT5" s="852" t="s">
        <v>3571</v>
      </c>
      <c r="HU5" s="852" t="s">
        <v>3571</v>
      </c>
      <c r="HV5" s="863" t="s">
        <v>1316</v>
      </c>
      <c r="HW5" s="852" t="s">
        <v>3571</v>
      </c>
      <c r="HX5" s="855" t="s">
        <v>694</v>
      </c>
      <c r="HY5" s="855" t="s">
        <v>694</v>
      </c>
      <c r="HZ5" s="855" t="s">
        <v>694</v>
      </c>
      <c r="IA5" s="855" t="s">
        <v>569</v>
      </c>
      <c r="IB5" s="855" t="s">
        <v>3665</v>
      </c>
      <c r="IC5" s="855" t="s">
        <v>3679</v>
      </c>
      <c r="ID5" s="855" t="s">
        <v>3690</v>
      </c>
      <c r="IE5" s="852" t="s">
        <v>694</v>
      </c>
      <c r="IF5" s="852" t="s">
        <v>3571</v>
      </c>
      <c r="IG5" s="862" t="s">
        <v>3719</v>
      </c>
      <c r="IH5" s="852" t="s">
        <v>1316</v>
      </c>
      <c r="II5" s="852" t="s">
        <v>3592</v>
      </c>
      <c r="IJ5" s="857" t="s">
        <v>3592</v>
      </c>
      <c r="IK5" s="852" t="s">
        <v>3571</v>
      </c>
      <c r="IL5" s="855" t="s">
        <v>694</v>
      </c>
      <c r="IM5" s="855" t="s">
        <v>3787</v>
      </c>
      <c r="IN5" s="855" t="s">
        <v>3801</v>
      </c>
      <c r="IO5" s="864"/>
      <c r="IP5" s="864"/>
      <c r="IQ5" s="864"/>
      <c r="IR5" s="862" t="s">
        <v>3808</v>
      </c>
      <c r="IS5" s="852" t="s">
        <v>1035</v>
      </c>
      <c r="IT5" s="855" t="s">
        <v>3841</v>
      </c>
      <c r="IU5" s="852" t="s">
        <v>3863</v>
      </c>
      <c r="IV5" s="855" t="s">
        <v>3883</v>
      </c>
      <c r="IW5" s="855" t="s">
        <v>3906</v>
      </c>
      <c r="IX5" s="865" t="s">
        <v>3922</v>
      </c>
      <c r="IY5" s="855" t="s">
        <v>3940</v>
      </c>
      <c r="IZ5" s="855" t="s">
        <v>3952</v>
      </c>
      <c r="JA5" s="855" t="s">
        <v>3965</v>
      </c>
      <c r="JB5" s="852" t="s">
        <v>3979</v>
      </c>
      <c r="JC5" s="855" t="s">
        <v>3995</v>
      </c>
      <c r="JD5" s="855" t="s">
        <v>4007</v>
      </c>
      <c r="JE5" s="852" t="s">
        <v>798</v>
      </c>
      <c r="JF5" s="855" t="s">
        <v>4045</v>
      </c>
      <c r="JG5" s="852" t="s">
        <v>1035</v>
      </c>
      <c r="JH5" s="855" t="s">
        <v>4079</v>
      </c>
      <c r="JI5" s="855" t="s">
        <v>4091</v>
      </c>
      <c r="JJ5" s="855" t="s">
        <v>4117</v>
      </c>
      <c r="JK5" s="855" t="s">
        <v>695</v>
      </c>
      <c r="JL5" s="855" t="s">
        <v>1035</v>
      </c>
      <c r="JM5" s="855" t="s">
        <v>3841</v>
      </c>
      <c r="JN5" s="855" t="s">
        <v>1035</v>
      </c>
      <c r="JO5" s="855" t="s">
        <v>3841</v>
      </c>
      <c r="JP5" s="855" t="s">
        <v>1035</v>
      </c>
      <c r="JQ5" s="855" t="s">
        <v>1035</v>
      </c>
      <c r="JR5" s="855" t="s">
        <v>1316</v>
      </c>
      <c r="JS5" s="855" t="s">
        <v>1316</v>
      </c>
      <c r="JT5" s="855" t="s">
        <v>1316</v>
      </c>
      <c r="JU5" s="855" t="s">
        <v>1316</v>
      </c>
      <c r="JV5" s="855" t="s">
        <v>1316</v>
      </c>
      <c r="JW5" s="855" t="s">
        <v>1316</v>
      </c>
      <c r="JX5" s="855" t="s">
        <v>4241</v>
      </c>
      <c r="JY5" s="855"/>
      <c r="JZ5" s="855" t="s">
        <v>1316</v>
      </c>
      <c r="KA5" s="855" t="s">
        <v>4270</v>
      </c>
      <c r="KB5" s="855" t="s">
        <v>4282</v>
      </c>
      <c r="KC5" s="855" t="s">
        <v>3841</v>
      </c>
      <c r="KD5" s="855" t="s">
        <v>3841</v>
      </c>
      <c r="KE5" s="862" t="s">
        <v>4310</v>
      </c>
      <c r="KF5" s="862" t="s">
        <v>4310</v>
      </c>
      <c r="KG5" s="862" t="s">
        <v>4310</v>
      </c>
      <c r="KH5" s="862" t="s">
        <v>4310</v>
      </c>
      <c r="KI5" s="862" t="s">
        <v>4310</v>
      </c>
      <c r="KJ5" s="862" t="s">
        <v>4310</v>
      </c>
      <c r="KK5" s="862" t="s">
        <v>4310</v>
      </c>
      <c r="KL5" s="855" t="s">
        <v>4363</v>
      </c>
      <c r="KM5" s="864"/>
      <c r="KN5" s="864"/>
      <c r="KO5" s="864"/>
      <c r="KP5" s="864"/>
      <c r="KQ5" s="864"/>
      <c r="KR5" s="852" t="s">
        <v>4379</v>
      </c>
      <c r="KS5" s="864"/>
      <c r="KT5" s="855" t="s">
        <v>4390</v>
      </c>
      <c r="KU5" s="864"/>
      <c r="KV5" s="855" t="s">
        <v>4409</v>
      </c>
      <c r="KW5" s="855" t="s">
        <v>4431</v>
      </c>
      <c r="KX5" s="852" t="s">
        <v>4455</v>
      </c>
      <c r="KY5" s="858" t="s">
        <v>4475</v>
      </c>
      <c r="KZ5" s="855" t="s">
        <v>2534</v>
      </c>
      <c r="LA5" s="855" t="s">
        <v>4518</v>
      </c>
      <c r="LB5" s="855" t="s">
        <v>4539</v>
      </c>
      <c r="LC5" s="855" t="s">
        <v>4539</v>
      </c>
      <c r="LD5" s="855" t="s">
        <v>4557</v>
      </c>
      <c r="LE5" s="855" t="s">
        <v>4557</v>
      </c>
      <c r="LF5" s="858" t="s">
        <v>4519</v>
      </c>
      <c r="LG5" s="858" t="s">
        <v>4595</v>
      </c>
      <c r="LH5" s="858" t="s">
        <v>4595</v>
      </c>
      <c r="LI5" s="858" t="s">
        <v>1035</v>
      </c>
      <c r="LJ5" s="858" t="s">
        <v>4595</v>
      </c>
      <c r="LK5" s="858" t="s">
        <v>4595</v>
      </c>
      <c r="LL5" s="858" t="s">
        <v>4648</v>
      </c>
      <c r="LM5" s="858" t="s">
        <v>4595</v>
      </c>
      <c r="LN5" s="858" t="s">
        <v>4668</v>
      </c>
      <c r="LO5" s="858" t="s">
        <v>4680</v>
      </c>
      <c r="LP5" s="858" t="s">
        <v>4689</v>
      </c>
      <c r="LQ5" s="858" t="s">
        <v>2535</v>
      </c>
      <c r="LR5" s="853" t="s">
        <v>4729</v>
      </c>
      <c r="LS5" s="853" t="s">
        <v>4746</v>
      </c>
      <c r="LT5" s="853" t="s">
        <v>4758</v>
      </c>
      <c r="LU5" s="853" t="s">
        <v>4766</v>
      </c>
      <c r="LV5" s="853" t="s">
        <v>4779</v>
      </c>
      <c r="LW5" s="853" t="s">
        <v>4793</v>
      </c>
      <c r="LX5" s="853" t="s">
        <v>4805</v>
      </c>
      <c r="LY5" s="853" t="s">
        <v>4813</v>
      </c>
    </row>
    <row r="6" spans="1:348" ht="142.5" thickBot="1" x14ac:dyDescent="0.3">
      <c r="A6" s="1585"/>
      <c r="B6" s="1588"/>
      <c r="C6" s="327" t="s">
        <v>72</v>
      </c>
      <c r="D6" s="340" t="s">
        <v>6</v>
      </c>
      <c r="E6" s="834" t="s">
        <v>48</v>
      </c>
      <c r="F6" s="863"/>
      <c r="G6" s="863"/>
      <c r="H6" s="864"/>
      <c r="I6" s="864"/>
      <c r="J6" s="864"/>
      <c r="K6" s="864"/>
      <c r="L6" s="864"/>
      <c r="M6" s="864"/>
      <c r="N6" s="852" t="s">
        <v>2642</v>
      </c>
      <c r="O6" s="864"/>
      <c r="P6" s="864"/>
      <c r="Q6" s="864"/>
      <c r="R6" s="864"/>
      <c r="S6" s="864"/>
      <c r="T6" s="864"/>
      <c r="U6" s="864"/>
      <c r="V6" s="855" t="s">
        <v>2663</v>
      </c>
      <c r="W6" s="855" t="s">
        <v>2663</v>
      </c>
      <c r="X6" s="856" t="s">
        <v>2663</v>
      </c>
      <c r="Y6" s="855" t="s">
        <v>2663</v>
      </c>
      <c r="Z6" s="855" t="s">
        <v>219</v>
      </c>
      <c r="AA6" s="864"/>
      <c r="AB6" s="864"/>
      <c r="AC6" s="864"/>
      <c r="AD6" s="864"/>
      <c r="AE6" s="864"/>
      <c r="AF6" s="864"/>
      <c r="AG6" s="864"/>
      <c r="AH6" s="864"/>
      <c r="AI6" s="864"/>
      <c r="AJ6" s="864"/>
      <c r="AK6" s="864"/>
      <c r="AL6" s="864"/>
      <c r="AM6" s="864"/>
      <c r="AN6" s="864"/>
      <c r="AO6" s="864"/>
      <c r="AP6" s="864"/>
      <c r="AQ6" s="864"/>
      <c r="AR6" s="864"/>
      <c r="AS6" s="864"/>
      <c r="AT6" s="864"/>
      <c r="AU6" s="864"/>
      <c r="AV6" s="855" t="s">
        <v>1035</v>
      </c>
      <c r="AW6" s="852" t="s">
        <v>2740</v>
      </c>
      <c r="AX6" s="864"/>
      <c r="AY6" s="864"/>
      <c r="AZ6" s="864"/>
      <c r="BA6" s="852" t="s">
        <v>2756</v>
      </c>
      <c r="BB6" s="855" t="s">
        <v>2768</v>
      </c>
      <c r="BC6" s="855"/>
      <c r="BD6" s="855" t="s">
        <v>2801</v>
      </c>
      <c r="BE6" s="864"/>
      <c r="BF6" s="864"/>
      <c r="BG6" s="864"/>
      <c r="BH6" s="864"/>
      <c r="BI6" s="864"/>
      <c r="BJ6" s="864"/>
      <c r="BK6" s="864"/>
      <c r="BL6" s="864"/>
      <c r="BM6" s="864"/>
      <c r="BN6" s="864"/>
      <c r="BO6" s="864"/>
      <c r="BP6" s="864"/>
      <c r="BQ6" s="864"/>
      <c r="BR6" s="864"/>
      <c r="BS6" s="864"/>
      <c r="BT6" s="855" t="s">
        <v>2815</v>
      </c>
      <c r="BU6" s="855"/>
      <c r="BV6" s="855"/>
      <c r="BW6" s="855" t="s">
        <v>504</v>
      </c>
      <c r="BX6" s="864"/>
      <c r="BY6" s="864"/>
      <c r="BZ6" s="864"/>
      <c r="CA6" s="864"/>
      <c r="CB6" s="864"/>
      <c r="CC6" s="857" t="s">
        <v>2864</v>
      </c>
      <c r="CD6" s="864"/>
      <c r="CE6" s="864"/>
      <c r="CF6" s="864"/>
      <c r="CG6" s="864"/>
      <c r="CH6" s="864"/>
      <c r="CI6" s="864"/>
      <c r="CJ6" s="864"/>
      <c r="CK6" s="855" t="s">
        <v>504</v>
      </c>
      <c r="CL6" s="855" t="s">
        <v>504</v>
      </c>
      <c r="CM6" s="864"/>
      <c r="CN6" s="864"/>
      <c r="CO6" s="864"/>
      <c r="CP6" s="864"/>
      <c r="CQ6" s="864"/>
      <c r="CR6" s="864"/>
      <c r="CS6" s="864"/>
      <c r="CT6" s="864"/>
      <c r="CU6" s="864"/>
      <c r="CV6" s="864"/>
      <c r="CW6" s="864"/>
      <c r="CX6" s="864"/>
      <c r="CY6" s="864"/>
      <c r="CZ6" s="864"/>
      <c r="DA6" s="864"/>
      <c r="DB6" s="864"/>
      <c r="DC6" s="864"/>
      <c r="DD6" s="864"/>
      <c r="DE6" s="864"/>
      <c r="DF6" s="855"/>
      <c r="DG6" s="864"/>
      <c r="DH6" s="855" t="s">
        <v>2922</v>
      </c>
      <c r="DI6" s="855" t="s">
        <v>219</v>
      </c>
      <c r="DJ6" s="855" t="s">
        <v>2944</v>
      </c>
      <c r="DK6" s="855" t="s">
        <v>2952</v>
      </c>
      <c r="DL6" s="855" t="s">
        <v>219</v>
      </c>
      <c r="DM6" s="855" t="s">
        <v>2971</v>
      </c>
      <c r="DN6" s="864"/>
      <c r="DO6" s="864"/>
      <c r="DP6" s="855" t="s">
        <v>2982</v>
      </c>
      <c r="DQ6" s="864"/>
      <c r="DR6" s="864"/>
      <c r="DS6" s="864"/>
      <c r="DT6" s="864"/>
      <c r="DU6" s="864"/>
      <c r="DV6" s="864"/>
      <c r="DW6" s="864"/>
      <c r="DX6" s="864"/>
      <c r="DY6" s="864"/>
      <c r="DZ6" s="864"/>
      <c r="EA6" s="864"/>
      <c r="EB6" s="864"/>
      <c r="EC6" s="864"/>
      <c r="ED6" s="864"/>
      <c r="EE6" s="864"/>
      <c r="EF6" s="855" t="s">
        <v>694</v>
      </c>
      <c r="EG6" s="855" t="s">
        <v>1316</v>
      </c>
      <c r="EH6" s="855" t="s">
        <v>1316</v>
      </c>
      <c r="EI6" s="855" t="s">
        <v>694</v>
      </c>
      <c r="EJ6" s="858" t="s">
        <v>3053</v>
      </c>
      <c r="EK6" s="858" t="s">
        <v>3070</v>
      </c>
      <c r="EL6" s="858" t="s">
        <v>3082</v>
      </c>
      <c r="EM6" s="853" t="s">
        <v>694</v>
      </c>
      <c r="EN6" s="858" t="s">
        <v>694</v>
      </c>
      <c r="EO6" s="858" t="s">
        <v>3082</v>
      </c>
      <c r="EP6" s="853" t="s">
        <v>1316</v>
      </c>
      <c r="EQ6" s="858" t="s">
        <v>694</v>
      </c>
      <c r="ER6" s="858" t="s">
        <v>3156</v>
      </c>
      <c r="ES6" s="858" t="s">
        <v>1316</v>
      </c>
      <c r="ET6" s="853" t="s">
        <v>694</v>
      </c>
      <c r="EU6" s="864"/>
      <c r="EV6" s="864"/>
      <c r="EW6" s="855" t="s">
        <v>3202</v>
      </c>
      <c r="EX6" s="864"/>
      <c r="EY6" s="864"/>
      <c r="EZ6" s="864"/>
      <c r="FA6" s="864"/>
      <c r="FB6" s="864"/>
      <c r="FC6" s="864"/>
      <c r="FD6" s="864"/>
      <c r="FE6" s="855" t="s">
        <v>219</v>
      </c>
      <c r="FF6" s="864"/>
      <c r="FG6" s="864"/>
      <c r="FH6" s="864"/>
      <c r="FI6" s="864"/>
      <c r="FJ6" s="864"/>
      <c r="FK6" s="852" t="s">
        <v>3224</v>
      </c>
      <c r="FL6" s="852" t="s">
        <v>3245</v>
      </c>
      <c r="FM6" s="855" t="s">
        <v>3265</v>
      </c>
      <c r="FN6" s="855" t="s">
        <v>3287</v>
      </c>
      <c r="FO6" s="855" t="s">
        <v>219</v>
      </c>
      <c r="FP6" s="855"/>
      <c r="FQ6" s="852" t="s">
        <v>3291</v>
      </c>
      <c r="FR6" s="864"/>
      <c r="FS6" s="864"/>
      <c r="FT6" s="864"/>
      <c r="FU6" s="864"/>
      <c r="FV6" s="864"/>
      <c r="FW6" s="864"/>
      <c r="FX6" s="864"/>
      <c r="FY6" s="864"/>
      <c r="FZ6" s="864"/>
      <c r="GA6" s="855" t="s">
        <v>3330</v>
      </c>
      <c r="GB6" s="855" t="s">
        <v>3345</v>
      </c>
      <c r="GC6" s="855" t="s">
        <v>219</v>
      </c>
      <c r="GD6" s="855" t="s">
        <v>219</v>
      </c>
      <c r="GE6" s="855" t="s">
        <v>3391</v>
      </c>
      <c r="GF6" s="855" t="s">
        <v>3400</v>
      </c>
      <c r="GG6" s="855" t="s">
        <v>3406</v>
      </c>
      <c r="GH6" s="864"/>
      <c r="GI6" s="864"/>
      <c r="GJ6" s="864"/>
      <c r="GK6" s="864"/>
      <c r="GL6" s="864"/>
      <c r="GM6" s="864"/>
      <c r="GN6" s="864"/>
      <c r="GO6" s="859"/>
      <c r="GP6" s="866" t="s">
        <v>3436</v>
      </c>
      <c r="GQ6" s="867"/>
      <c r="GR6" s="864"/>
      <c r="GS6" s="864"/>
      <c r="GT6" s="864"/>
      <c r="GU6" s="864"/>
      <c r="GV6" s="864"/>
      <c r="GW6" s="864"/>
      <c r="GX6" s="864"/>
      <c r="GY6" s="864"/>
      <c r="GZ6" s="864"/>
      <c r="HA6" s="864"/>
      <c r="HB6" s="864"/>
      <c r="HC6" s="864"/>
      <c r="HD6" s="864"/>
      <c r="HE6" s="855" t="s">
        <v>1712</v>
      </c>
      <c r="HF6" s="852" t="s">
        <v>3483</v>
      </c>
      <c r="HG6" s="864"/>
      <c r="HH6" s="853" t="s">
        <v>3492</v>
      </c>
      <c r="HI6" s="855" t="s">
        <v>3509</v>
      </c>
      <c r="HJ6" s="855" t="s">
        <v>3528</v>
      </c>
      <c r="HK6" s="858" t="s">
        <v>3541</v>
      </c>
      <c r="HL6" s="864"/>
      <c r="HM6" s="864"/>
      <c r="HN6" s="864"/>
      <c r="HO6" s="861" t="s">
        <v>3550</v>
      </c>
      <c r="HP6" s="852" t="s">
        <v>694</v>
      </c>
      <c r="HQ6" s="852" t="s">
        <v>694</v>
      </c>
      <c r="HR6" s="862" t="s">
        <v>3582</v>
      </c>
      <c r="HS6" s="852" t="s">
        <v>3592</v>
      </c>
      <c r="HT6" s="852" t="s">
        <v>694</v>
      </c>
      <c r="HU6" s="852" t="s">
        <v>3592</v>
      </c>
      <c r="HV6" s="863" t="s">
        <v>3608</v>
      </c>
      <c r="HW6" s="852" t="s">
        <v>694</v>
      </c>
      <c r="HX6" s="855" t="s">
        <v>694</v>
      </c>
      <c r="HY6" s="855" t="s">
        <v>694</v>
      </c>
      <c r="HZ6" s="855" t="s">
        <v>694</v>
      </c>
      <c r="IA6" s="855" t="s">
        <v>694</v>
      </c>
      <c r="IB6" s="855" t="s">
        <v>3666</v>
      </c>
      <c r="IC6" s="855" t="s">
        <v>3679</v>
      </c>
      <c r="ID6" s="855" t="s">
        <v>3666</v>
      </c>
      <c r="IE6" s="852" t="s">
        <v>694</v>
      </c>
      <c r="IF6" s="852" t="s">
        <v>3592</v>
      </c>
      <c r="IG6" s="862" t="s">
        <v>3571</v>
      </c>
      <c r="IH6" s="852" t="s">
        <v>1316</v>
      </c>
      <c r="II6" s="852" t="s">
        <v>694</v>
      </c>
      <c r="IJ6" s="857" t="s">
        <v>3592</v>
      </c>
      <c r="IK6" s="852" t="s">
        <v>3592</v>
      </c>
      <c r="IL6" s="855" t="s">
        <v>694</v>
      </c>
      <c r="IM6" s="855" t="s">
        <v>3788</v>
      </c>
      <c r="IN6" s="855" t="s">
        <v>219</v>
      </c>
      <c r="IO6" s="864"/>
      <c r="IP6" s="864"/>
      <c r="IQ6" s="864"/>
      <c r="IR6" s="862" t="s">
        <v>3808</v>
      </c>
      <c r="IS6" s="852" t="s">
        <v>3824</v>
      </c>
      <c r="IT6" s="855" t="s">
        <v>3842</v>
      </c>
      <c r="IU6" s="855" t="s">
        <v>3864</v>
      </c>
      <c r="IV6" s="855" t="s">
        <v>3884</v>
      </c>
      <c r="IW6" s="855" t="s">
        <v>3907</v>
      </c>
      <c r="IX6" s="858" t="s">
        <v>504</v>
      </c>
      <c r="IY6" s="852" t="s">
        <v>3941</v>
      </c>
      <c r="IZ6" s="855" t="s">
        <v>3952</v>
      </c>
      <c r="JA6" s="855" t="s">
        <v>1035</v>
      </c>
      <c r="JB6" s="852" t="s">
        <v>3980</v>
      </c>
      <c r="JC6" s="855"/>
      <c r="JD6" s="855"/>
      <c r="JE6" s="852" t="s">
        <v>4023</v>
      </c>
      <c r="JF6" s="855" t="s">
        <v>4046</v>
      </c>
      <c r="JG6" s="852" t="s">
        <v>1035</v>
      </c>
      <c r="JH6" s="855" t="s">
        <v>4079</v>
      </c>
      <c r="JI6" s="855" t="s">
        <v>4092</v>
      </c>
      <c r="JJ6" s="855" t="s">
        <v>219</v>
      </c>
      <c r="JK6" s="855" t="s">
        <v>219</v>
      </c>
      <c r="JL6" s="855" t="s">
        <v>504</v>
      </c>
      <c r="JM6" s="855" t="s">
        <v>219</v>
      </c>
      <c r="JN6" s="855" t="s">
        <v>504</v>
      </c>
      <c r="JO6" s="855" t="s">
        <v>219</v>
      </c>
      <c r="JP6" s="855" t="s">
        <v>504</v>
      </c>
      <c r="JQ6" s="858" t="s">
        <v>479</v>
      </c>
      <c r="JR6" s="855" t="s">
        <v>4185</v>
      </c>
      <c r="JS6" s="855" t="s">
        <v>1316</v>
      </c>
      <c r="JT6" s="855" t="s">
        <v>1316</v>
      </c>
      <c r="JU6" s="855" t="s">
        <v>219</v>
      </c>
      <c r="JV6" s="855" t="s">
        <v>219</v>
      </c>
      <c r="JW6" s="855" t="s">
        <v>219</v>
      </c>
      <c r="JX6" s="855" t="s">
        <v>219</v>
      </c>
      <c r="JY6" s="855" t="s">
        <v>219</v>
      </c>
      <c r="JZ6" s="855" t="s">
        <v>219</v>
      </c>
      <c r="KA6" s="855" t="s">
        <v>219</v>
      </c>
      <c r="KB6" s="855" t="s">
        <v>219</v>
      </c>
      <c r="KC6" s="855" t="s">
        <v>3841</v>
      </c>
      <c r="KD6" s="855" t="s">
        <v>3841</v>
      </c>
      <c r="KE6" s="862" t="s">
        <v>1035</v>
      </c>
      <c r="KF6" s="862" t="s">
        <v>1035</v>
      </c>
      <c r="KG6" s="862" t="s">
        <v>1035</v>
      </c>
      <c r="KH6" s="862" t="s">
        <v>1035</v>
      </c>
      <c r="KI6" s="862" t="s">
        <v>1035</v>
      </c>
      <c r="KJ6" s="862" t="s">
        <v>1035</v>
      </c>
      <c r="KK6" s="862" t="s">
        <v>1035</v>
      </c>
      <c r="KL6" s="855" t="s">
        <v>5585</v>
      </c>
      <c r="KM6" s="864"/>
      <c r="KN6" s="864"/>
      <c r="KO6" s="864"/>
      <c r="KP6" s="864"/>
      <c r="KQ6" s="864"/>
      <c r="KR6" s="852" t="s">
        <v>4379</v>
      </c>
      <c r="KS6" s="864"/>
      <c r="KT6" s="868" t="s">
        <v>3082</v>
      </c>
      <c r="KU6" s="864"/>
      <c r="KV6" s="855" t="s">
        <v>2535</v>
      </c>
      <c r="KW6" s="855" t="s">
        <v>1035</v>
      </c>
      <c r="KX6" s="852" t="s">
        <v>694</v>
      </c>
      <c r="KY6" s="858" t="s">
        <v>4476</v>
      </c>
      <c r="KZ6" s="855" t="s">
        <v>2535</v>
      </c>
      <c r="LA6" s="855" t="s">
        <v>4519</v>
      </c>
      <c r="LB6" s="855" t="s">
        <v>4502</v>
      </c>
      <c r="LC6" s="855" t="s">
        <v>4502</v>
      </c>
      <c r="LD6" s="855" t="s">
        <v>2535</v>
      </c>
      <c r="LE6" s="855" t="s">
        <v>2535</v>
      </c>
      <c r="LF6" s="858" t="s">
        <v>4519</v>
      </c>
      <c r="LG6" s="858" t="s">
        <v>4502</v>
      </c>
      <c r="LH6" s="858" t="s">
        <v>4502</v>
      </c>
      <c r="LI6" s="858" t="s">
        <v>4502</v>
      </c>
      <c r="LJ6" s="858" t="s">
        <v>4502</v>
      </c>
      <c r="LK6" s="858" t="s">
        <v>4502</v>
      </c>
      <c r="LL6" s="858" t="s">
        <v>4502</v>
      </c>
      <c r="LM6" s="858" t="s">
        <v>4502</v>
      </c>
      <c r="LN6" s="858" t="s">
        <v>4502</v>
      </c>
      <c r="LO6" s="858" t="s">
        <v>4595</v>
      </c>
      <c r="LP6" s="858" t="s">
        <v>4502</v>
      </c>
      <c r="LQ6" s="858" t="s">
        <v>2535</v>
      </c>
      <c r="LR6" s="853" t="s">
        <v>4730</v>
      </c>
      <c r="LS6" s="853" t="s">
        <v>4502</v>
      </c>
      <c r="LT6" s="853" t="s">
        <v>4502</v>
      </c>
      <c r="LU6" s="853" t="s">
        <v>4502</v>
      </c>
      <c r="LV6" s="853" t="s">
        <v>4502</v>
      </c>
      <c r="LW6" s="853" t="s">
        <v>4502</v>
      </c>
      <c r="LX6" s="853" t="s">
        <v>4502</v>
      </c>
      <c r="LY6" s="853" t="s">
        <v>4502</v>
      </c>
    </row>
    <row r="7" spans="1:348" ht="95.25" thickBot="1" x14ac:dyDescent="0.3">
      <c r="A7" s="325" t="s">
        <v>2</v>
      </c>
      <c r="B7" s="341" t="s">
        <v>7</v>
      </c>
      <c r="C7" s="327" t="s">
        <v>73</v>
      </c>
      <c r="D7" s="340" t="s">
        <v>5320</v>
      </c>
      <c r="E7" s="835" t="s">
        <v>49</v>
      </c>
      <c r="F7" s="863"/>
      <c r="G7" s="863"/>
      <c r="H7" s="864"/>
      <c r="I7" s="864"/>
      <c r="J7" s="864"/>
      <c r="K7" s="864"/>
      <c r="L7" s="864"/>
      <c r="M7" s="864"/>
      <c r="N7" s="852">
        <v>2019</v>
      </c>
      <c r="O7" s="869" t="s">
        <v>5321</v>
      </c>
      <c r="P7" s="864"/>
      <c r="Q7" s="864"/>
      <c r="R7" s="864"/>
      <c r="S7" s="864"/>
      <c r="T7" s="864"/>
      <c r="U7" s="864"/>
      <c r="V7" s="870">
        <v>2020</v>
      </c>
      <c r="W7" s="870">
        <v>2020</v>
      </c>
      <c r="X7" s="871">
        <v>2018</v>
      </c>
      <c r="Y7" s="870">
        <v>2020</v>
      </c>
      <c r="Z7" s="870">
        <v>2017</v>
      </c>
      <c r="AA7" s="864"/>
      <c r="AB7" s="864"/>
      <c r="AC7" s="864"/>
      <c r="AD7" s="864"/>
      <c r="AE7" s="864"/>
      <c r="AF7" s="864"/>
      <c r="AG7" s="864"/>
      <c r="AH7" s="864"/>
      <c r="AI7" s="864"/>
      <c r="AJ7" s="864"/>
      <c r="AK7" s="864"/>
      <c r="AL7" s="864"/>
      <c r="AM7" s="864"/>
      <c r="AN7" s="864"/>
      <c r="AO7" s="864"/>
      <c r="AP7" s="864"/>
      <c r="AQ7" s="864"/>
      <c r="AR7" s="864"/>
      <c r="AS7" s="864"/>
      <c r="AT7" s="864"/>
      <c r="AU7" s="864"/>
      <c r="AV7" s="870">
        <v>2020</v>
      </c>
      <c r="AW7" s="852">
        <v>2020</v>
      </c>
      <c r="AX7" s="864"/>
      <c r="AY7" s="864"/>
      <c r="AZ7" s="864"/>
      <c r="BA7" s="852">
        <v>2019</v>
      </c>
      <c r="BB7" s="870" t="s">
        <v>2769</v>
      </c>
      <c r="BC7" s="870" t="s">
        <v>2786</v>
      </c>
      <c r="BD7" s="870">
        <v>2019</v>
      </c>
      <c r="BE7" s="864"/>
      <c r="BF7" s="864"/>
      <c r="BG7" s="864"/>
      <c r="BH7" s="864"/>
      <c r="BI7" s="864"/>
      <c r="BJ7" s="864"/>
      <c r="BK7" s="864"/>
      <c r="BL7" s="864"/>
      <c r="BM7" s="864"/>
      <c r="BN7" s="864"/>
      <c r="BO7" s="864"/>
      <c r="BP7" s="864"/>
      <c r="BQ7" s="864"/>
      <c r="BR7" s="864"/>
      <c r="BS7" s="864"/>
      <c r="BT7" s="870">
        <v>2010</v>
      </c>
      <c r="BU7" s="870">
        <v>2020</v>
      </c>
      <c r="BV7" s="870">
        <v>2020</v>
      </c>
      <c r="BW7" s="870">
        <v>2020</v>
      </c>
      <c r="BX7" s="864"/>
      <c r="BY7" s="864"/>
      <c r="BZ7" s="864"/>
      <c r="CA7" s="864"/>
      <c r="CB7" s="864"/>
      <c r="CC7" s="872">
        <v>2018</v>
      </c>
      <c r="CD7" s="864"/>
      <c r="CE7" s="864"/>
      <c r="CF7" s="864"/>
      <c r="CG7" s="864"/>
      <c r="CH7" s="864"/>
      <c r="CI7" s="864"/>
      <c r="CJ7" s="864"/>
      <c r="CK7" s="870">
        <v>2020</v>
      </c>
      <c r="CL7" s="870">
        <v>2021</v>
      </c>
      <c r="CM7" s="864"/>
      <c r="CN7" s="864"/>
      <c r="CO7" s="864"/>
      <c r="CP7" s="864"/>
      <c r="CQ7" s="864"/>
      <c r="CR7" s="864"/>
      <c r="CS7" s="864"/>
      <c r="CT7" s="864"/>
      <c r="CU7" s="864"/>
      <c r="CV7" s="864"/>
      <c r="CW7" s="864"/>
      <c r="CX7" s="864"/>
      <c r="CY7" s="864"/>
      <c r="CZ7" s="864"/>
      <c r="DA7" s="864"/>
      <c r="DB7" s="864"/>
      <c r="DC7" s="864"/>
      <c r="DD7" s="864"/>
      <c r="DE7" s="864"/>
      <c r="DF7" s="870">
        <v>2019</v>
      </c>
      <c r="DG7" s="864"/>
      <c r="DH7" s="870">
        <v>2019</v>
      </c>
      <c r="DI7" s="870" t="s">
        <v>2936</v>
      </c>
      <c r="DJ7" s="870">
        <v>2020</v>
      </c>
      <c r="DK7" s="870">
        <v>2020</v>
      </c>
      <c r="DL7" s="870" t="s">
        <v>2936</v>
      </c>
      <c r="DM7" s="870">
        <v>2020</v>
      </c>
      <c r="DN7" s="864"/>
      <c r="DO7" s="864"/>
      <c r="DP7" s="870">
        <v>2020</v>
      </c>
      <c r="DQ7" s="864"/>
      <c r="DR7" s="864"/>
      <c r="DS7" s="864"/>
      <c r="DT7" s="864"/>
      <c r="DU7" s="864"/>
      <c r="DV7" s="864"/>
      <c r="DW7" s="864"/>
      <c r="DX7" s="864"/>
      <c r="DY7" s="864"/>
      <c r="DZ7" s="864"/>
      <c r="EA7" s="864"/>
      <c r="EB7" s="864"/>
      <c r="EC7" s="864"/>
      <c r="ED7" s="864"/>
      <c r="EE7" s="864"/>
      <c r="EF7" s="870">
        <v>2017</v>
      </c>
      <c r="EG7" s="870">
        <v>2020</v>
      </c>
      <c r="EH7" s="870">
        <v>2017</v>
      </c>
      <c r="EI7" s="855">
        <v>2020</v>
      </c>
      <c r="EJ7" s="873">
        <v>2016</v>
      </c>
      <c r="EK7" s="873">
        <v>2017</v>
      </c>
      <c r="EL7" s="873" t="s">
        <v>2936</v>
      </c>
      <c r="EM7" s="874">
        <v>2017</v>
      </c>
      <c r="EN7" s="873">
        <v>2016</v>
      </c>
      <c r="EO7" s="873">
        <v>2017</v>
      </c>
      <c r="EP7" s="853" t="s">
        <v>3130</v>
      </c>
      <c r="EQ7" s="873">
        <v>2019</v>
      </c>
      <c r="ER7" s="873" t="s">
        <v>3157</v>
      </c>
      <c r="ES7" s="873">
        <v>2020</v>
      </c>
      <c r="ET7" s="874">
        <v>2017</v>
      </c>
      <c r="EU7" s="864"/>
      <c r="EV7" s="864"/>
      <c r="EW7" s="870">
        <v>2015</v>
      </c>
      <c r="EX7" s="864"/>
      <c r="EY7" s="864"/>
      <c r="EZ7" s="864"/>
      <c r="FA7" s="864"/>
      <c r="FB7" s="864"/>
      <c r="FC7" s="864"/>
      <c r="FD7" s="864"/>
      <c r="FE7" s="870" t="s">
        <v>2936</v>
      </c>
      <c r="FF7" s="864"/>
      <c r="FG7" s="864"/>
      <c r="FH7" s="864"/>
      <c r="FI7" s="864"/>
      <c r="FJ7" s="864"/>
      <c r="FK7" s="875">
        <v>2018</v>
      </c>
      <c r="FL7" s="875">
        <v>2013</v>
      </c>
      <c r="FM7" s="870">
        <v>2019</v>
      </c>
      <c r="FN7" s="870">
        <v>2019</v>
      </c>
      <c r="FO7" s="870" t="s">
        <v>3292</v>
      </c>
      <c r="FP7" s="873">
        <v>2020</v>
      </c>
      <c r="FQ7" s="870">
        <v>2019</v>
      </c>
      <c r="FR7" s="864"/>
      <c r="FS7" s="864"/>
      <c r="FT7" s="864"/>
      <c r="FU7" s="864"/>
      <c r="FV7" s="864"/>
      <c r="FW7" s="864"/>
      <c r="FX7" s="864"/>
      <c r="FY7" s="864"/>
      <c r="FZ7" s="864"/>
      <c r="GA7" s="870">
        <v>2018</v>
      </c>
      <c r="GB7" s="870">
        <v>2020</v>
      </c>
      <c r="GC7" s="870" t="s">
        <v>3355</v>
      </c>
      <c r="GD7" s="870" t="s">
        <v>2936</v>
      </c>
      <c r="GE7" s="870">
        <v>2010</v>
      </c>
      <c r="GF7" s="870">
        <v>2020</v>
      </c>
      <c r="GG7" s="870">
        <v>2019</v>
      </c>
      <c r="GH7" s="864"/>
      <c r="GI7" s="864"/>
      <c r="GJ7" s="864"/>
      <c r="GK7" s="864"/>
      <c r="GL7" s="864"/>
      <c r="GM7" s="864"/>
      <c r="GN7" s="864"/>
      <c r="GO7" s="876">
        <v>2020</v>
      </c>
      <c r="GP7" s="856">
        <v>2019</v>
      </c>
      <c r="GQ7" s="877">
        <v>2018</v>
      </c>
      <c r="GR7" s="864"/>
      <c r="GS7" s="864"/>
      <c r="GT7" s="864"/>
      <c r="GU7" s="864"/>
      <c r="GV7" s="864"/>
      <c r="GW7" s="864"/>
      <c r="GX7" s="864"/>
      <c r="GY7" s="864"/>
      <c r="GZ7" s="864"/>
      <c r="HA7" s="864"/>
      <c r="HB7" s="864"/>
      <c r="HC7" s="864"/>
      <c r="HD7" s="864"/>
      <c r="HE7" s="870">
        <v>2020</v>
      </c>
      <c r="HF7" s="875">
        <v>2018</v>
      </c>
      <c r="HG7" s="864"/>
      <c r="HH7" s="873">
        <v>2020</v>
      </c>
      <c r="HI7" s="870">
        <v>2019</v>
      </c>
      <c r="HJ7" s="870">
        <v>2019</v>
      </c>
      <c r="HK7" s="873">
        <v>2020</v>
      </c>
      <c r="HL7" s="864"/>
      <c r="HM7" s="864"/>
      <c r="HN7" s="864"/>
      <c r="HO7" s="878">
        <v>2016</v>
      </c>
      <c r="HP7" s="875">
        <v>2016</v>
      </c>
      <c r="HQ7" s="875" t="s">
        <v>3572</v>
      </c>
      <c r="HR7" s="879">
        <v>2019</v>
      </c>
      <c r="HS7" s="875" t="s">
        <v>3572</v>
      </c>
      <c r="HT7" s="875" t="s">
        <v>3572</v>
      </c>
      <c r="HU7" s="875" t="s">
        <v>3572</v>
      </c>
      <c r="HV7" s="875">
        <v>2017</v>
      </c>
      <c r="HW7" s="875" t="s">
        <v>3572</v>
      </c>
      <c r="HX7" s="870">
        <v>2016</v>
      </c>
      <c r="HY7" s="870">
        <v>2017</v>
      </c>
      <c r="HZ7" s="870">
        <v>2016</v>
      </c>
      <c r="IA7" s="870" t="s">
        <v>3572</v>
      </c>
      <c r="IB7" s="870">
        <v>2019</v>
      </c>
      <c r="IC7" s="870">
        <v>2016</v>
      </c>
      <c r="ID7" s="870">
        <v>2019</v>
      </c>
      <c r="IE7" s="875">
        <v>2016</v>
      </c>
      <c r="IF7" s="875" t="s">
        <v>3572</v>
      </c>
      <c r="IG7" s="879">
        <v>2016</v>
      </c>
      <c r="IH7" s="870">
        <v>2019</v>
      </c>
      <c r="II7" s="875">
        <v>2016</v>
      </c>
      <c r="IJ7" s="872">
        <v>2016</v>
      </c>
      <c r="IK7" s="875" t="s">
        <v>3572</v>
      </c>
      <c r="IL7" s="870">
        <v>2015</v>
      </c>
      <c r="IM7" s="870">
        <v>2020</v>
      </c>
      <c r="IN7" s="855">
        <v>2016</v>
      </c>
      <c r="IO7" s="864"/>
      <c r="IP7" s="864"/>
      <c r="IQ7" s="864"/>
      <c r="IR7" s="879">
        <v>2020</v>
      </c>
      <c r="IS7" s="870">
        <v>2018</v>
      </c>
      <c r="IT7" s="870">
        <v>2011</v>
      </c>
      <c r="IU7" s="870">
        <v>2018</v>
      </c>
      <c r="IV7" s="870">
        <v>2017</v>
      </c>
      <c r="IW7" s="870" t="s">
        <v>3908</v>
      </c>
      <c r="IX7" s="873">
        <v>2018</v>
      </c>
      <c r="IY7" s="855" t="s">
        <v>3908</v>
      </c>
      <c r="IZ7" s="870">
        <v>2018</v>
      </c>
      <c r="JA7" s="870">
        <v>2018</v>
      </c>
      <c r="JB7" s="875">
        <v>2018</v>
      </c>
      <c r="JC7" s="870">
        <v>2020</v>
      </c>
      <c r="JD7" s="870">
        <v>2020</v>
      </c>
      <c r="JE7" s="870">
        <v>2017</v>
      </c>
      <c r="JF7" s="870" t="s">
        <v>3130</v>
      </c>
      <c r="JG7" s="875">
        <v>2018</v>
      </c>
      <c r="JH7" s="870">
        <v>2018</v>
      </c>
      <c r="JI7" s="870" t="s">
        <v>4093</v>
      </c>
      <c r="JJ7" s="870">
        <v>2018</v>
      </c>
      <c r="JK7" s="870">
        <v>2020</v>
      </c>
      <c r="JL7" s="870">
        <v>2020</v>
      </c>
      <c r="JM7" s="870">
        <v>2020</v>
      </c>
      <c r="JN7" s="870">
        <v>2020</v>
      </c>
      <c r="JO7" s="870">
        <v>2020</v>
      </c>
      <c r="JP7" s="870">
        <v>2019</v>
      </c>
      <c r="JQ7" s="873">
        <v>2020</v>
      </c>
      <c r="JR7" s="870">
        <v>2018</v>
      </c>
      <c r="JS7" s="870">
        <v>2020</v>
      </c>
      <c r="JT7" s="870">
        <v>2018</v>
      </c>
      <c r="JU7" s="870">
        <v>2018</v>
      </c>
      <c r="JV7" s="870">
        <v>2019</v>
      </c>
      <c r="JW7" s="870">
        <v>2018</v>
      </c>
      <c r="JX7" s="870">
        <v>2020</v>
      </c>
      <c r="JY7" s="870">
        <v>2018</v>
      </c>
      <c r="JZ7" s="870">
        <v>2018</v>
      </c>
      <c r="KA7" s="870">
        <v>2019</v>
      </c>
      <c r="KB7" s="870">
        <v>2018</v>
      </c>
      <c r="KC7" s="870" t="s">
        <v>2769</v>
      </c>
      <c r="KD7" s="870" t="s">
        <v>3908</v>
      </c>
      <c r="KE7" s="879">
        <v>2018</v>
      </c>
      <c r="KF7" s="879">
        <v>2018</v>
      </c>
      <c r="KG7" s="879">
        <v>2018</v>
      </c>
      <c r="KH7" s="879">
        <v>2018</v>
      </c>
      <c r="KI7" s="879">
        <v>2018</v>
      </c>
      <c r="KJ7" s="879">
        <v>2018</v>
      </c>
      <c r="KK7" s="879">
        <v>2018</v>
      </c>
      <c r="KL7" s="870">
        <v>2020</v>
      </c>
      <c r="KM7" s="864"/>
      <c r="KN7" s="864"/>
      <c r="KO7" s="864"/>
      <c r="KP7" s="864"/>
      <c r="KQ7" s="864"/>
      <c r="KR7" s="875" t="s">
        <v>3908</v>
      </c>
      <c r="KS7" s="864"/>
      <c r="KT7" s="870">
        <v>2018</v>
      </c>
      <c r="KU7" s="864"/>
      <c r="KV7" s="870">
        <v>2018</v>
      </c>
      <c r="KW7" s="870">
        <v>2018</v>
      </c>
      <c r="KX7" s="870">
        <v>2020</v>
      </c>
      <c r="KY7" s="858">
        <v>2018</v>
      </c>
      <c r="KZ7" s="870">
        <v>2018</v>
      </c>
      <c r="LA7" s="870">
        <v>2019</v>
      </c>
      <c r="LB7" s="870">
        <v>2018</v>
      </c>
      <c r="LC7" s="870">
        <v>2018</v>
      </c>
      <c r="LD7" s="870">
        <v>2020</v>
      </c>
      <c r="LE7" s="870">
        <v>2020</v>
      </c>
      <c r="LF7" s="858" t="s">
        <v>4572</v>
      </c>
      <c r="LG7" s="873">
        <v>2019</v>
      </c>
      <c r="LH7" s="873">
        <v>2018</v>
      </c>
      <c r="LI7" s="873">
        <v>2019</v>
      </c>
      <c r="LJ7" s="873">
        <v>2019</v>
      </c>
      <c r="LK7" s="873">
        <v>2019</v>
      </c>
      <c r="LL7" s="873">
        <v>2019</v>
      </c>
      <c r="LM7" s="873">
        <v>2019</v>
      </c>
      <c r="LN7" s="873">
        <v>2019</v>
      </c>
      <c r="LO7" s="873">
        <v>2019</v>
      </c>
      <c r="LP7" s="873">
        <v>2020</v>
      </c>
      <c r="LQ7" s="873">
        <v>2020</v>
      </c>
      <c r="LR7" s="874">
        <v>2018</v>
      </c>
      <c r="LS7" s="874">
        <v>2019</v>
      </c>
      <c r="LT7" s="874">
        <v>2020</v>
      </c>
      <c r="LU7" s="874">
        <v>2018</v>
      </c>
      <c r="LV7" s="874">
        <v>2020</v>
      </c>
      <c r="LW7" s="874">
        <v>2020</v>
      </c>
      <c r="LX7" s="874">
        <v>2020</v>
      </c>
      <c r="LY7" s="874">
        <v>2020</v>
      </c>
    </row>
    <row r="8" spans="1:348" ht="94.5" x14ac:dyDescent="0.25">
      <c r="A8" s="1583" t="s">
        <v>3</v>
      </c>
      <c r="B8" s="1616" t="s">
        <v>8</v>
      </c>
      <c r="C8" s="1594" t="s">
        <v>74</v>
      </c>
      <c r="D8" s="1597" t="s">
        <v>5322</v>
      </c>
      <c r="E8" s="833" t="s">
        <v>170</v>
      </c>
      <c r="F8" s="863"/>
      <c r="G8" s="863"/>
      <c r="H8" s="864"/>
      <c r="I8" s="864"/>
      <c r="J8" s="864"/>
      <c r="K8" s="864"/>
      <c r="L8" s="864"/>
      <c r="M8" s="864"/>
      <c r="N8" s="852">
        <v>43570</v>
      </c>
      <c r="O8" s="869" t="s">
        <v>5323</v>
      </c>
      <c r="P8" s="864"/>
      <c r="Q8" s="864"/>
      <c r="R8" s="864"/>
      <c r="S8" s="864"/>
      <c r="T8" s="864"/>
      <c r="U8" s="864"/>
      <c r="V8" s="880" t="s">
        <v>2664</v>
      </c>
      <c r="W8" s="880" t="s">
        <v>2682</v>
      </c>
      <c r="X8" s="880" t="s">
        <v>2695</v>
      </c>
      <c r="Y8" s="880" t="s">
        <v>2706</v>
      </c>
      <c r="Z8" s="880">
        <v>43874</v>
      </c>
      <c r="AA8" s="864"/>
      <c r="AB8" s="864"/>
      <c r="AC8" s="864"/>
      <c r="AD8" s="864"/>
      <c r="AE8" s="864"/>
      <c r="AF8" s="864"/>
      <c r="AG8" s="864"/>
      <c r="AH8" s="864"/>
      <c r="AI8" s="864"/>
      <c r="AJ8" s="864"/>
      <c r="AK8" s="864"/>
      <c r="AL8" s="864"/>
      <c r="AM8" s="864"/>
      <c r="AN8" s="864"/>
      <c r="AO8" s="864"/>
      <c r="AP8" s="864"/>
      <c r="AQ8" s="864"/>
      <c r="AR8" s="864"/>
      <c r="AS8" s="864"/>
      <c r="AT8" s="864"/>
      <c r="AU8" s="864"/>
      <c r="AV8" s="880">
        <v>43853</v>
      </c>
      <c r="AW8" s="852">
        <v>43790</v>
      </c>
      <c r="AX8" s="864"/>
      <c r="AY8" s="864"/>
      <c r="AZ8" s="864"/>
      <c r="BA8" s="881">
        <v>43840</v>
      </c>
      <c r="BB8" s="880" t="s">
        <v>2770</v>
      </c>
      <c r="BC8" s="880">
        <v>43637</v>
      </c>
      <c r="BD8" s="880" t="s">
        <v>2802</v>
      </c>
      <c r="BE8" s="864"/>
      <c r="BF8" s="864"/>
      <c r="BG8" s="864"/>
      <c r="BH8" s="864"/>
      <c r="BI8" s="864"/>
      <c r="BJ8" s="864"/>
      <c r="BK8" s="864"/>
      <c r="BL8" s="864"/>
      <c r="BM8" s="864"/>
      <c r="BN8" s="864"/>
      <c r="BO8" s="864"/>
      <c r="BP8" s="864"/>
      <c r="BQ8" s="864"/>
      <c r="BR8" s="864"/>
      <c r="BS8" s="864"/>
      <c r="BT8" s="880" t="s">
        <v>641</v>
      </c>
      <c r="BU8" s="880">
        <v>43860</v>
      </c>
      <c r="BV8" s="880">
        <v>44165</v>
      </c>
      <c r="BW8" s="880">
        <v>44046</v>
      </c>
      <c r="BX8" s="864"/>
      <c r="BY8" s="864"/>
      <c r="BZ8" s="864"/>
      <c r="CA8" s="864"/>
      <c r="CB8" s="864"/>
      <c r="CC8" s="882" t="s">
        <v>2865</v>
      </c>
      <c r="CD8" s="864"/>
      <c r="CE8" s="864"/>
      <c r="CF8" s="864"/>
      <c r="CG8" s="864"/>
      <c r="CH8" s="864"/>
      <c r="CI8" s="864"/>
      <c r="CJ8" s="864"/>
      <c r="CK8" s="880" t="s">
        <v>2874</v>
      </c>
      <c r="CL8" s="880" t="s">
        <v>2893</v>
      </c>
      <c r="CM8" s="864"/>
      <c r="CN8" s="864"/>
      <c r="CO8" s="864"/>
      <c r="CP8" s="864"/>
      <c r="CQ8" s="864"/>
      <c r="CR8" s="864"/>
      <c r="CS8" s="864"/>
      <c r="CT8" s="864"/>
      <c r="CU8" s="864"/>
      <c r="CV8" s="864"/>
      <c r="CW8" s="864"/>
      <c r="CX8" s="864"/>
      <c r="CY8" s="864"/>
      <c r="CZ8" s="864"/>
      <c r="DA8" s="864"/>
      <c r="DB8" s="864"/>
      <c r="DC8" s="864"/>
      <c r="DD8" s="864"/>
      <c r="DE8" s="864"/>
      <c r="DF8" s="880">
        <v>43922</v>
      </c>
      <c r="DG8" s="864"/>
      <c r="DH8" s="880">
        <v>43784</v>
      </c>
      <c r="DI8" s="880">
        <v>43840</v>
      </c>
      <c r="DJ8" s="880">
        <v>43866</v>
      </c>
      <c r="DK8" s="880">
        <v>43846</v>
      </c>
      <c r="DL8" s="880">
        <v>43878</v>
      </c>
      <c r="DM8" s="880">
        <v>43831</v>
      </c>
      <c r="DN8" s="864"/>
      <c r="DO8" s="864"/>
      <c r="DP8" s="880">
        <v>44069</v>
      </c>
      <c r="DQ8" s="864"/>
      <c r="DR8" s="864"/>
      <c r="DS8" s="864"/>
      <c r="DT8" s="864"/>
      <c r="DU8" s="864"/>
      <c r="DV8" s="864"/>
      <c r="DW8" s="864"/>
      <c r="DX8" s="864"/>
      <c r="DY8" s="864"/>
      <c r="DZ8" s="864"/>
      <c r="EA8" s="864"/>
      <c r="EB8" s="864"/>
      <c r="EC8" s="864"/>
      <c r="ED8" s="864"/>
      <c r="EE8" s="864"/>
      <c r="EF8" s="880">
        <v>43831</v>
      </c>
      <c r="EG8" s="880">
        <v>43969</v>
      </c>
      <c r="EH8" s="880">
        <v>43661</v>
      </c>
      <c r="EI8" s="855" t="s">
        <v>3039</v>
      </c>
      <c r="EJ8" s="883" t="s">
        <v>3054</v>
      </c>
      <c r="EK8" s="883">
        <v>43711</v>
      </c>
      <c r="EL8" s="883">
        <v>43952</v>
      </c>
      <c r="EM8" s="883">
        <v>43888</v>
      </c>
      <c r="EN8" s="883">
        <v>43957</v>
      </c>
      <c r="EO8" s="883">
        <v>43948</v>
      </c>
      <c r="EP8" s="853" t="s">
        <v>3131</v>
      </c>
      <c r="EQ8" s="883" t="s">
        <v>3141</v>
      </c>
      <c r="ER8" s="883">
        <v>43958</v>
      </c>
      <c r="ES8" s="883" t="s">
        <v>3170</v>
      </c>
      <c r="ET8" s="884">
        <v>43866</v>
      </c>
      <c r="EU8" s="864"/>
      <c r="EV8" s="864"/>
      <c r="EW8" s="880">
        <v>43997</v>
      </c>
      <c r="EX8" s="864"/>
      <c r="EY8" s="864"/>
      <c r="EZ8" s="864"/>
      <c r="FA8" s="864"/>
      <c r="FB8" s="864"/>
      <c r="FC8" s="864"/>
      <c r="FD8" s="864"/>
      <c r="FE8" s="880" t="s">
        <v>2261</v>
      </c>
      <c r="FF8" s="864"/>
      <c r="FG8" s="864"/>
      <c r="FH8" s="864"/>
      <c r="FI8" s="864"/>
      <c r="FJ8" s="864"/>
      <c r="FK8" s="885" t="s">
        <v>3225</v>
      </c>
      <c r="FL8" s="885">
        <v>43895</v>
      </c>
      <c r="FM8" s="880" t="s">
        <v>3266</v>
      </c>
      <c r="FN8" s="880">
        <v>43633</v>
      </c>
      <c r="FO8" s="885">
        <v>43935</v>
      </c>
      <c r="FP8" s="880">
        <v>43557</v>
      </c>
      <c r="FQ8" s="880">
        <v>43551</v>
      </c>
      <c r="FR8" s="864"/>
      <c r="FS8" s="864"/>
      <c r="FT8" s="864"/>
      <c r="FU8" s="864"/>
      <c r="FV8" s="864"/>
      <c r="FW8" s="864"/>
      <c r="FX8" s="864"/>
      <c r="FY8" s="864"/>
      <c r="FZ8" s="864"/>
      <c r="GA8" s="880" t="s">
        <v>3331</v>
      </c>
      <c r="GB8" s="880">
        <v>43028</v>
      </c>
      <c r="GC8" s="880"/>
      <c r="GD8" s="880" t="s">
        <v>3373</v>
      </c>
      <c r="GE8" s="880">
        <v>43892</v>
      </c>
      <c r="GF8" s="886">
        <v>43965</v>
      </c>
      <c r="GG8" s="880" t="s">
        <v>3407</v>
      </c>
      <c r="GH8" s="864"/>
      <c r="GI8" s="864"/>
      <c r="GJ8" s="864"/>
      <c r="GK8" s="864"/>
      <c r="GL8" s="864"/>
      <c r="GM8" s="864"/>
      <c r="GN8" s="864"/>
      <c r="GO8" s="887">
        <v>43460</v>
      </c>
      <c r="GP8" s="855" t="s">
        <v>3437</v>
      </c>
      <c r="GQ8" s="867">
        <v>43802</v>
      </c>
      <c r="GR8" s="864"/>
      <c r="GS8" s="864"/>
      <c r="GT8" s="864"/>
      <c r="GU8" s="864"/>
      <c r="GV8" s="864"/>
      <c r="GW8" s="864"/>
      <c r="GX8" s="864"/>
      <c r="GY8" s="864"/>
      <c r="GZ8" s="864"/>
      <c r="HA8" s="864"/>
      <c r="HB8" s="864"/>
      <c r="HC8" s="864"/>
      <c r="HD8" s="864"/>
      <c r="HE8" s="880">
        <v>43948</v>
      </c>
      <c r="HF8" s="885">
        <v>43507</v>
      </c>
      <c r="HG8" s="864"/>
      <c r="HH8" s="883">
        <v>43840</v>
      </c>
      <c r="HI8" s="880">
        <v>43943</v>
      </c>
      <c r="HJ8" s="880" t="s">
        <v>3529</v>
      </c>
      <c r="HK8" s="883" t="s">
        <v>3542</v>
      </c>
      <c r="HL8" s="864"/>
      <c r="HM8" s="864"/>
      <c r="HN8" s="864"/>
      <c r="HO8" s="888">
        <v>43621</v>
      </c>
      <c r="HP8" s="885">
        <v>44013</v>
      </c>
      <c r="HQ8" s="885" t="s">
        <v>3573</v>
      </c>
      <c r="HR8" s="885">
        <v>43983</v>
      </c>
      <c r="HS8" s="885" t="s">
        <v>3573</v>
      </c>
      <c r="HT8" s="885" t="s">
        <v>3573</v>
      </c>
      <c r="HU8" s="885" t="s">
        <v>3573</v>
      </c>
      <c r="HV8" s="885">
        <v>43998</v>
      </c>
      <c r="HW8" s="885" t="s">
        <v>3573</v>
      </c>
      <c r="HX8" s="880" t="s">
        <v>3624</v>
      </c>
      <c r="HY8" s="880">
        <v>43983</v>
      </c>
      <c r="HZ8" s="880">
        <v>43891</v>
      </c>
      <c r="IA8" s="880" t="s">
        <v>3655</v>
      </c>
      <c r="IB8" s="880">
        <v>43922</v>
      </c>
      <c r="IC8" s="880">
        <v>43992</v>
      </c>
      <c r="ID8" s="880">
        <v>43742</v>
      </c>
      <c r="IE8" s="885">
        <v>43709</v>
      </c>
      <c r="IF8" s="885" t="s">
        <v>3573</v>
      </c>
      <c r="IG8" s="889" t="s">
        <v>3720</v>
      </c>
      <c r="IH8" s="880">
        <v>43613</v>
      </c>
      <c r="II8" s="885">
        <v>43678</v>
      </c>
      <c r="IJ8" s="890">
        <v>43678</v>
      </c>
      <c r="IK8" s="885" t="s">
        <v>3573</v>
      </c>
      <c r="IL8" s="880" t="s">
        <v>3771</v>
      </c>
      <c r="IM8" s="880">
        <v>43983</v>
      </c>
      <c r="IN8" s="880">
        <v>43972</v>
      </c>
      <c r="IO8" s="864"/>
      <c r="IP8" s="864"/>
      <c r="IQ8" s="864"/>
      <c r="IR8" s="891" t="s">
        <v>3809</v>
      </c>
      <c r="IS8" s="880" t="s">
        <v>3825</v>
      </c>
      <c r="IT8" s="880">
        <v>43902</v>
      </c>
      <c r="IU8" s="880" t="s">
        <v>3865</v>
      </c>
      <c r="IV8" s="880">
        <v>43628</v>
      </c>
      <c r="IW8" s="880">
        <v>43815</v>
      </c>
      <c r="IX8" s="883">
        <v>43805</v>
      </c>
      <c r="IY8" s="886">
        <v>43930</v>
      </c>
      <c r="IZ8" s="880">
        <v>43831</v>
      </c>
      <c r="JA8" s="880">
        <v>43905</v>
      </c>
      <c r="JB8" s="885">
        <v>43831</v>
      </c>
      <c r="JC8" s="880">
        <v>43916</v>
      </c>
      <c r="JD8" s="880">
        <v>43864</v>
      </c>
      <c r="JE8" s="880">
        <v>43831</v>
      </c>
      <c r="JF8" s="880">
        <v>43831</v>
      </c>
      <c r="JG8" s="880">
        <v>44037</v>
      </c>
      <c r="JH8" s="880">
        <v>43987</v>
      </c>
      <c r="JI8" s="880">
        <v>43933</v>
      </c>
      <c r="JJ8" s="880">
        <v>43647</v>
      </c>
      <c r="JK8" s="880">
        <v>43986</v>
      </c>
      <c r="JL8" s="892" t="s">
        <v>4141</v>
      </c>
      <c r="JM8" s="880">
        <v>44032</v>
      </c>
      <c r="JN8" s="880">
        <v>43999</v>
      </c>
      <c r="JO8" s="880">
        <v>43998</v>
      </c>
      <c r="JP8" s="880">
        <v>43997</v>
      </c>
      <c r="JQ8" s="883">
        <v>44112</v>
      </c>
      <c r="JR8" s="880" t="s">
        <v>465</v>
      </c>
      <c r="JS8" s="880" t="s">
        <v>4192</v>
      </c>
      <c r="JT8" s="880">
        <v>43997</v>
      </c>
      <c r="JU8" s="880">
        <v>44026</v>
      </c>
      <c r="JV8" s="880">
        <v>44102</v>
      </c>
      <c r="JW8" s="880">
        <v>43914</v>
      </c>
      <c r="JX8" s="880" t="s">
        <v>4242</v>
      </c>
      <c r="JY8" s="893" t="s">
        <v>2770</v>
      </c>
      <c r="JZ8" s="880">
        <v>44018</v>
      </c>
      <c r="KA8" s="880">
        <v>43887</v>
      </c>
      <c r="KB8" s="880">
        <v>43887</v>
      </c>
      <c r="KC8" s="880">
        <v>43710</v>
      </c>
      <c r="KD8" s="880" t="s">
        <v>4298</v>
      </c>
      <c r="KE8" s="891">
        <v>43905</v>
      </c>
      <c r="KF8" s="891">
        <v>43829</v>
      </c>
      <c r="KG8" s="891">
        <v>43868</v>
      </c>
      <c r="KH8" s="891">
        <v>43871</v>
      </c>
      <c r="KI8" s="891">
        <v>43847</v>
      </c>
      <c r="KJ8" s="891">
        <v>43822</v>
      </c>
      <c r="KK8" s="891">
        <v>43941</v>
      </c>
      <c r="KL8" s="880">
        <v>43570</v>
      </c>
      <c r="KM8" s="864"/>
      <c r="KN8" s="864"/>
      <c r="KO8" s="864"/>
      <c r="KP8" s="864"/>
      <c r="KQ8" s="864"/>
      <c r="KR8" s="894">
        <v>43892</v>
      </c>
      <c r="KS8" s="864"/>
      <c r="KT8" s="880" t="s">
        <v>641</v>
      </c>
      <c r="KU8" s="864"/>
      <c r="KV8" s="880">
        <v>43711</v>
      </c>
      <c r="KW8" s="880">
        <v>43678</v>
      </c>
      <c r="KX8" s="880">
        <v>43665</v>
      </c>
      <c r="KY8" s="895">
        <v>43612</v>
      </c>
      <c r="KZ8" s="880">
        <v>43717</v>
      </c>
      <c r="LA8" s="880">
        <v>43637</v>
      </c>
      <c r="LB8" s="880">
        <v>43721</v>
      </c>
      <c r="LC8" s="880">
        <v>43721</v>
      </c>
      <c r="LD8" s="880">
        <v>43647</v>
      </c>
      <c r="LE8" s="880">
        <v>43864</v>
      </c>
      <c r="LF8" s="883">
        <v>43665</v>
      </c>
      <c r="LG8" s="883">
        <v>43775</v>
      </c>
      <c r="LH8" s="883" t="s">
        <v>4607</v>
      </c>
      <c r="LI8" s="883" t="s">
        <v>4619</v>
      </c>
      <c r="LJ8" s="883">
        <v>43983</v>
      </c>
      <c r="LK8" s="883" t="s">
        <v>4640</v>
      </c>
      <c r="LL8" s="883" t="s">
        <v>4649</v>
      </c>
      <c r="LM8" s="883" t="s">
        <v>4657</v>
      </c>
      <c r="LN8" s="883">
        <v>43556</v>
      </c>
      <c r="LO8" s="883">
        <v>43585</v>
      </c>
      <c r="LP8" s="883">
        <v>43862</v>
      </c>
      <c r="LQ8" s="883" t="s">
        <v>4710</v>
      </c>
      <c r="LR8" s="883">
        <v>43665</v>
      </c>
      <c r="LS8" s="883">
        <v>43789</v>
      </c>
      <c r="LT8" s="883">
        <v>43935</v>
      </c>
      <c r="LU8" s="883">
        <v>43862</v>
      </c>
      <c r="LV8" s="883" t="s">
        <v>4780</v>
      </c>
      <c r="LW8" s="883" t="s">
        <v>4794</v>
      </c>
      <c r="LX8" s="883">
        <v>44140</v>
      </c>
      <c r="LY8" s="883">
        <v>43944</v>
      </c>
    </row>
    <row r="9" spans="1:348" ht="90" customHeight="1" thickBot="1" x14ac:dyDescent="0.3">
      <c r="A9" s="1585"/>
      <c r="B9" s="1618"/>
      <c r="C9" s="1603"/>
      <c r="D9" s="1599"/>
      <c r="E9" s="836" t="s">
        <v>259</v>
      </c>
      <c r="F9" s="863"/>
      <c r="G9" s="863"/>
      <c r="H9" s="864"/>
      <c r="I9" s="864"/>
      <c r="J9" s="864"/>
      <c r="K9" s="864"/>
      <c r="L9" s="864"/>
      <c r="M9" s="864"/>
      <c r="N9" s="852">
        <v>44193</v>
      </c>
      <c r="O9" s="869" t="s">
        <v>5324</v>
      </c>
      <c r="P9" s="864"/>
      <c r="Q9" s="864"/>
      <c r="R9" s="864"/>
      <c r="S9" s="864"/>
      <c r="T9" s="864"/>
      <c r="U9" s="864"/>
      <c r="V9" s="880" t="s">
        <v>2665</v>
      </c>
      <c r="W9" s="880" t="s">
        <v>1186</v>
      </c>
      <c r="X9" s="880" t="s">
        <v>1186</v>
      </c>
      <c r="Y9" s="880" t="s">
        <v>2665</v>
      </c>
      <c r="Z9" s="880">
        <v>44190</v>
      </c>
      <c r="AA9" s="864"/>
      <c r="AB9" s="864"/>
      <c r="AC9" s="864"/>
      <c r="AD9" s="864"/>
      <c r="AE9" s="864"/>
      <c r="AF9" s="864"/>
      <c r="AG9" s="864"/>
      <c r="AH9" s="864"/>
      <c r="AI9" s="864"/>
      <c r="AJ9" s="864"/>
      <c r="AK9" s="864"/>
      <c r="AL9" s="864"/>
      <c r="AM9" s="864"/>
      <c r="AN9" s="864"/>
      <c r="AO9" s="864"/>
      <c r="AP9" s="864"/>
      <c r="AQ9" s="864"/>
      <c r="AR9" s="864"/>
      <c r="AS9" s="864"/>
      <c r="AT9" s="864"/>
      <c r="AU9" s="864"/>
      <c r="AV9" s="880">
        <v>44196</v>
      </c>
      <c r="AW9" s="852">
        <v>44196</v>
      </c>
      <c r="AX9" s="864"/>
      <c r="AY9" s="864"/>
      <c r="AZ9" s="864"/>
      <c r="BA9" s="881">
        <v>44196</v>
      </c>
      <c r="BB9" s="880" t="s">
        <v>2771</v>
      </c>
      <c r="BC9" s="880">
        <v>44196</v>
      </c>
      <c r="BD9" s="880" t="s">
        <v>1119</v>
      </c>
      <c r="BE9" s="864"/>
      <c r="BF9" s="864"/>
      <c r="BG9" s="864"/>
      <c r="BH9" s="864"/>
      <c r="BI9" s="864"/>
      <c r="BJ9" s="864"/>
      <c r="BK9" s="864"/>
      <c r="BL9" s="864"/>
      <c r="BM9" s="864"/>
      <c r="BN9" s="864"/>
      <c r="BO9" s="864"/>
      <c r="BP9" s="864"/>
      <c r="BQ9" s="864"/>
      <c r="BR9" s="864"/>
      <c r="BS9" s="864"/>
      <c r="BT9" s="880" t="s">
        <v>1186</v>
      </c>
      <c r="BU9" s="880">
        <v>44926</v>
      </c>
      <c r="BV9" s="880">
        <v>44182</v>
      </c>
      <c r="BW9" s="880">
        <v>44050</v>
      </c>
      <c r="BX9" s="864"/>
      <c r="BY9" s="864"/>
      <c r="BZ9" s="864"/>
      <c r="CA9" s="864"/>
      <c r="CB9" s="864"/>
      <c r="CC9" s="882" t="s">
        <v>1186</v>
      </c>
      <c r="CD9" s="864"/>
      <c r="CE9" s="864"/>
      <c r="CF9" s="864"/>
      <c r="CG9" s="864"/>
      <c r="CH9" s="864"/>
      <c r="CI9" s="864"/>
      <c r="CJ9" s="864"/>
      <c r="CK9" s="880" t="s">
        <v>2875</v>
      </c>
      <c r="CL9" s="880"/>
      <c r="CM9" s="864"/>
      <c r="CN9" s="864"/>
      <c r="CO9" s="864"/>
      <c r="CP9" s="864"/>
      <c r="CQ9" s="864"/>
      <c r="CR9" s="864"/>
      <c r="CS9" s="864"/>
      <c r="CT9" s="864"/>
      <c r="CU9" s="864"/>
      <c r="CV9" s="864"/>
      <c r="CW9" s="864"/>
      <c r="CX9" s="864"/>
      <c r="CY9" s="864"/>
      <c r="CZ9" s="864"/>
      <c r="DA9" s="864"/>
      <c r="DB9" s="864"/>
      <c r="DC9" s="864"/>
      <c r="DD9" s="864"/>
      <c r="DE9" s="864"/>
      <c r="DF9" s="880">
        <v>44092</v>
      </c>
      <c r="DG9" s="864"/>
      <c r="DH9" s="880">
        <v>44196</v>
      </c>
      <c r="DI9" s="880">
        <v>44195</v>
      </c>
      <c r="DJ9" s="880">
        <v>44044</v>
      </c>
      <c r="DK9" s="880">
        <v>43886</v>
      </c>
      <c r="DL9" s="880">
        <v>43910</v>
      </c>
      <c r="DM9" s="880">
        <v>44196</v>
      </c>
      <c r="DN9" s="864"/>
      <c r="DO9" s="864"/>
      <c r="DP9" s="880">
        <v>44134</v>
      </c>
      <c r="DQ9" s="864"/>
      <c r="DR9" s="864"/>
      <c r="DS9" s="864"/>
      <c r="DT9" s="864"/>
      <c r="DU9" s="864"/>
      <c r="DV9" s="864"/>
      <c r="DW9" s="864"/>
      <c r="DX9" s="864"/>
      <c r="DY9" s="864"/>
      <c r="DZ9" s="864"/>
      <c r="EA9" s="864"/>
      <c r="EB9" s="864"/>
      <c r="EC9" s="864"/>
      <c r="ED9" s="864"/>
      <c r="EE9" s="864"/>
      <c r="EF9" s="880">
        <v>44194</v>
      </c>
      <c r="EG9" s="880">
        <v>44069</v>
      </c>
      <c r="EH9" s="880">
        <v>44196</v>
      </c>
      <c r="EI9" s="855">
        <v>44195</v>
      </c>
      <c r="EJ9" s="883" t="s">
        <v>3055</v>
      </c>
      <c r="EK9" s="883">
        <v>44054</v>
      </c>
      <c r="EL9" s="883">
        <v>44196</v>
      </c>
      <c r="EM9" s="883">
        <v>43934</v>
      </c>
      <c r="EN9" s="883">
        <v>44147</v>
      </c>
      <c r="EO9" s="883">
        <v>43980</v>
      </c>
      <c r="EP9" s="853" t="s">
        <v>1119</v>
      </c>
      <c r="EQ9" s="883" t="s">
        <v>1186</v>
      </c>
      <c r="ER9" s="883">
        <v>44125</v>
      </c>
      <c r="ES9" s="883" t="s">
        <v>3171</v>
      </c>
      <c r="ET9" s="884" t="s">
        <v>460</v>
      </c>
      <c r="EU9" s="864"/>
      <c r="EV9" s="864"/>
      <c r="EW9" s="880">
        <v>44196</v>
      </c>
      <c r="EX9" s="864"/>
      <c r="EY9" s="864"/>
      <c r="EZ9" s="864"/>
      <c r="FA9" s="864"/>
      <c r="FB9" s="864"/>
      <c r="FC9" s="864"/>
      <c r="FD9" s="864"/>
      <c r="FE9" s="880" t="s">
        <v>1186</v>
      </c>
      <c r="FF9" s="864"/>
      <c r="FG9" s="864"/>
      <c r="FH9" s="864"/>
      <c r="FI9" s="864"/>
      <c r="FJ9" s="864"/>
      <c r="FK9" s="885" t="s">
        <v>460</v>
      </c>
      <c r="FL9" s="885" t="s">
        <v>3246</v>
      </c>
      <c r="FM9" s="880">
        <v>44196</v>
      </c>
      <c r="FN9" s="880">
        <v>44196</v>
      </c>
      <c r="FO9" s="885">
        <v>44104</v>
      </c>
      <c r="FP9" s="880">
        <v>44196</v>
      </c>
      <c r="FQ9" s="880" t="s">
        <v>3316</v>
      </c>
      <c r="FR9" s="864"/>
      <c r="FS9" s="864"/>
      <c r="FT9" s="864"/>
      <c r="FU9" s="864"/>
      <c r="FV9" s="864"/>
      <c r="FW9" s="864"/>
      <c r="FX9" s="864"/>
      <c r="FY9" s="864"/>
      <c r="FZ9" s="864"/>
      <c r="GA9" s="880" t="s">
        <v>1186</v>
      </c>
      <c r="GB9" s="880">
        <v>43845</v>
      </c>
      <c r="GC9" s="880"/>
      <c r="GD9" s="880" t="s">
        <v>3374</v>
      </c>
      <c r="GE9" s="880">
        <v>44196</v>
      </c>
      <c r="GF9" s="880" t="s">
        <v>3401</v>
      </c>
      <c r="GG9" s="880" t="s">
        <v>460</v>
      </c>
      <c r="GH9" s="864"/>
      <c r="GI9" s="864"/>
      <c r="GJ9" s="864"/>
      <c r="GK9" s="864"/>
      <c r="GL9" s="864"/>
      <c r="GM9" s="864"/>
      <c r="GN9" s="864"/>
      <c r="GO9" s="887">
        <v>43824</v>
      </c>
      <c r="GP9" s="855" t="s">
        <v>3438</v>
      </c>
      <c r="GQ9" s="867">
        <v>44134</v>
      </c>
      <c r="GR9" s="864"/>
      <c r="GS9" s="864"/>
      <c r="GT9" s="864"/>
      <c r="GU9" s="864"/>
      <c r="GV9" s="864"/>
      <c r="GW9" s="864"/>
      <c r="GX9" s="864"/>
      <c r="GY9" s="864"/>
      <c r="GZ9" s="864"/>
      <c r="HA9" s="864"/>
      <c r="HB9" s="864"/>
      <c r="HC9" s="864"/>
      <c r="HD9" s="864"/>
      <c r="HE9" s="880">
        <v>44186</v>
      </c>
      <c r="HF9" s="885">
        <v>44196</v>
      </c>
      <c r="HG9" s="864"/>
      <c r="HH9" s="883">
        <v>44196</v>
      </c>
      <c r="HI9" s="880">
        <v>43980</v>
      </c>
      <c r="HJ9" s="880">
        <v>44134</v>
      </c>
      <c r="HK9" s="883">
        <v>44165</v>
      </c>
      <c r="HL9" s="864"/>
      <c r="HM9" s="864"/>
      <c r="HN9" s="864"/>
      <c r="HO9" s="888">
        <v>43845</v>
      </c>
      <c r="HP9" s="885">
        <v>44134</v>
      </c>
      <c r="HQ9" s="885" t="s">
        <v>3574</v>
      </c>
      <c r="HR9" s="885">
        <v>44044</v>
      </c>
      <c r="HS9" s="885" t="s">
        <v>3574</v>
      </c>
      <c r="HT9" s="885" t="s">
        <v>3574</v>
      </c>
      <c r="HU9" s="885" t="s">
        <v>3574</v>
      </c>
      <c r="HV9" s="885">
        <v>44066</v>
      </c>
      <c r="HW9" s="885" t="s">
        <v>3574</v>
      </c>
      <c r="HX9" s="880" t="s">
        <v>3625</v>
      </c>
      <c r="HY9" s="880">
        <v>44012</v>
      </c>
      <c r="HZ9" s="880">
        <v>44196</v>
      </c>
      <c r="IA9" s="880" t="s">
        <v>3656</v>
      </c>
      <c r="IB9" s="880">
        <v>44159</v>
      </c>
      <c r="IC9" s="880">
        <v>44136</v>
      </c>
      <c r="ID9" s="880" t="s">
        <v>3691</v>
      </c>
      <c r="IE9" s="885" t="s">
        <v>3703</v>
      </c>
      <c r="IF9" s="885" t="s">
        <v>3574</v>
      </c>
      <c r="IG9" s="889" t="s">
        <v>3721</v>
      </c>
      <c r="IH9" s="880">
        <v>44148</v>
      </c>
      <c r="II9" s="885">
        <v>44105</v>
      </c>
      <c r="IJ9" s="890">
        <v>44105</v>
      </c>
      <c r="IK9" s="885" t="s">
        <v>3574</v>
      </c>
      <c r="IL9" s="880">
        <v>44196</v>
      </c>
      <c r="IM9" s="880">
        <v>44106</v>
      </c>
      <c r="IN9" s="880">
        <v>43985</v>
      </c>
      <c r="IO9" s="864"/>
      <c r="IP9" s="864"/>
      <c r="IQ9" s="864"/>
      <c r="IR9" s="896" t="s">
        <v>3810</v>
      </c>
      <c r="IS9" s="880" t="s">
        <v>3826</v>
      </c>
      <c r="IT9" s="880">
        <v>44196</v>
      </c>
      <c r="IU9" s="880" t="s">
        <v>2176</v>
      </c>
      <c r="IV9" s="880">
        <v>44196</v>
      </c>
      <c r="IW9" s="880">
        <v>44196</v>
      </c>
      <c r="IX9" s="883">
        <v>43888</v>
      </c>
      <c r="IY9" s="886">
        <v>44196</v>
      </c>
      <c r="IZ9" s="880">
        <v>43861</v>
      </c>
      <c r="JA9" s="880">
        <v>44175</v>
      </c>
      <c r="JB9" s="885">
        <v>44196</v>
      </c>
      <c r="JC9" s="880">
        <v>44154</v>
      </c>
      <c r="JD9" s="880">
        <v>44180</v>
      </c>
      <c r="JE9" s="880">
        <v>44195</v>
      </c>
      <c r="JF9" s="880">
        <v>44196</v>
      </c>
      <c r="JG9" s="880">
        <v>44188</v>
      </c>
      <c r="JH9" s="880">
        <v>44123</v>
      </c>
      <c r="JI9" s="880">
        <v>44190</v>
      </c>
      <c r="JJ9" s="880">
        <v>44169</v>
      </c>
      <c r="JK9" s="880">
        <v>44196</v>
      </c>
      <c r="JL9" s="897">
        <v>44196</v>
      </c>
      <c r="JM9" s="880">
        <v>44036</v>
      </c>
      <c r="JN9" s="880">
        <v>44144</v>
      </c>
      <c r="JO9" s="880">
        <v>44008</v>
      </c>
      <c r="JP9" s="880">
        <v>44125</v>
      </c>
      <c r="JQ9" s="883">
        <v>44168</v>
      </c>
      <c r="JR9" s="880" t="s">
        <v>465</v>
      </c>
      <c r="JS9" s="880" t="s">
        <v>460</v>
      </c>
      <c r="JT9" s="880" t="s">
        <v>460</v>
      </c>
      <c r="JU9" s="880" t="s">
        <v>4215</v>
      </c>
      <c r="JV9" s="880">
        <v>44126</v>
      </c>
      <c r="JW9" s="880">
        <v>43943</v>
      </c>
      <c r="JX9" s="880" t="s">
        <v>4243</v>
      </c>
      <c r="JY9" s="880" t="s">
        <v>4254</v>
      </c>
      <c r="JZ9" s="880">
        <v>44075</v>
      </c>
      <c r="KA9" s="880">
        <v>44138</v>
      </c>
      <c r="KB9" s="880">
        <v>44120</v>
      </c>
      <c r="KC9" s="880">
        <v>44119</v>
      </c>
      <c r="KD9" s="880" t="s">
        <v>3574</v>
      </c>
      <c r="KE9" s="891">
        <v>43922</v>
      </c>
      <c r="KF9" s="891">
        <v>44104</v>
      </c>
      <c r="KG9" s="891">
        <v>44104</v>
      </c>
      <c r="KH9" s="891">
        <v>44075</v>
      </c>
      <c r="KI9" s="891">
        <v>44075</v>
      </c>
      <c r="KJ9" s="891">
        <v>44068</v>
      </c>
      <c r="KK9" s="891">
        <v>44075</v>
      </c>
      <c r="KL9" s="880">
        <v>44196</v>
      </c>
      <c r="KM9" s="864"/>
      <c r="KN9" s="864"/>
      <c r="KO9" s="864"/>
      <c r="KP9" s="864"/>
      <c r="KQ9" s="864"/>
      <c r="KR9" s="894">
        <v>44196</v>
      </c>
      <c r="KS9" s="864"/>
      <c r="KT9" s="880" t="s">
        <v>4391</v>
      </c>
      <c r="KU9" s="864"/>
      <c r="KV9" s="880">
        <v>44196</v>
      </c>
      <c r="KW9" s="880">
        <v>44101</v>
      </c>
      <c r="KX9" s="880">
        <v>44085</v>
      </c>
      <c r="KY9" s="895">
        <v>44196</v>
      </c>
      <c r="KZ9" s="880">
        <v>44196</v>
      </c>
      <c r="LA9" s="880">
        <v>44195</v>
      </c>
      <c r="LB9" s="880" t="s">
        <v>4540</v>
      </c>
      <c r="LC9" s="880" t="s">
        <v>4540</v>
      </c>
      <c r="LD9" s="880">
        <v>43861</v>
      </c>
      <c r="LE9" s="880">
        <v>44074</v>
      </c>
      <c r="LF9" s="883" t="s">
        <v>1645</v>
      </c>
      <c r="LG9" s="883">
        <v>44074</v>
      </c>
      <c r="LH9" s="883" t="s">
        <v>4608</v>
      </c>
      <c r="LI9" s="883" t="s">
        <v>4620</v>
      </c>
      <c r="LJ9" s="883">
        <v>44008</v>
      </c>
      <c r="LK9" s="883" t="s">
        <v>4620</v>
      </c>
      <c r="LL9" s="883" t="s">
        <v>4650</v>
      </c>
      <c r="LM9" s="883" t="s">
        <v>4658</v>
      </c>
      <c r="LN9" s="883">
        <v>44175</v>
      </c>
      <c r="LO9" s="883">
        <v>44081</v>
      </c>
      <c r="LP9" s="883" t="s">
        <v>4690</v>
      </c>
      <c r="LQ9" s="883" t="s">
        <v>4711</v>
      </c>
      <c r="LR9" s="883">
        <v>44196</v>
      </c>
      <c r="LS9" s="883">
        <v>44196</v>
      </c>
      <c r="LT9" s="883">
        <v>44196</v>
      </c>
      <c r="LU9" s="883">
        <v>44196</v>
      </c>
      <c r="LV9" s="883" t="s">
        <v>4781</v>
      </c>
      <c r="LW9" s="883">
        <v>44089</v>
      </c>
      <c r="LX9" s="883">
        <v>44196</v>
      </c>
      <c r="LY9" s="883">
        <v>44196</v>
      </c>
    </row>
    <row r="10" spans="1:348" ht="33" customHeight="1" x14ac:dyDescent="0.25">
      <c r="A10" s="342"/>
      <c r="B10" s="343"/>
      <c r="C10" s="344"/>
      <c r="D10" s="345"/>
      <c r="E10" s="835"/>
      <c r="F10" s="863"/>
      <c r="G10" s="863"/>
      <c r="H10" s="864"/>
      <c r="I10" s="864"/>
      <c r="J10" s="864"/>
      <c r="K10" s="864"/>
      <c r="L10" s="864"/>
      <c r="M10" s="864"/>
      <c r="N10" s="852"/>
      <c r="O10" s="869"/>
      <c r="P10" s="864"/>
      <c r="Q10" s="864"/>
      <c r="R10" s="864"/>
      <c r="S10" s="864"/>
      <c r="T10" s="864"/>
      <c r="U10" s="864"/>
      <c r="V10" s="880"/>
      <c r="W10" s="880"/>
      <c r="X10" s="880"/>
      <c r="Y10" s="880"/>
      <c r="Z10" s="880"/>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80"/>
      <c r="AW10" s="852"/>
      <c r="AX10" s="864"/>
      <c r="AY10" s="864"/>
      <c r="AZ10" s="864"/>
      <c r="BA10" s="881"/>
      <c r="BB10" s="880"/>
      <c r="BC10" s="880"/>
      <c r="BD10" s="880"/>
      <c r="BE10" s="864"/>
      <c r="BF10" s="864"/>
      <c r="BG10" s="864"/>
      <c r="BH10" s="864"/>
      <c r="BI10" s="864"/>
      <c r="BJ10" s="864"/>
      <c r="BK10" s="864"/>
      <c r="BL10" s="864"/>
      <c r="BM10" s="864"/>
      <c r="BN10" s="864"/>
      <c r="BO10" s="864"/>
      <c r="BP10" s="864"/>
      <c r="BQ10" s="864"/>
      <c r="BR10" s="864"/>
      <c r="BS10" s="864"/>
      <c r="BT10" s="880"/>
      <c r="BU10" s="880"/>
      <c r="BV10" s="880"/>
      <c r="BW10" s="880"/>
      <c r="BX10" s="864"/>
      <c r="BY10" s="864"/>
      <c r="BZ10" s="864"/>
      <c r="CA10" s="864"/>
      <c r="CB10" s="864"/>
      <c r="CC10" s="882"/>
      <c r="CD10" s="864"/>
      <c r="CE10" s="864"/>
      <c r="CF10" s="864"/>
      <c r="CG10" s="864"/>
      <c r="CH10" s="864"/>
      <c r="CI10" s="864"/>
      <c r="CJ10" s="864"/>
      <c r="CK10" s="880"/>
      <c r="CL10" s="880"/>
      <c r="CM10" s="864"/>
      <c r="CN10" s="864"/>
      <c r="CO10" s="864"/>
      <c r="CP10" s="864"/>
      <c r="CQ10" s="864"/>
      <c r="CR10" s="864"/>
      <c r="CS10" s="864"/>
      <c r="CT10" s="864"/>
      <c r="CU10" s="864"/>
      <c r="CV10" s="864"/>
      <c r="CW10" s="864"/>
      <c r="CX10" s="864"/>
      <c r="CY10" s="864"/>
      <c r="CZ10" s="864"/>
      <c r="DA10" s="864"/>
      <c r="DB10" s="864"/>
      <c r="DC10" s="864"/>
      <c r="DD10" s="864"/>
      <c r="DE10" s="864"/>
      <c r="DF10" s="880"/>
      <c r="DG10" s="864"/>
      <c r="DH10" s="880"/>
      <c r="DI10" s="880"/>
      <c r="DJ10" s="880"/>
      <c r="DK10" s="880"/>
      <c r="DL10" s="880"/>
      <c r="DM10" s="880"/>
      <c r="DN10" s="864"/>
      <c r="DO10" s="864"/>
      <c r="DP10" s="880"/>
      <c r="DQ10" s="864"/>
      <c r="DR10" s="864"/>
      <c r="DS10" s="864"/>
      <c r="DT10" s="864"/>
      <c r="DU10" s="864"/>
      <c r="DV10" s="864"/>
      <c r="DW10" s="864"/>
      <c r="DX10" s="864"/>
      <c r="DY10" s="864"/>
      <c r="DZ10" s="864"/>
      <c r="EA10" s="864"/>
      <c r="EB10" s="864"/>
      <c r="EC10" s="864"/>
      <c r="ED10" s="864"/>
      <c r="EE10" s="864"/>
      <c r="EF10" s="880"/>
      <c r="EG10" s="880"/>
      <c r="EH10" s="880"/>
      <c r="EI10" s="855"/>
      <c r="EJ10" s="883"/>
      <c r="EK10" s="883"/>
      <c r="EL10" s="883"/>
      <c r="EM10" s="883"/>
      <c r="EN10" s="883"/>
      <c r="EO10" s="883"/>
      <c r="EP10" s="853"/>
      <c r="EQ10" s="883"/>
      <c r="ER10" s="883"/>
      <c r="ES10" s="883"/>
      <c r="ET10" s="884"/>
      <c r="EU10" s="864"/>
      <c r="EV10" s="864"/>
      <c r="EW10" s="880"/>
      <c r="EX10" s="864"/>
      <c r="EY10" s="864"/>
      <c r="EZ10" s="864"/>
      <c r="FA10" s="864"/>
      <c r="FB10" s="864"/>
      <c r="FC10" s="864"/>
      <c r="FD10" s="864"/>
      <c r="FE10" s="880"/>
      <c r="FF10" s="864"/>
      <c r="FG10" s="864"/>
      <c r="FH10" s="864"/>
      <c r="FI10" s="864"/>
      <c r="FJ10" s="864"/>
      <c r="FK10" s="885"/>
      <c r="FL10" s="885"/>
      <c r="FM10" s="880"/>
      <c r="FN10" s="880"/>
      <c r="FO10" s="885"/>
      <c r="FP10" s="880"/>
      <c r="FQ10" s="880"/>
      <c r="FR10" s="864"/>
      <c r="FS10" s="864"/>
      <c r="FT10" s="864"/>
      <c r="FU10" s="864"/>
      <c r="FV10" s="864"/>
      <c r="FW10" s="864"/>
      <c r="FX10" s="864"/>
      <c r="FY10" s="864"/>
      <c r="FZ10" s="864"/>
      <c r="GA10" s="880"/>
      <c r="GB10" s="880"/>
      <c r="GC10" s="880"/>
      <c r="GD10" s="880"/>
      <c r="GE10" s="880"/>
      <c r="GF10" s="880"/>
      <c r="GG10" s="880"/>
      <c r="GH10" s="864"/>
      <c r="GI10" s="864"/>
      <c r="GJ10" s="864"/>
      <c r="GK10" s="864"/>
      <c r="GL10" s="864"/>
      <c r="GM10" s="864"/>
      <c r="GN10" s="864"/>
      <c r="GO10" s="887"/>
      <c r="GP10" s="855"/>
      <c r="GQ10" s="867"/>
      <c r="GR10" s="864"/>
      <c r="GS10" s="864"/>
      <c r="GT10" s="864"/>
      <c r="GU10" s="864"/>
      <c r="GV10" s="864"/>
      <c r="GW10" s="864"/>
      <c r="GX10" s="864"/>
      <c r="GY10" s="864"/>
      <c r="GZ10" s="864"/>
      <c r="HA10" s="864"/>
      <c r="HB10" s="864"/>
      <c r="HC10" s="864"/>
      <c r="HD10" s="864"/>
      <c r="HE10" s="880"/>
      <c r="HF10" s="885"/>
      <c r="HG10" s="864"/>
      <c r="HH10" s="883"/>
      <c r="HI10" s="880"/>
      <c r="HJ10" s="880"/>
      <c r="HK10" s="883"/>
      <c r="HL10" s="864"/>
      <c r="HM10" s="864"/>
      <c r="HN10" s="864"/>
      <c r="HO10" s="888"/>
      <c r="HP10" s="885"/>
      <c r="HQ10" s="885"/>
      <c r="HR10" s="885"/>
      <c r="HS10" s="885"/>
      <c r="HT10" s="885"/>
      <c r="HU10" s="885"/>
      <c r="HV10" s="885"/>
      <c r="HW10" s="885"/>
      <c r="HX10" s="880"/>
      <c r="HY10" s="880"/>
      <c r="HZ10" s="880"/>
      <c r="IA10" s="880"/>
      <c r="IB10" s="880"/>
      <c r="IC10" s="880"/>
      <c r="ID10" s="880"/>
      <c r="IE10" s="885"/>
      <c r="IF10" s="885"/>
      <c r="IG10" s="889"/>
      <c r="IH10" s="880"/>
      <c r="II10" s="885"/>
      <c r="IJ10" s="890"/>
      <c r="IK10" s="885"/>
      <c r="IL10" s="880"/>
      <c r="IM10" s="880"/>
      <c r="IN10" s="880"/>
      <c r="IO10" s="864"/>
      <c r="IP10" s="864"/>
      <c r="IQ10" s="864"/>
      <c r="IR10" s="896"/>
      <c r="IS10" s="880"/>
      <c r="IT10" s="880"/>
      <c r="IU10" s="880"/>
      <c r="IV10" s="880"/>
      <c r="IW10" s="880"/>
      <c r="IX10" s="883"/>
      <c r="IY10" s="886"/>
      <c r="IZ10" s="880"/>
      <c r="JA10" s="880"/>
      <c r="JB10" s="885"/>
      <c r="JC10" s="880"/>
      <c r="JD10" s="880"/>
      <c r="JE10" s="880"/>
      <c r="JF10" s="880"/>
      <c r="JG10" s="880"/>
      <c r="JH10" s="880"/>
      <c r="JI10" s="880"/>
      <c r="JJ10" s="880"/>
      <c r="JK10" s="880"/>
      <c r="JL10" s="897"/>
      <c r="JM10" s="880"/>
      <c r="JN10" s="880"/>
      <c r="JO10" s="880"/>
      <c r="JP10" s="880"/>
      <c r="JQ10" s="883"/>
      <c r="JR10" s="880"/>
      <c r="JS10" s="880"/>
      <c r="JT10" s="880"/>
      <c r="JU10" s="880"/>
      <c r="JV10" s="880"/>
      <c r="JW10" s="880"/>
      <c r="JX10" s="880"/>
      <c r="JY10" s="880"/>
      <c r="JZ10" s="880"/>
      <c r="KA10" s="880"/>
      <c r="KB10" s="880"/>
      <c r="KC10" s="880"/>
      <c r="KD10" s="880"/>
      <c r="KE10" s="891"/>
      <c r="KF10" s="891"/>
      <c r="KG10" s="891"/>
      <c r="KH10" s="891"/>
      <c r="KI10" s="891"/>
      <c r="KJ10" s="891"/>
      <c r="KK10" s="891"/>
      <c r="KL10" s="880"/>
      <c r="KM10" s="864"/>
      <c r="KN10" s="864"/>
      <c r="KO10" s="864"/>
      <c r="KP10" s="864"/>
      <c r="KQ10" s="864"/>
      <c r="KR10" s="894"/>
      <c r="KS10" s="864"/>
      <c r="KT10" s="880"/>
      <c r="KU10" s="864"/>
      <c r="KV10" s="880"/>
      <c r="KW10" s="880"/>
      <c r="KX10" s="880"/>
      <c r="KY10" s="895"/>
      <c r="KZ10" s="880"/>
      <c r="LA10" s="880"/>
      <c r="LB10" s="880"/>
      <c r="LC10" s="880"/>
      <c r="LD10" s="880"/>
      <c r="LE10" s="880"/>
      <c r="LF10" s="883"/>
      <c r="LG10" s="883"/>
      <c r="LH10" s="883"/>
      <c r="LI10" s="883"/>
      <c r="LJ10" s="883"/>
      <c r="LK10" s="883"/>
      <c r="LL10" s="883"/>
      <c r="LM10" s="883"/>
      <c r="LN10" s="883"/>
      <c r="LO10" s="883"/>
      <c r="LP10" s="883"/>
      <c r="LQ10" s="883"/>
      <c r="LR10" s="883"/>
      <c r="LS10" s="883"/>
      <c r="LT10" s="883"/>
      <c r="LU10" s="883"/>
      <c r="LV10" s="883"/>
      <c r="LW10" s="883"/>
      <c r="LX10" s="883"/>
      <c r="LY10" s="883"/>
    </row>
    <row r="11" spans="1:348" ht="33" customHeight="1" x14ac:dyDescent="0.25">
      <c r="A11" s="342"/>
      <c r="B11" s="343"/>
      <c r="C11" s="344"/>
      <c r="D11" s="345"/>
      <c r="E11" s="835"/>
      <c r="F11" s="863"/>
      <c r="G11" s="863"/>
      <c r="H11" s="864"/>
      <c r="I11" s="864"/>
      <c r="J11" s="864"/>
      <c r="K11" s="864"/>
      <c r="L11" s="864"/>
      <c r="M11" s="864"/>
      <c r="N11" s="852"/>
      <c r="O11" s="869"/>
      <c r="P11" s="864"/>
      <c r="Q11" s="864"/>
      <c r="R11" s="864"/>
      <c r="S11" s="864"/>
      <c r="T11" s="864"/>
      <c r="U11" s="864"/>
      <c r="V11" s="880"/>
      <c r="W11" s="880"/>
      <c r="X11" s="880"/>
      <c r="Y11" s="880"/>
      <c r="Z11" s="880"/>
      <c r="AA11" s="864"/>
      <c r="AB11" s="864"/>
      <c r="AC11" s="864"/>
      <c r="AD11" s="864"/>
      <c r="AE11" s="864"/>
      <c r="AF11" s="864"/>
      <c r="AG11" s="864"/>
      <c r="AH11" s="864"/>
      <c r="AI11" s="864"/>
      <c r="AJ11" s="864"/>
      <c r="AK11" s="864"/>
      <c r="AL11" s="864"/>
      <c r="AM11" s="864"/>
      <c r="AN11" s="864"/>
      <c r="AO11" s="864"/>
      <c r="AP11" s="864"/>
      <c r="AQ11" s="864"/>
      <c r="AR11" s="864"/>
      <c r="AS11" s="864"/>
      <c r="AT11" s="864"/>
      <c r="AU11" s="864"/>
      <c r="AV11" s="880"/>
      <c r="AW11" s="852"/>
      <c r="AX11" s="864"/>
      <c r="AY11" s="864"/>
      <c r="AZ11" s="864"/>
      <c r="BA11" s="881"/>
      <c r="BB11" s="880"/>
      <c r="BC11" s="880"/>
      <c r="BD11" s="880"/>
      <c r="BE11" s="864"/>
      <c r="BF11" s="864"/>
      <c r="BG11" s="864"/>
      <c r="BH11" s="864"/>
      <c r="BI11" s="864"/>
      <c r="BJ11" s="864"/>
      <c r="BK11" s="864"/>
      <c r="BL11" s="864"/>
      <c r="BM11" s="864"/>
      <c r="BN11" s="864"/>
      <c r="BO11" s="864"/>
      <c r="BP11" s="864"/>
      <c r="BQ11" s="864"/>
      <c r="BR11" s="864"/>
      <c r="BS11" s="864"/>
      <c r="BT11" s="880"/>
      <c r="BU11" s="880"/>
      <c r="BV11" s="880"/>
      <c r="BW11" s="880"/>
      <c r="BX11" s="864"/>
      <c r="BY11" s="864"/>
      <c r="BZ11" s="864"/>
      <c r="CA11" s="864"/>
      <c r="CB11" s="864"/>
      <c r="CC11" s="882"/>
      <c r="CD11" s="864"/>
      <c r="CE11" s="864"/>
      <c r="CF11" s="864"/>
      <c r="CG11" s="864"/>
      <c r="CH11" s="864"/>
      <c r="CI11" s="864"/>
      <c r="CJ11" s="864"/>
      <c r="CK11" s="880"/>
      <c r="CL11" s="880"/>
      <c r="CM11" s="864"/>
      <c r="CN11" s="864"/>
      <c r="CO11" s="864"/>
      <c r="CP11" s="864"/>
      <c r="CQ11" s="864"/>
      <c r="CR11" s="864"/>
      <c r="CS11" s="864"/>
      <c r="CT11" s="864"/>
      <c r="CU11" s="864"/>
      <c r="CV11" s="864"/>
      <c r="CW11" s="864"/>
      <c r="CX11" s="864"/>
      <c r="CY11" s="864"/>
      <c r="CZ11" s="864"/>
      <c r="DA11" s="864"/>
      <c r="DB11" s="864"/>
      <c r="DC11" s="864"/>
      <c r="DD11" s="864"/>
      <c r="DE11" s="864"/>
      <c r="DF11" s="880"/>
      <c r="DG11" s="864"/>
      <c r="DH11" s="880"/>
      <c r="DI11" s="880"/>
      <c r="DJ11" s="880"/>
      <c r="DK11" s="880"/>
      <c r="DL11" s="880"/>
      <c r="DM11" s="880"/>
      <c r="DN11" s="864"/>
      <c r="DO11" s="864"/>
      <c r="DP11" s="880"/>
      <c r="DQ11" s="864"/>
      <c r="DR11" s="864"/>
      <c r="DS11" s="864"/>
      <c r="DT11" s="864"/>
      <c r="DU11" s="864"/>
      <c r="DV11" s="864"/>
      <c r="DW11" s="864"/>
      <c r="DX11" s="864"/>
      <c r="DY11" s="864"/>
      <c r="DZ11" s="864"/>
      <c r="EA11" s="864"/>
      <c r="EB11" s="864"/>
      <c r="EC11" s="864"/>
      <c r="ED11" s="864"/>
      <c r="EE11" s="864"/>
      <c r="EF11" s="880"/>
      <c r="EG11" s="880"/>
      <c r="EH11" s="880"/>
      <c r="EI11" s="855"/>
      <c r="EJ11" s="883"/>
      <c r="EK11" s="883"/>
      <c r="EL11" s="883"/>
      <c r="EM11" s="883"/>
      <c r="EN11" s="883"/>
      <c r="EO11" s="883"/>
      <c r="EP11" s="853"/>
      <c r="EQ11" s="883"/>
      <c r="ER11" s="883"/>
      <c r="ES11" s="883"/>
      <c r="ET11" s="884"/>
      <c r="EU11" s="864"/>
      <c r="EV11" s="864"/>
      <c r="EW11" s="880"/>
      <c r="EX11" s="864"/>
      <c r="EY11" s="864"/>
      <c r="EZ11" s="864"/>
      <c r="FA11" s="864"/>
      <c r="FB11" s="864"/>
      <c r="FC11" s="864"/>
      <c r="FD11" s="864"/>
      <c r="FE11" s="880"/>
      <c r="FF11" s="864"/>
      <c r="FG11" s="864"/>
      <c r="FH11" s="864"/>
      <c r="FI11" s="864"/>
      <c r="FJ11" s="864"/>
      <c r="FK11" s="885"/>
      <c r="FL11" s="885"/>
      <c r="FM11" s="880"/>
      <c r="FN11" s="880"/>
      <c r="FO11" s="885"/>
      <c r="FP11" s="880"/>
      <c r="FQ11" s="880"/>
      <c r="FR11" s="864"/>
      <c r="FS11" s="864"/>
      <c r="FT11" s="864"/>
      <c r="FU11" s="864"/>
      <c r="FV11" s="864"/>
      <c r="FW11" s="864"/>
      <c r="FX11" s="864"/>
      <c r="FY11" s="864"/>
      <c r="FZ11" s="864"/>
      <c r="GA11" s="880"/>
      <c r="GB11" s="880"/>
      <c r="GC11" s="880"/>
      <c r="GD11" s="880"/>
      <c r="GE11" s="880"/>
      <c r="GF11" s="880"/>
      <c r="GG11" s="880"/>
      <c r="GH11" s="864"/>
      <c r="GI11" s="864"/>
      <c r="GJ11" s="864"/>
      <c r="GK11" s="864"/>
      <c r="GL11" s="864"/>
      <c r="GM11" s="864"/>
      <c r="GN11" s="864"/>
      <c r="GO11" s="887"/>
      <c r="GP11" s="855"/>
      <c r="GQ11" s="867"/>
      <c r="GR11" s="864"/>
      <c r="GS11" s="864"/>
      <c r="GT11" s="864"/>
      <c r="GU11" s="864"/>
      <c r="GV11" s="864"/>
      <c r="GW11" s="864"/>
      <c r="GX11" s="864"/>
      <c r="GY11" s="864"/>
      <c r="GZ11" s="864"/>
      <c r="HA11" s="864"/>
      <c r="HB11" s="864"/>
      <c r="HC11" s="864"/>
      <c r="HD11" s="864"/>
      <c r="HE11" s="880"/>
      <c r="HF11" s="885"/>
      <c r="HG11" s="864"/>
      <c r="HH11" s="883"/>
      <c r="HI11" s="880"/>
      <c r="HJ11" s="880"/>
      <c r="HK11" s="883"/>
      <c r="HL11" s="864"/>
      <c r="HM11" s="864"/>
      <c r="HN11" s="864"/>
      <c r="HO11" s="888"/>
      <c r="HP11" s="885"/>
      <c r="HQ11" s="885"/>
      <c r="HR11" s="885"/>
      <c r="HS11" s="885"/>
      <c r="HT11" s="885"/>
      <c r="HU11" s="885"/>
      <c r="HV11" s="885"/>
      <c r="HW11" s="885"/>
      <c r="HX11" s="880"/>
      <c r="HY11" s="880"/>
      <c r="HZ11" s="880"/>
      <c r="IA11" s="880"/>
      <c r="IB11" s="880"/>
      <c r="IC11" s="880"/>
      <c r="ID11" s="880"/>
      <c r="IE11" s="885"/>
      <c r="IF11" s="885"/>
      <c r="IG11" s="889"/>
      <c r="IH11" s="880"/>
      <c r="II11" s="885"/>
      <c r="IJ11" s="890"/>
      <c r="IK11" s="885"/>
      <c r="IL11" s="880"/>
      <c r="IM11" s="880"/>
      <c r="IN11" s="880"/>
      <c r="IO11" s="864"/>
      <c r="IP11" s="864"/>
      <c r="IQ11" s="864"/>
      <c r="IR11" s="896"/>
      <c r="IS11" s="880"/>
      <c r="IT11" s="880"/>
      <c r="IU11" s="880"/>
      <c r="IV11" s="880"/>
      <c r="IW11" s="880"/>
      <c r="IX11" s="883"/>
      <c r="IY11" s="886"/>
      <c r="IZ11" s="880"/>
      <c r="JA11" s="880"/>
      <c r="JB11" s="885"/>
      <c r="JC11" s="880"/>
      <c r="JD11" s="880"/>
      <c r="JE11" s="880"/>
      <c r="JF11" s="880"/>
      <c r="JG11" s="880"/>
      <c r="JH11" s="880"/>
      <c r="JI11" s="880"/>
      <c r="JJ11" s="880"/>
      <c r="JK11" s="880"/>
      <c r="JL11" s="897"/>
      <c r="JM11" s="880"/>
      <c r="JN11" s="880"/>
      <c r="JO11" s="880"/>
      <c r="JP11" s="880"/>
      <c r="JQ11" s="883"/>
      <c r="JR11" s="880"/>
      <c r="JS11" s="880"/>
      <c r="JT11" s="880"/>
      <c r="JU11" s="880"/>
      <c r="JV11" s="880"/>
      <c r="JW11" s="880"/>
      <c r="JX11" s="880"/>
      <c r="JY11" s="880"/>
      <c r="JZ11" s="880"/>
      <c r="KA11" s="880"/>
      <c r="KB11" s="880"/>
      <c r="KC11" s="880"/>
      <c r="KD11" s="880"/>
      <c r="KE11" s="891"/>
      <c r="KF11" s="891"/>
      <c r="KG11" s="891"/>
      <c r="KH11" s="891"/>
      <c r="KI11" s="891"/>
      <c r="KJ11" s="891"/>
      <c r="KK11" s="891"/>
      <c r="KL11" s="880"/>
      <c r="KM11" s="864"/>
      <c r="KN11" s="864"/>
      <c r="KO11" s="864"/>
      <c r="KP11" s="864"/>
      <c r="KQ11" s="864"/>
      <c r="KR11" s="894"/>
      <c r="KS11" s="864"/>
      <c r="KT11" s="880"/>
      <c r="KU11" s="864"/>
      <c r="KV11" s="880"/>
      <c r="KW11" s="880"/>
      <c r="KX11" s="880"/>
      <c r="KY11" s="895"/>
      <c r="KZ11" s="880"/>
      <c r="LA11" s="880"/>
      <c r="LB11" s="880"/>
      <c r="LC11" s="880"/>
      <c r="LD11" s="880"/>
      <c r="LE11" s="880"/>
      <c r="LF11" s="883"/>
      <c r="LG11" s="883"/>
      <c r="LH11" s="883"/>
      <c r="LI11" s="883"/>
      <c r="LJ11" s="883"/>
      <c r="LK11" s="883"/>
      <c r="LL11" s="883"/>
      <c r="LM11" s="883"/>
      <c r="LN11" s="883"/>
      <c r="LO11" s="883"/>
      <c r="LP11" s="883"/>
      <c r="LQ11" s="883"/>
      <c r="LR11" s="883"/>
      <c r="LS11" s="883"/>
      <c r="LT11" s="883"/>
      <c r="LU11" s="883"/>
      <c r="LV11" s="883"/>
      <c r="LW11" s="883"/>
      <c r="LX11" s="883"/>
      <c r="LY11" s="883"/>
    </row>
    <row r="12" spans="1:348" ht="33" customHeight="1" x14ac:dyDescent="0.25">
      <c r="A12" s="342"/>
      <c r="B12" s="343"/>
      <c r="C12" s="344"/>
      <c r="D12" s="345"/>
      <c r="E12" s="835"/>
      <c r="F12" s="863"/>
      <c r="G12" s="863"/>
      <c r="H12" s="864"/>
      <c r="I12" s="864"/>
      <c r="J12" s="864"/>
      <c r="K12" s="864"/>
      <c r="L12" s="864"/>
      <c r="M12" s="864"/>
      <c r="N12" s="852"/>
      <c r="O12" s="869"/>
      <c r="P12" s="864"/>
      <c r="Q12" s="864"/>
      <c r="R12" s="864"/>
      <c r="S12" s="864"/>
      <c r="T12" s="864"/>
      <c r="U12" s="864"/>
      <c r="V12" s="880"/>
      <c r="W12" s="880"/>
      <c r="X12" s="880"/>
      <c r="Y12" s="880"/>
      <c r="Z12" s="880"/>
      <c r="AA12" s="864"/>
      <c r="AB12" s="864"/>
      <c r="AC12" s="864"/>
      <c r="AD12" s="864"/>
      <c r="AE12" s="864"/>
      <c r="AF12" s="864"/>
      <c r="AG12" s="864"/>
      <c r="AH12" s="864"/>
      <c r="AI12" s="864"/>
      <c r="AJ12" s="864"/>
      <c r="AK12" s="864"/>
      <c r="AL12" s="864"/>
      <c r="AM12" s="864"/>
      <c r="AN12" s="864"/>
      <c r="AO12" s="864"/>
      <c r="AP12" s="864"/>
      <c r="AQ12" s="864"/>
      <c r="AR12" s="864"/>
      <c r="AS12" s="864"/>
      <c r="AT12" s="864"/>
      <c r="AU12" s="864"/>
      <c r="AV12" s="880"/>
      <c r="AW12" s="852"/>
      <c r="AX12" s="864"/>
      <c r="AY12" s="864"/>
      <c r="AZ12" s="864"/>
      <c r="BA12" s="881"/>
      <c r="BB12" s="880"/>
      <c r="BC12" s="880"/>
      <c r="BD12" s="880"/>
      <c r="BE12" s="864"/>
      <c r="BF12" s="864"/>
      <c r="BG12" s="864"/>
      <c r="BH12" s="864"/>
      <c r="BI12" s="864"/>
      <c r="BJ12" s="864"/>
      <c r="BK12" s="864"/>
      <c r="BL12" s="864"/>
      <c r="BM12" s="864"/>
      <c r="BN12" s="864"/>
      <c r="BO12" s="864"/>
      <c r="BP12" s="864"/>
      <c r="BQ12" s="864"/>
      <c r="BR12" s="864"/>
      <c r="BS12" s="864"/>
      <c r="BT12" s="880"/>
      <c r="BU12" s="880"/>
      <c r="BV12" s="880"/>
      <c r="BW12" s="880"/>
      <c r="BX12" s="864"/>
      <c r="BY12" s="864"/>
      <c r="BZ12" s="864"/>
      <c r="CA12" s="864"/>
      <c r="CB12" s="864"/>
      <c r="CC12" s="882"/>
      <c r="CD12" s="864"/>
      <c r="CE12" s="864"/>
      <c r="CF12" s="864"/>
      <c r="CG12" s="864"/>
      <c r="CH12" s="864"/>
      <c r="CI12" s="864"/>
      <c r="CJ12" s="864"/>
      <c r="CK12" s="880"/>
      <c r="CL12" s="880"/>
      <c r="CM12" s="864"/>
      <c r="CN12" s="864"/>
      <c r="CO12" s="864"/>
      <c r="CP12" s="864"/>
      <c r="CQ12" s="864"/>
      <c r="CR12" s="864"/>
      <c r="CS12" s="864"/>
      <c r="CT12" s="864"/>
      <c r="CU12" s="864"/>
      <c r="CV12" s="864"/>
      <c r="CW12" s="864"/>
      <c r="CX12" s="864"/>
      <c r="CY12" s="864"/>
      <c r="CZ12" s="864"/>
      <c r="DA12" s="864"/>
      <c r="DB12" s="864"/>
      <c r="DC12" s="864"/>
      <c r="DD12" s="864"/>
      <c r="DE12" s="864"/>
      <c r="DF12" s="880"/>
      <c r="DG12" s="864"/>
      <c r="DH12" s="880"/>
      <c r="DI12" s="880"/>
      <c r="DJ12" s="880"/>
      <c r="DK12" s="880"/>
      <c r="DL12" s="880"/>
      <c r="DM12" s="880"/>
      <c r="DN12" s="864"/>
      <c r="DO12" s="864"/>
      <c r="DP12" s="880"/>
      <c r="DQ12" s="864"/>
      <c r="DR12" s="864"/>
      <c r="DS12" s="864"/>
      <c r="DT12" s="864"/>
      <c r="DU12" s="864"/>
      <c r="DV12" s="864"/>
      <c r="DW12" s="864"/>
      <c r="DX12" s="864"/>
      <c r="DY12" s="864"/>
      <c r="DZ12" s="864"/>
      <c r="EA12" s="864"/>
      <c r="EB12" s="864"/>
      <c r="EC12" s="864"/>
      <c r="ED12" s="864"/>
      <c r="EE12" s="864"/>
      <c r="EF12" s="880"/>
      <c r="EG12" s="880"/>
      <c r="EH12" s="880"/>
      <c r="EI12" s="855"/>
      <c r="EJ12" s="883"/>
      <c r="EK12" s="883"/>
      <c r="EL12" s="883"/>
      <c r="EM12" s="883"/>
      <c r="EN12" s="883"/>
      <c r="EO12" s="883"/>
      <c r="EP12" s="853"/>
      <c r="EQ12" s="883"/>
      <c r="ER12" s="883"/>
      <c r="ES12" s="883"/>
      <c r="ET12" s="884"/>
      <c r="EU12" s="864"/>
      <c r="EV12" s="864"/>
      <c r="EW12" s="880"/>
      <c r="EX12" s="864"/>
      <c r="EY12" s="864"/>
      <c r="EZ12" s="864"/>
      <c r="FA12" s="864"/>
      <c r="FB12" s="864"/>
      <c r="FC12" s="864"/>
      <c r="FD12" s="864"/>
      <c r="FE12" s="880"/>
      <c r="FF12" s="864"/>
      <c r="FG12" s="864"/>
      <c r="FH12" s="864"/>
      <c r="FI12" s="864"/>
      <c r="FJ12" s="864"/>
      <c r="FK12" s="885"/>
      <c r="FL12" s="885"/>
      <c r="FM12" s="880"/>
      <c r="FN12" s="880"/>
      <c r="FO12" s="885"/>
      <c r="FP12" s="880"/>
      <c r="FQ12" s="880"/>
      <c r="FR12" s="864"/>
      <c r="FS12" s="864"/>
      <c r="FT12" s="864"/>
      <c r="FU12" s="864"/>
      <c r="FV12" s="864"/>
      <c r="FW12" s="864"/>
      <c r="FX12" s="864"/>
      <c r="FY12" s="864"/>
      <c r="FZ12" s="864"/>
      <c r="GA12" s="880"/>
      <c r="GB12" s="880"/>
      <c r="GC12" s="880"/>
      <c r="GD12" s="880"/>
      <c r="GE12" s="880"/>
      <c r="GF12" s="880"/>
      <c r="GG12" s="880"/>
      <c r="GH12" s="864"/>
      <c r="GI12" s="864"/>
      <c r="GJ12" s="864"/>
      <c r="GK12" s="864"/>
      <c r="GL12" s="864"/>
      <c r="GM12" s="864"/>
      <c r="GN12" s="864"/>
      <c r="GO12" s="887"/>
      <c r="GP12" s="855"/>
      <c r="GQ12" s="867"/>
      <c r="GR12" s="864"/>
      <c r="GS12" s="864"/>
      <c r="GT12" s="864"/>
      <c r="GU12" s="864"/>
      <c r="GV12" s="864"/>
      <c r="GW12" s="864"/>
      <c r="GX12" s="864"/>
      <c r="GY12" s="864"/>
      <c r="GZ12" s="864"/>
      <c r="HA12" s="864"/>
      <c r="HB12" s="864"/>
      <c r="HC12" s="864"/>
      <c r="HD12" s="864"/>
      <c r="HE12" s="880"/>
      <c r="HF12" s="885"/>
      <c r="HG12" s="864"/>
      <c r="HH12" s="883"/>
      <c r="HI12" s="880"/>
      <c r="HJ12" s="880"/>
      <c r="HK12" s="883"/>
      <c r="HL12" s="864"/>
      <c r="HM12" s="864"/>
      <c r="HN12" s="864"/>
      <c r="HO12" s="888"/>
      <c r="HP12" s="885"/>
      <c r="HQ12" s="885"/>
      <c r="HR12" s="885"/>
      <c r="HS12" s="885"/>
      <c r="HT12" s="885"/>
      <c r="HU12" s="885"/>
      <c r="HV12" s="885"/>
      <c r="HW12" s="885"/>
      <c r="HX12" s="880"/>
      <c r="HY12" s="880"/>
      <c r="HZ12" s="880"/>
      <c r="IA12" s="880"/>
      <c r="IB12" s="880"/>
      <c r="IC12" s="880"/>
      <c r="ID12" s="880"/>
      <c r="IE12" s="885"/>
      <c r="IF12" s="885"/>
      <c r="IG12" s="889"/>
      <c r="IH12" s="880"/>
      <c r="II12" s="885"/>
      <c r="IJ12" s="890"/>
      <c r="IK12" s="885"/>
      <c r="IL12" s="880"/>
      <c r="IM12" s="880"/>
      <c r="IN12" s="880"/>
      <c r="IO12" s="864"/>
      <c r="IP12" s="864"/>
      <c r="IQ12" s="864"/>
      <c r="IR12" s="896"/>
      <c r="IS12" s="880"/>
      <c r="IT12" s="880"/>
      <c r="IU12" s="880"/>
      <c r="IV12" s="880"/>
      <c r="IW12" s="880"/>
      <c r="IX12" s="883"/>
      <c r="IY12" s="886"/>
      <c r="IZ12" s="880"/>
      <c r="JA12" s="880"/>
      <c r="JB12" s="885"/>
      <c r="JC12" s="880"/>
      <c r="JD12" s="880"/>
      <c r="JE12" s="880"/>
      <c r="JF12" s="880"/>
      <c r="JG12" s="880"/>
      <c r="JH12" s="880"/>
      <c r="JI12" s="880"/>
      <c r="JJ12" s="880"/>
      <c r="JK12" s="880"/>
      <c r="JL12" s="897"/>
      <c r="JM12" s="880"/>
      <c r="JN12" s="880"/>
      <c r="JO12" s="880"/>
      <c r="JP12" s="880"/>
      <c r="JQ12" s="883"/>
      <c r="JR12" s="880"/>
      <c r="JS12" s="880"/>
      <c r="JT12" s="880"/>
      <c r="JU12" s="880"/>
      <c r="JV12" s="880"/>
      <c r="JW12" s="880"/>
      <c r="JX12" s="880"/>
      <c r="JY12" s="880"/>
      <c r="JZ12" s="880"/>
      <c r="KA12" s="880"/>
      <c r="KB12" s="880"/>
      <c r="KC12" s="880"/>
      <c r="KD12" s="880"/>
      <c r="KE12" s="891"/>
      <c r="KF12" s="891"/>
      <c r="KG12" s="891"/>
      <c r="KH12" s="891"/>
      <c r="KI12" s="891"/>
      <c r="KJ12" s="891"/>
      <c r="KK12" s="891"/>
      <c r="KL12" s="880"/>
      <c r="KM12" s="864"/>
      <c r="KN12" s="864"/>
      <c r="KO12" s="864"/>
      <c r="KP12" s="864"/>
      <c r="KQ12" s="864"/>
      <c r="KR12" s="894"/>
      <c r="KS12" s="864"/>
      <c r="KT12" s="880"/>
      <c r="KU12" s="864"/>
      <c r="KV12" s="880"/>
      <c r="KW12" s="880"/>
      <c r="KX12" s="880"/>
      <c r="KY12" s="895"/>
      <c r="KZ12" s="880"/>
      <c r="LA12" s="880"/>
      <c r="LB12" s="880"/>
      <c r="LC12" s="880"/>
      <c r="LD12" s="880"/>
      <c r="LE12" s="880"/>
      <c r="LF12" s="883"/>
      <c r="LG12" s="883"/>
      <c r="LH12" s="883"/>
      <c r="LI12" s="883"/>
      <c r="LJ12" s="883"/>
      <c r="LK12" s="883"/>
      <c r="LL12" s="883"/>
      <c r="LM12" s="883"/>
      <c r="LN12" s="883"/>
      <c r="LO12" s="883"/>
      <c r="LP12" s="883"/>
      <c r="LQ12" s="883"/>
      <c r="LR12" s="883"/>
      <c r="LS12" s="883"/>
      <c r="LT12" s="883"/>
      <c r="LU12" s="883"/>
      <c r="LV12" s="883"/>
      <c r="LW12" s="883"/>
      <c r="LX12" s="883"/>
      <c r="LY12" s="883"/>
    </row>
    <row r="13" spans="1:348" ht="33" customHeight="1" x14ac:dyDescent="0.25">
      <c r="A13" s="342"/>
      <c r="B13" s="343"/>
      <c r="C13" s="344"/>
      <c r="D13" s="345"/>
      <c r="E13" s="835"/>
      <c r="F13" s="863"/>
      <c r="G13" s="863"/>
      <c r="H13" s="864"/>
      <c r="I13" s="864"/>
      <c r="J13" s="864"/>
      <c r="K13" s="864"/>
      <c r="L13" s="864"/>
      <c r="M13" s="864"/>
      <c r="N13" s="852"/>
      <c r="O13" s="869"/>
      <c r="P13" s="864"/>
      <c r="Q13" s="864"/>
      <c r="R13" s="864"/>
      <c r="S13" s="864"/>
      <c r="T13" s="864"/>
      <c r="U13" s="864"/>
      <c r="V13" s="880"/>
      <c r="W13" s="880"/>
      <c r="X13" s="880"/>
      <c r="Y13" s="880"/>
      <c r="Z13" s="880"/>
      <c r="AA13" s="864"/>
      <c r="AB13" s="864"/>
      <c r="AC13" s="864"/>
      <c r="AD13" s="864"/>
      <c r="AE13" s="864"/>
      <c r="AF13" s="864"/>
      <c r="AG13" s="864"/>
      <c r="AH13" s="864"/>
      <c r="AI13" s="864"/>
      <c r="AJ13" s="864"/>
      <c r="AK13" s="864"/>
      <c r="AL13" s="864"/>
      <c r="AM13" s="864"/>
      <c r="AN13" s="864"/>
      <c r="AO13" s="864"/>
      <c r="AP13" s="864"/>
      <c r="AQ13" s="864"/>
      <c r="AR13" s="864"/>
      <c r="AS13" s="864"/>
      <c r="AT13" s="864"/>
      <c r="AU13" s="864"/>
      <c r="AV13" s="880"/>
      <c r="AW13" s="852"/>
      <c r="AX13" s="864"/>
      <c r="AY13" s="864"/>
      <c r="AZ13" s="864"/>
      <c r="BA13" s="881"/>
      <c r="BB13" s="880"/>
      <c r="BC13" s="880"/>
      <c r="BD13" s="880"/>
      <c r="BE13" s="864"/>
      <c r="BF13" s="864"/>
      <c r="BG13" s="864"/>
      <c r="BH13" s="864"/>
      <c r="BI13" s="864"/>
      <c r="BJ13" s="864"/>
      <c r="BK13" s="864"/>
      <c r="BL13" s="864"/>
      <c r="BM13" s="864"/>
      <c r="BN13" s="864"/>
      <c r="BO13" s="864"/>
      <c r="BP13" s="864"/>
      <c r="BQ13" s="864"/>
      <c r="BR13" s="864"/>
      <c r="BS13" s="864"/>
      <c r="BT13" s="880"/>
      <c r="BU13" s="880"/>
      <c r="BV13" s="880"/>
      <c r="BW13" s="880"/>
      <c r="BX13" s="864"/>
      <c r="BY13" s="864"/>
      <c r="BZ13" s="864"/>
      <c r="CA13" s="864"/>
      <c r="CB13" s="864"/>
      <c r="CC13" s="882"/>
      <c r="CD13" s="864"/>
      <c r="CE13" s="864"/>
      <c r="CF13" s="864"/>
      <c r="CG13" s="864"/>
      <c r="CH13" s="864"/>
      <c r="CI13" s="864"/>
      <c r="CJ13" s="864"/>
      <c r="CK13" s="880"/>
      <c r="CL13" s="880"/>
      <c r="CM13" s="864"/>
      <c r="CN13" s="864"/>
      <c r="CO13" s="864"/>
      <c r="CP13" s="864"/>
      <c r="CQ13" s="864"/>
      <c r="CR13" s="864"/>
      <c r="CS13" s="864"/>
      <c r="CT13" s="864"/>
      <c r="CU13" s="864"/>
      <c r="CV13" s="864"/>
      <c r="CW13" s="864"/>
      <c r="CX13" s="864"/>
      <c r="CY13" s="864"/>
      <c r="CZ13" s="864"/>
      <c r="DA13" s="864"/>
      <c r="DB13" s="864"/>
      <c r="DC13" s="864"/>
      <c r="DD13" s="864"/>
      <c r="DE13" s="864"/>
      <c r="DF13" s="880"/>
      <c r="DG13" s="864"/>
      <c r="DH13" s="880"/>
      <c r="DI13" s="880"/>
      <c r="DJ13" s="880"/>
      <c r="DK13" s="880"/>
      <c r="DL13" s="880"/>
      <c r="DM13" s="880"/>
      <c r="DN13" s="864"/>
      <c r="DO13" s="864"/>
      <c r="DP13" s="880"/>
      <c r="DQ13" s="864"/>
      <c r="DR13" s="864"/>
      <c r="DS13" s="864"/>
      <c r="DT13" s="864"/>
      <c r="DU13" s="864"/>
      <c r="DV13" s="864"/>
      <c r="DW13" s="864"/>
      <c r="DX13" s="864"/>
      <c r="DY13" s="864"/>
      <c r="DZ13" s="864"/>
      <c r="EA13" s="864"/>
      <c r="EB13" s="864"/>
      <c r="EC13" s="864"/>
      <c r="ED13" s="864"/>
      <c r="EE13" s="864"/>
      <c r="EF13" s="880"/>
      <c r="EG13" s="880"/>
      <c r="EH13" s="880"/>
      <c r="EI13" s="855"/>
      <c r="EJ13" s="883"/>
      <c r="EK13" s="883"/>
      <c r="EL13" s="883"/>
      <c r="EM13" s="883"/>
      <c r="EN13" s="883"/>
      <c r="EO13" s="883"/>
      <c r="EP13" s="853"/>
      <c r="EQ13" s="883"/>
      <c r="ER13" s="883"/>
      <c r="ES13" s="883"/>
      <c r="ET13" s="884"/>
      <c r="EU13" s="864"/>
      <c r="EV13" s="864"/>
      <c r="EW13" s="880"/>
      <c r="EX13" s="864"/>
      <c r="EY13" s="864"/>
      <c r="EZ13" s="864"/>
      <c r="FA13" s="864"/>
      <c r="FB13" s="864"/>
      <c r="FC13" s="864"/>
      <c r="FD13" s="864"/>
      <c r="FE13" s="880"/>
      <c r="FF13" s="864"/>
      <c r="FG13" s="864"/>
      <c r="FH13" s="864"/>
      <c r="FI13" s="864"/>
      <c r="FJ13" s="864"/>
      <c r="FK13" s="885"/>
      <c r="FL13" s="885"/>
      <c r="FM13" s="880"/>
      <c r="FN13" s="880"/>
      <c r="FO13" s="885"/>
      <c r="FP13" s="880"/>
      <c r="FQ13" s="880"/>
      <c r="FR13" s="864"/>
      <c r="FS13" s="864"/>
      <c r="FT13" s="864"/>
      <c r="FU13" s="864"/>
      <c r="FV13" s="864"/>
      <c r="FW13" s="864"/>
      <c r="FX13" s="864"/>
      <c r="FY13" s="864"/>
      <c r="FZ13" s="864"/>
      <c r="GA13" s="880"/>
      <c r="GB13" s="880"/>
      <c r="GC13" s="880"/>
      <c r="GD13" s="880"/>
      <c r="GE13" s="880"/>
      <c r="GF13" s="880"/>
      <c r="GG13" s="880"/>
      <c r="GH13" s="864"/>
      <c r="GI13" s="864"/>
      <c r="GJ13" s="864"/>
      <c r="GK13" s="864"/>
      <c r="GL13" s="864"/>
      <c r="GM13" s="864"/>
      <c r="GN13" s="864"/>
      <c r="GO13" s="887"/>
      <c r="GP13" s="855"/>
      <c r="GQ13" s="867"/>
      <c r="GR13" s="864"/>
      <c r="GS13" s="864"/>
      <c r="GT13" s="864"/>
      <c r="GU13" s="864"/>
      <c r="GV13" s="864"/>
      <c r="GW13" s="864"/>
      <c r="GX13" s="864"/>
      <c r="GY13" s="864"/>
      <c r="GZ13" s="864"/>
      <c r="HA13" s="864"/>
      <c r="HB13" s="864"/>
      <c r="HC13" s="864"/>
      <c r="HD13" s="864"/>
      <c r="HE13" s="880"/>
      <c r="HF13" s="885"/>
      <c r="HG13" s="864"/>
      <c r="HH13" s="883"/>
      <c r="HI13" s="880"/>
      <c r="HJ13" s="880"/>
      <c r="HK13" s="883"/>
      <c r="HL13" s="864"/>
      <c r="HM13" s="864"/>
      <c r="HN13" s="864"/>
      <c r="HO13" s="888"/>
      <c r="HP13" s="885"/>
      <c r="HQ13" s="885"/>
      <c r="HR13" s="885"/>
      <c r="HS13" s="885"/>
      <c r="HT13" s="885"/>
      <c r="HU13" s="885"/>
      <c r="HV13" s="885"/>
      <c r="HW13" s="885"/>
      <c r="HX13" s="880"/>
      <c r="HY13" s="880"/>
      <c r="HZ13" s="880"/>
      <c r="IA13" s="880"/>
      <c r="IB13" s="880"/>
      <c r="IC13" s="880"/>
      <c r="ID13" s="880"/>
      <c r="IE13" s="885"/>
      <c r="IF13" s="885"/>
      <c r="IG13" s="889"/>
      <c r="IH13" s="880"/>
      <c r="II13" s="885"/>
      <c r="IJ13" s="890"/>
      <c r="IK13" s="885"/>
      <c r="IL13" s="880"/>
      <c r="IM13" s="880"/>
      <c r="IN13" s="880"/>
      <c r="IO13" s="864"/>
      <c r="IP13" s="864"/>
      <c r="IQ13" s="864"/>
      <c r="IR13" s="896"/>
      <c r="IS13" s="880"/>
      <c r="IT13" s="880"/>
      <c r="IU13" s="880"/>
      <c r="IV13" s="880"/>
      <c r="IW13" s="880"/>
      <c r="IX13" s="883"/>
      <c r="IY13" s="886"/>
      <c r="IZ13" s="880"/>
      <c r="JA13" s="880"/>
      <c r="JB13" s="885"/>
      <c r="JC13" s="880"/>
      <c r="JD13" s="880"/>
      <c r="JE13" s="880"/>
      <c r="JF13" s="880"/>
      <c r="JG13" s="880"/>
      <c r="JH13" s="880"/>
      <c r="JI13" s="880"/>
      <c r="JJ13" s="880"/>
      <c r="JK13" s="880"/>
      <c r="JL13" s="897"/>
      <c r="JM13" s="880"/>
      <c r="JN13" s="880"/>
      <c r="JO13" s="880"/>
      <c r="JP13" s="880"/>
      <c r="JQ13" s="883"/>
      <c r="JR13" s="880"/>
      <c r="JS13" s="880"/>
      <c r="JT13" s="880"/>
      <c r="JU13" s="880"/>
      <c r="JV13" s="880"/>
      <c r="JW13" s="880"/>
      <c r="JX13" s="880"/>
      <c r="JY13" s="880"/>
      <c r="JZ13" s="880"/>
      <c r="KA13" s="880"/>
      <c r="KB13" s="880"/>
      <c r="KC13" s="880"/>
      <c r="KD13" s="880"/>
      <c r="KE13" s="891"/>
      <c r="KF13" s="891"/>
      <c r="KG13" s="891"/>
      <c r="KH13" s="891"/>
      <c r="KI13" s="891"/>
      <c r="KJ13" s="891"/>
      <c r="KK13" s="891"/>
      <c r="KL13" s="880"/>
      <c r="KM13" s="864"/>
      <c r="KN13" s="864"/>
      <c r="KO13" s="864"/>
      <c r="KP13" s="864"/>
      <c r="KQ13" s="864"/>
      <c r="KR13" s="894"/>
      <c r="KS13" s="864"/>
      <c r="KT13" s="880"/>
      <c r="KU13" s="864"/>
      <c r="KV13" s="880"/>
      <c r="KW13" s="880"/>
      <c r="KX13" s="880"/>
      <c r="KY13" s="895"/>
      <c r="KZ13" s="880"/>
      <c r="LA13" s="880"/>
      <c r="LB13" s="880"/>
      <c r="LC13" s="880"/>
      <c r="LD13" s="880"/>
      <c r="LE13" s="880"/>
      <c r="LF13" s="883"/>
      <c r="LG13" s="883"/>
      <c r="LH13" s="883"/>
      <c r="LI13" s="883"/>
      <c r="LJ13" s="883"/>
      <c r="LK13" s="883"/>
      <c r="LL13" s="883"/>
      <c r="LM13" s="883"/>
      <c r="LN13" s="883"/>
      <c r="LO13" s="883"/>
      <c r="LP13" s="883"/>
      <c r="LQ13" s="883"/>
      <c r="LR13" s="883"/>
      <c r="LS13" s="883"/>
      <c r="LT13" s="883"/>
      <c r="LU13" s="883"/>
      <c r="LV13" s="883"/>
      <c r="LW13" s="883"/>
      <c r="LX13" s="883"/>
      <c r="LY13" s="883"/>
    </row>
    <row r="14" spans="1:348" ht="33" customHeight="1" x14ac:dyDescent="0.25">
      <c r="A14" s="342"/>
      <c r="B14" s="343"/>
      <c r="C14" s="344"/>
      <c r="D14" s="345"/>
      <c r="E14" s="835"/>
      <c r="F14" s="863"/>
      <c r="G14" s="863"/>
      <c r="H14" s="864"/>
      <c r="I14" s="864"/>
      <c r="J14" s="864"/>
      <c r="K14" s="864"/>
      <c r="L14" s="864"/>
      <c r="M14" s="864"/>
      <c r="N14" s="852"/>
      <c r="O14" s="869"/>
      <c r="P14" s="864"/>
      <c r="Q14" s="864"/>
      <c r="R14" s="864"/>
      <c r="S14" s="864"/>
      <c r="T14" s="864"/>
      <c r="U14" s="864"/>
      <c r="V14" s="880"/>
      <c r="W14" s="880"/>
      <c r="X14" s="880"/>
      <c r="Y14" s="880"/>
      <c r="Z14" s="880"/>
      <c r="AA14" s="864"/>
      <c r="AB14" s="864"/>
      <c r="AC14" s="864"/>
      <c r="AD14" s="864"/>
      <c r="AE14" s="864"/>
      <c r="AF14" s="864"/>
      <c r="AG14" s="864"/>
      <c r="AH14" s="864"/>
      <c r="AI14" s="864"/>
      <c r="AJ14" s="864"/>
      <c r="AK14" s="864"/>
      <c r="AL14" s="864"/>
      <c r="AM14" s="864"/>
      <c r="AN14" s="864"/>
      <c r="AO14" s="864"/>
      <c r="AP14" s="864"/>
      <c r="AQ14" s="864"/>
      <c r="AR14" s="864"/>
      <c r="AS14" s="864"/>
      <c r="AT14" s="864"/>
      <c r="AU14" s="864"/>
      <c r="AV14" s="880"/>
      <c r="AW14" s="852"/>
      <c r="AX14" s="864"/>
      <c r="AY14" s="864"/>
      <c r="AZ14" s="864"/>
      <c r="BA14" s="881"/>
      <c r="BB14" s="880"/>
      <c r="BC14" s="880"/>
      <c r="BD14" s="880"/>
      <c r="BE14" s="864"/>
      <c r="BF14" s="864"/>
      <c r="BG14" s="864"/>
      <c r="BH14" s="864"/>
      <c r="BI14" s="864"/>
      <c r="BJ14" s="864"/>
      <c r="BK14" s="864"/>
      <c r="BL14" s="864"/>
      <c r="BM14" s="864"/>
      <c r="BN14" s="864"/>
      <c r="BO14" s="864"/>
      <c r="BP14" s="864"/>
      <c r="BQ14" s="864"/>
      <c r="BR14" s="864"/>
      <c r="BS14" s="864"/>
      <c r="BT14" s="880"/>
      <c r="BU14" s="880"/>
      <c r="BV14" s="880"/>
      <c r="BW14" s="880"/>
      <c r="BX14" s="864"/>
      <c r="BY14" s="864"/>
      <c r="BZ14" s="864"/>
      <c r="CA14" s="864"/>
      <c r="CB14" s="864"/>
      <c r="CC14" s="882"/>
      <c r="CD14" s="864"/>
      <c r="CE14" s="864"/>
      <c r="CF14" s="864"/>
      <c r="CG14" s="864"/>
      <c r="CH14" s="864"/>
      <c r="CI14" s="864"/>
      <c r="CJ14" s="864"/>
      <c r="CK14" s="880"/>
      <c r="CL14" s="880"/>
      <c r="CM14" s="864"/>
      <c r="CN14" s="864"/>
      <c r="CO14" s="864"/>
      <c r="CP14" s="864"/>
      <c r="CQ14" s="864"/>
      <c r="CR14" s="864"/>
      <c r="CS14" s="864"/>
      <c r="CT14" s="864"/>
      <c r="CU14" s="864"/>
      <c r="CV14" s="864"/>
      <c r="CW14" s="864"/>
      <c r="CX14" s="864"/>
      <c r="CY14" s="864"/>
      <c r="CZ14" s="864"/>
      <c r="DA14" s="864"/>
      <c r="DB14" s="864"/>
      <c r="DC14" s="864"/>
      <c r="DD14" s="864"/>
      <c r="DE14" s="864"/>
      <c r="DF14" s="880"/>
      <c r="DG14" s="864"/>
      <c r="DH14" s="880"/>
      <c r="DI14" s="880"/>
      <c r="DJ14" s="880"/>
      <c r="DK14" s="880"/>
      <c r="DL14" s="880"/>
      <c r="DM14" s="880"/>
      <c r="DN14" s="864"/>
      <c r="DO14" s="864"/>
      <c r="DP14" s="880"/>
      <c r="DQ14" s="864"/>
      <c r="DR14" s="864"/>
      <c r="DS14" s="864"/>
      <c r="DT14" s="864"/>
      <c r="DU14" s="864"/>
      <c r="DV14" s="864"/>
      <c r="DW14" s="864"/>
      <c r="DX14" s="864"/>
      <c r="DY14" s="864"/>
      <c r="DZ14" s="864"/>
      <c r="EA14" s="864"/>
      <c r="EB14" s="864"/>
      <c r="EC14" s="864"/>
      <c r="ED14" s="864"/>
      <c r="EE14" s="864"/>
      <c r="EF14" s="880"/>
      <c r="EG14" s="880"/>
      <c r="EH14" s="880"/>
      <c r="EI14" s="855"/>
      <c r="EJ14" s="883"/>
      <c r="EK14" s="883"/>
      <c r="EL14" s="883"/>
      <c r="EM14" s="883"/>
      <c r="EN14" s="883"/>
      <c r="EO14" s="883"/>
      <c r="EP14" s="853"/>
      <c r="EQ14" s="883"/>
      <c r="ER14" s="883"/>
      <c r="ES14" s="883"/>
      <c r="ET14" s="884"/>
      <c r="EU14" s="864"/>
      <c r="EV14" s="864"/>
      <c r="EW14" s="880"/>
      <c r="EX14" s="864"/>
      <c r="EY14" s="864"/>
      <c r="EZ14" s="864"/>
      <c r="FA14" s="864"/>
      <c r="FB14" s="864"/>
      <c r="FC14" s="864"/>
      <c r="FD14" s="864"/>
      <c r="FE14" s="880"/>
      <c r="FF14" s="864"/>
      <c r="FG14" s="864"/>
      <c r="FH14" s="864"/>
      <c r="FI14" s="864"/>
      <c r="FJ14" s="864"/>
      <c r="FK14" s="885"/>
      <c r="FL14" s="885"/>
      <c r="FM14" s="880"/>
      <c r="FN14" s="880"/>
      <c r="FO14" s="885"/>
      <c r="FP14" s="880"/>
      <c r="FQ14" s="880"/>
      <c r="FR14" s="864"/>
      <c r="FS14" s="864"/>
      <c r="FT14" s="864"/>
      <c r="FU14" s="864"/>
      <c r="FV14" s="864"/>
      <c r="FW14" s="864"/>
      <c r="FX14" s="864"/>
      <c r="FY14" s="864"/>
      <c r="FZ14" s="864"/>
      <c r="GA14" s="880"/>
      <c r="GB14" s="880"/>
      <c r="GC14" s="880"/>
      <c r="GD14" s="880"/>
      <c r="GE14" s="880"/>
      <c r="GF14" s="880"/>
      <c r="GG14" s="880"/>
      <c r="GH14" s="864"/>
      <c r="GI14" s="864"/>
      <c r="GJ14" s="864"/>
      <c r="GK14" s="864"/>
      <c r="GL14" s="864"/>
      <c r="GM14" s="864"/>
      <c r="GN14" s="864"/>
      <c r="GO14" s="887"/>
      <c r="GP14" s="855"/>
      <c r="GQ14" s="867"/>
      <c r="GR14" s="864"/>
      <c r="GS14" s="864"/>
      <c r="GT14" s="864"/>
      <c r="GU14" s="864"/>
      <c r="GV14" s="864"/>
      <c r="GW14" s="864"/>
      <c r="GX14" s="864"/>
      <c r="GY14" s="864"/>
      <c r="GZ14" s="864"/>
      <c r="HA14" s="864"/>
      <c r="HB14" s="864"/>
      <c r="HC14" s="864"/>
      <c r="HD14" s="864"/>
      <c r="HE14" s="880"/>
      <c r="HF14" s="885"/>
      <c r="HG14" s="864"/>
      <c r="HH14" s="883"/>
      <c r="HI14" s="880"/>
      <c r="HJ14" s="880"/>
      <c r="HK14" s="883"/>
      <c r="HL14" s="864"/>
      <c r="HM14" s="864"/>
      <c r="HN14" s="864"/>
      <c r="HO14" s="888"/>
      <c r="HP14" s="885"/>
      <c r="HQ14" s="885"/>
      <c r="HR14" s="885"/>
      <c r="HS14" s="885"/>
      <c r="HT14" s="885"/>
      <c r="HU14" s="885"/>
      <c r="HV14" s="885"/>
      <c r="HW14" s="885"/>
      <c r="HX14" s="880"/>
      <c r="HY14" s="880"/>
      <c r="HZ14" s="880"/>
      <c r="IA14" s="880"/>
      <c r="IB14" s="880"/>
      <c r="IC14" s="880"/>
      <c r="ID14" s="880"/>
      <c r="IE14" s="885"/>
      <c r="IF14" s="885"/>
      <c r="IG14" s="889"/>
      <c r="IH14" s="880"/>
      <c r="II14" s="885"/>
      <c r="IJ14" s="890"/>
      <c r="IK14" s="885"/>
      <c r="IL14" s="880"/>
      <c r="IM14" s="880"/>
      <c r="IN14" s="880"/>
      <c r="IO14" s="864"/>
      <c r="IP14" s="864"/>
      <c r="IQ14" s="864"/>
      <c r="IR14" s="896"/>
      <c r="IS14" s="880"/>
      <c r="IT14" s="880"/>
      <c r="IU14" s="880"/>
      <c r="IV14" s="880"/>
      <c r="IW14" s="880"/>
      <c r="IX14" s="883"/>
      <c r="IY14" s="886"/>
      <c r="IZ14" s="880"/>
      <c r="JA14" s="880"/>
      <c r="JB14" s="885"/>
      <c r="JC14" s="880"/>
      <c r="JD14" s="880"/>
      <c r="JE14" s="880"/>
      <c r="JF14" s="880"/>
      <c r="JG14" s="880"/>
      <c r="JH14" s="880"/>
      <c r="JI14" s="880"/>
      <c r="JJ14" s="880"/>
      <c r="JK14" s="880"/>
      <c r="JL14" s="897"/>
      <c r="JM14" s="880"/>
      <c r="JN14" s="880"/>
      <c r="JO14" s="880"/>
      <c r="JP14" s="880"/>
      <c r="JQ14" s="883"/>
      <c r="JR14" s="880"/>
      <c r="JS14" s="880"/>
      <c r="JT14" s="880"/>
      <c r="JU14" s="880"/>
      <c r="JV14" s="880"/>
      <c r="JW14" s="880"/>
      <c r="JX14" s="880"/>
      <c r="JY14" s="880"/>
      <c r="JZ14" s="880"/>
      <c r="KA14" s="880"/>
      <c r="KB14" s="880"/>
      <c r="KC14" s="880"/>
      <c r="KD14" s="880"/>
      <c r="KE14" s="891"/>
      <c r="KF14" s="891"/>
      <c r="KG14" s="891"/>
      <c r="KH14" s="891"/>
      <c r="KI14" s="891"/>
      <c r="KJ14" s="891"/>
      <c r="KK14" s="891"/>
      <c r="KL14" s="880"/>
      <c r="KM14" s="864"/>
      <c r="KN14" s="864"/>
      <c r="KO14" s="864"/>
      <c r="KP14" s="864"/>
      <c r="KQ14" s="864"/>
      <c r="KR14" s="894"/>
      <c r="KS14" s="864"/>
      <c r="KT14" s="880"/>
      <c r="KU14" s="864"/>
      <c r="KV14" s="880"/>
      <c r="KW14" s="880"/>
      <c r="KX14" s="880"/>
      <c r="KY14" s="895"/>
      <c r="KZ14" s="880"/>
      <c r="LA14" s="880"/>
      <c r="LB14" s="880"/>
      <c r="LC14" s="880"/>
      <c r="LD14" s="880"/>
      <c r="LE14" s="880"/>
      <c r="LF14" s="883"/>
      <c r="LG14" s="883"/>
      <c r="LH14" s="883"/>
      <c r="LI14" s="883"/>
      <c r="LJ14" s="883"/>
      <c r="LK14" s="883"/>
      <c r="LL14" s="883"/>
      <c r="LM14" s="883"/>
      <c r="LN14" s="883"/>
      <c r="LO14" s="883"/>
      <c r="LP14" s="883"/>
      <c r="LQ14" s="883"/>
      <c r="LR14" s="883"/>
      <c r="LS14" s="883"/>
      <c r="LT14" s="883"/>
      <c r="LU14" s="883"/>
      <c r="LV14" s="883"/>
      <c r="LW14" s="883"/>
      <c r="LX14" s="883"/>
      <c r="LY14" s="883"/>
    </row>
    <row r="15" spans="1:348" ht="33" customHeight="1" x14ac:dyDescent="0.25">
      <c r="A15" s="342"/>
      <c r="B15" s="343"/>
      <c r="C15" s="344"/>
      <c r="D15" s="345"/>
      <c r="E15" s="835"/>
      <c r="F15" s="863"/>
      <c r="G15" s="863"/>
      <c r="H15" s="864"/>
      <c r="I15" s="864"/>
      <c r="J15" s="864"/>
      <c r="K15" s="864"/>
      <c r="L15" s="864"/>
      <c r="M15" s="864"/>
      <c r="N15" s="852"/>
      <c r="O15" s="869"/>
      <c r="P15" s="864"/>
      <c r="Q15" s="864"/>
      <c r="R15" s="864"/>
      <c r="S15" s="864"/>
      <c r="T15" s="864"/>
      <c r="U15" s="864"/>
      <c r="V15" s="880"/>
      <c r="W15" s="880"/>
      <c r="X15" s="880"/>
      <c r="Y15" s="880"/>
      <c r="Z15" s="880"/>
      <c r="AA15" s="864"/>
      <c r="AB15" s="864"/>
      <c r="AC15" s="864"/>
      <c r="AD15" s="864"/>
      <c r="AE15" s="864"/>
      <c r="AF15" s="864"/>
      <c r="AG15" s="864"/>
      <c r="AH15" s="864"/>
      <c r="AI15" s="864"/>
      <c r="AJ15" s="864"/>
      <c r="AK15" s="864"/>
      <c r="AL15" s="864"/>
      <c r="AM15" s="864"/>
      <c r="AN15" s="864"/>
      <c r="AO15" s="864"/>
      <c r="AP15" s="864"/>
      <c r="AQ15" s="864"/>
      <c r="AR15" s="864"/>
      <c r="AS15" s="864"/>
      <c r="AT15" s="864"/>
      <c r="AU15" s="864"/>
      <c r="AV15" s="880"/>
      <c r="AW15" s="852"/>
      <c r="AX15" s="864"/>
      <c r="AY15" s="864"/>
      <c r="AZ15" s="864"/>
      <c r="BA15" s="881"/>
      <c r="BB15" s="880"/>
      <c r="BC15" s="880"/>
      <c r="BD15" s="880"/>
      <c r="BE15" s="864"/>
      <c r="BF15" s="864"/>
      <c r="BG15" s="864"/>
      <c r="BH15" s="864"/>
      <c r="BI15" s="864"/>
      <c r="BJ15" s="864"/>
      <c r="BK15" s="864"/>
      <c r="BL15" s="864"/>
      <c r="BM15" s="864"/>
      <c r="BN15" s="864"/>
      <c r="BO15" s="864"/>
      <c r="BP15" s="864"/>
      <c r="BQ15" s="864"/>
      <c r="BR15" s="864"/>
      <c r="BS15" s="864"/>
      <c r="BT15" s="880"/>
      <c r="BU15" s="880"/>
      <c r="BV15" s="880"/>
      <c r="BW15" s="880"/>
      <c r="BX15" s="864"/>
      <c r="BY15" s="864"/>
      <c r="BZ15" s="864"/>
      <c r="CA15" s="864"/>
      <c r="CB15" s="864"/>
      <c r="CC15" s="882"/>
      <c r="CD15" s="864"/>
      <c r="CE15" s="864"/>
      <c r="CF15" s="864"/>
      <c r="CG15" s="864"/>
      <c r="CH15" s="864"/>
      <c r="CI15" s="864"/>
      <c r="CJ15" s="864"/>
      <c r="CK15" s="880"/>
      <c r="CL15" s="880"/>
      <c r="CM15" s="864"/>
      <c r="CN15" s="864"/>
      <c r="CO15" s="864"/>
      <c r="CP15" s="864"/>
      <c r="CQ15" s="864"/>
      <c r="CR15" s="864"/>
      <c r="CS15" s="864"/>
      <c r="CT15" s="864"/>
      <c r="CU15" s="864"/>
      <c r="CV15" s="864"/>
      <c r="CW15" s="864"/>
      <c r="CX15" s="864"/>
      <c r="CY15" s="864"/>
      <c r="CZ15" s="864"/>
      <c r="DA15" s="864"/>
      <c r="DB15" s="864"/>
      <c r="DC15" s="864"/>
      <c r="DD15" s="864"/>
      <c r="DE15" s="864"/>
      <c r="DF15" s="880"/>
      <c r="DG15" s="864"/>
      <c r="DH15" s="880"/>
      <c r="DI15" s="880"/>
      <c r="DJ15" s="880"/>
      <c r="DK15" s="880"/>
      <c r="DL15" s="880"/>
      <c r="DM15" s="880"/>
      <c r="DN15" s="864"/>
      <c r="DO15" s="864"/>
      <c r="DP15" s="880"/>
      <c r="DQ15" s="864"/>
      <c r="DR15" s="864"/>
      <c r="DS15" s="864"/>
      <c r="DT15" s="864"/>
      <c r="DU15" s="864"/>
      <c r="DV15" s="864"/>
      <c r="DW15" s="864"/>
      <c r="DX15" s="864"/>
      <c r="DY15" s="864"/>
      <c r="DZ15" s="864"/>
      <c r="EA15" s="864"/>
      <c r="EB15" s="864"/>
      <c r="EC15" s="864"/>
      <c r="ED15" s="864"/>
      <c r="EE15" s="864"/>
      <c r="EF15" s="880"/>
      <c r="EG15" s="880"/>
      <c r="EH15" s="880"/>
      <c r="EI15" s="855"/>
      <c r="EJ15" s="883"/>
      <c r="EK15" s="883"/>
      <c r="EL15" s="883"/>
      <c r="EM15" s="883"/>
      <c r="EN15" s="883"/>
      <c r="EO15" s="883"/>
      <c r="EP15" s="853"/>
      <c r="EQ15" s="883"/>
      <c r="ER15" s="883"/>
      <c r="ES15" s="883"/>
      <c r="ET15" s="884"/>
      <c r="EU15" s="864"/>
      <c r="EV15" s="864"/>
      <c r="EW15" s="880"/>
      <c r="EX15" s="864"/>
      <c r="EY15" s="864"/>
      <c r="EZ15" s="864"/>
      <c r="FA15" s="864"/>
      <c r="FB15" s="864"/>
      <c r="FC15" s="864"/>
      <c r="FD15" s="864"/>
      <c r="FE15" s="880"/>
      <c r="FF15" s="864"/>
      <c r="FG15" s="864"/>
      <c r="FH15" s="864"/>
      <c r="FI15" s="864"/>
      <c r="FJ15" s="864"/>
      <c r="FK15" s="885"/>
      <c r="FL15" s="885"/>
      <c r="FM15" s="880"/>
      <c r="FN15" s="880"/>
      <c r="FO15" s="885"/>
      <c r="FP15" s="880"/>
      <c r="FQ15" s="880"/>
      <c r="FR15" s="864"/>
      <c r="FS15" s="864"/>
      <c r="FT15" s="864"/>
      <c r="FU15" s="864"/>
      <c r="FV15" s="864"/>
      <c r="FW15" s="864"/>
      <c r="FX15" s="864"/>
      <c r="FY15" s="864"/>
      <c r="FZ15" s="864"/>
      <c r="GA15" s="880"/>
      <c r="GB15" s="880"/>
      <c r="GC15" s="880"/>
      <c r="GD15" s="880"/>
      <c r="GE15" s="880"/>
      <c r="GF15" s="880"/>
      <c r="GG15" s="880"/>
      <c r="GH15" s="864"/>
      <c r="GI15" s="864"/>
      <c r="GJ15" s="864"/>
      <c r="GK15" s="864"/>
      <c r="GL15" s="864"/>
      <c r="GM15" s="864"/>
      <c r="GN15" s="864"/>
      <c r="GO15" s="887"/>
      <c r="GP15" s="855"/>
      <c r="GQ15" s="867"/>
      <c r="GR15" s="864"/>
      <c r="GS15" s="864"/>
      <c r="GT15" s="864"/>
      <c r="GU15" s="864"/>
      <c r="GV15" s="864"/>
      <c r="GW15" s="864"/>
      <c r="GX15" s="864"/>
      <c r="GY15" s="864"/>
      <c r="GZ15" s="864"/>
      <c r="HA15" s="864"/>
      <c r="HB15" s="864"/>
      <c r="HC15" s="864"/>
      <c r="HD15" s="864"/>
      <c r="HE15" s="880"/>
      <c r="HF15" s="885"/>
      <c r="HG15" s="864"/>
      <c r="HH15" s="883"/>
      <c r="HI15" s="880"/>
      <c r="HJ15" s="880"/>
      <c r="HK15" s="883"/>
      <c r="HL15" s="864"/>
      <c r="HM15" s="864"/>
      <c r="HN15" s="864"/>
      <c r="HO15" s="888"/>
      <c r="HP15" s="885"/>
      <c r="HQ15" s="885"/>
      <c r="HR15" s="885"/>
      <c r="HS15" s="885"/>
      <c r="HT15" s="885"/>
      <c r="HU15" s="885"/>
      <c r="HV15" s="885"/>
      <c r="HW15" s="885"/>
      <c r="HX15" s="880"/>
      <c r="HY15" s="880"/>
      <c r="HZ15" s="880"/>
      <c r="IA15" s="880"/>
      <c r="IB15" s="880"/>
      <c r="IC15" s="880"/>
      <c r="ID15" s="880"/>
      <c r="IE15" s="885"/>
      <c r="IF15" s="885"/>
      <c r="IG15" s="889"/>
      <c r="IH15" s="880"/>
      <c r="II15" s="885"/>
      <c r="IJ15" s="890"/>
      <c r="IK15" s="885"/>
      <c r="IL15" s="880"/>
      <c r="IM15" s="880"/>
      <c r="IN15" s="880"/>
      <c r="IO15" s="864"/>
      <c r="IP15" s="864"/>
      <c r="IQ15" s="864"/>
      <c r="IR15" s="896"/>
      <c r="IS15" s="880"/>
      <c r="IT15" s="880"/>
      <c r="IU15" s="880"/>
      <c r="IV15" s="880"/>
      <c r="IW15" s="880"/>
      <c r="IX15" s="883"/>
      <c r="IY15" s="886"/>
      <c r="IZ15" s="880"/>
      <c r="JA15" s="880"/>
      <c r="JB15" s="885"/>
      <c r="JC15" s="880"/>
      <c r="JD15" s="880"/>
      <c r="JE15" s="880"/>
      <c r="JF15" s="880"/>
      <c r="JG15" s="880"/>
      <c r="JH15" s="880"/>
      <c r="JI15" s="880"/>
      <c r="JJ15" s="880"/>
      <c r="JK15" s="880"/>
      <c r="JL15" s="897"/>
      <c r="JM15" s="880"/>
      <c r="JN15" s="880"/>
      <c r="JO15" s="880"/>
      <c r="JP15" s="880"/>
      <c r="JQ15" s="883"/>
      <c r="JR15" s="880"/>
      <c r="JS15" s="880"/>
      <c r="JT15" s="880"/>
      <c r="JU15" s="880"/>
      <c r="JV15" s="880"/>
      <c r="JW15" s="880"/>
      <c r="JX15" s="880"/>
      <c r="JY15" s="880"/>
      <c r="JZ15" s="880"/>
      <c r="KA15" s="880"/>
      <c r="KB15" s="880"/>
      <c r="KC15" s="880"/>
      <c r="KD15" s="880"/>
      <c r="KE15" s="891"/>
      <c r="KF15" s="891"/>
      <c r="KG15" s="891"/>
      <c r="KH15" s="891"/>
      <c r="KI15" s="891"/>
      <c r="KJ15" s="891"/>
      <c r="KK15" s="891"/>
      <c r="KL15" s="880"/>
      <c r="KM15" s="864"/>
      <c r="KN15" s="864"/>
      <c r="KO15" s="864"/>
      <c r="KP15" s="864"/>
      <c r="KQ15" s="864"/>
      <c r="KR15" s="894"/>
      <c r="KS15" s="864"/>
      <c r="KT15" s="880"/>
      <c r="KU15" s="864"/>
      <c r="KV15" s="880"/>
      <c r="KW15" s="880"/>
      <c r="KX15" s="880"/>
      <c r="KY15" s="895"/>
      <c r="KZ15" s="880"/>
      <c r="LA15" s="880"/>
      <c r="LB15" s="880"/>
      <c r="LC15" s="880"/>
      <c r="LD15" s="880"/>
      <c r="LE15" s="880"/>
      <c r="LF15" s="883"/>
      <c r="LG15" s="883"/>
      <c r="LH15" s="883"/>
      <c r="LI15" s="883"/>
      <c r="LJ15" s="883"/>
      <c r="LK15" s="883"/>
      <c r="LL15" s="883"/>
      <c r="LM15" s="883"/>
      <c r="LN15" s="883"/>
      <c r="LO15" s="883"/>
      <c r="LP15" s="883"/>
      <c r="LQ15" s="883"/>
      <c r="LR15" s="883"/>
      <c r="LS15" s="883"/>
      <c r="LT15" s="883"/>
      <c r="LU15" s="883"/>
      <c r="LV15" s="883"/>
      <c r="LW15" s="883"/>
      <c r="LX15" s="883"/>
      <c r="LY15" s="883"/>
    </row>
    <row r="16" spans="1:348" ht="33" customHeight="1" x14ac:dyDescent="0.25">
      <c r="A16" s="342"/>
      <c r="B16" s="343"/>
      <c r="C16" s="344"/>
      <c r="D16" s="345"/>
      <c r="E16" s="835"/>
      <c r="F16" s="863"/>
      <c r="G16" s="863"/>
      <c r="H16" s="864"/>
      <c r="I16" s="864"/>
      <c r="J16" s="864"/>
      <c r="K16" s="864"/>
      <c r="L16" s="864"/>
      <c r="M16" s="864"/>
      <c r="N16" s="852"/>
      <c r="O16" s="869"/>
      <c r="P16" s="864"/>
      <c r="Q16" s="864"/>
      <c r="R16" s="864"/>
      <c r="S16" s="864"/>
      <c r="T16" s="864"/>
      <c r="U16" s="864"/>
      <c r="V16" s="880"/>
      <c r="W16" s="880"/>
      <c r="X16" s="880"/>
      <c r="Y16" s="880"/>
      <c r="Z16" s="880"/>
      <c r="AA16" s="864"/>
      <c r="AB16" s="864"/>
      <c r="AC16" s="864"/>
      <c r="AD16" s="864"/>
      <c r="AE16" s="864"/>
      <c r="AF16" s="864"/>
      <c r="AG16" s="864"/>
      <c r="AH16" s="864"/>
      <c r="AI16" s="864"/>
      <c r="AJ16" s="864"/>
      <c r="AK16" s="864"/>
      <c r="AL16" s="864"/>
      <c r="AM16" s="864"/>
      <c r="AN16" s="864"/>
      <c r="AO16" s="864"/>
      <c r="AP16" s="864"/>
      <c r="AQ16" s="864"/>
      <c r="AR16" s="864"/>
      <c r="AS16" s="864"/>
      <c r="AT16" s="864"/>
      <c r="AU16" s="864"/>
      <c r="AV16" s="880"/>
      <c r="AW16" s="852"/>
      <c r="AX16" s="864"/>
      <c r="AY16" s="864"/>
      <c r="AZ16" s="864"/>
      <c r="BA16" s="881"/>
      <c r="BB16" s="880"/>
      <c r="BC16" s="880"/>
      <c r="BD16" s="880"/>
      <c r="BE16" s="864"/>
      <c r="BF16" s="864"/>
      <c r="BG16" s="864"/>
      <c r="BH16" s="864"/>
      <c r="BI16" s="864"/>
      <c r="BJ16" s="864"/>
      <c r="BK16" s="864"/>
      <c r="BL16" s="864"/>
      <c r="BM16" s="864"/>
      <c r="BN16" s="864"/>
      <c r="BO16" s="864"/>
      <c r="BP16" s="864"/>
      <c r="BQ16" s="864"/>
      <c r="BR16" s="864"/>
      <c r="BS16" s="864"/>
      <c r="BT16" s="880"/>
      <c r="BU16" s="880"/>
      <c r="BV16" s="880"/>
      <c r="BW16" s="880"/>
      <c r="BX16" s="864"/>
      <c r="BY16" s="864"/>
      <c r="BZ16" s="864"/>
      <c r="CA16" s="864"/>
      <c r="CB16" s="864"/>
      <c r="CC16" s="882"/>
      <c r="CD16" s="864"/>
      <c r="CE16" s="864"/>
      <c r="CF16" s="864"/>
      <c r="CG16" s="864"/>
      <c r="CH16" s="864"/>
      <c r="CI16" s="864"/>
      <c r="CJ16" s="864"/>
      <c r="CK16" s="880"/>
      <c r="CL16" s="880"/>
      <c r="CM16" s="864"/>
      <c r="CN16" s="864"/>
      <c r="CO16" s="864"/>
      <c r="CP16" s="864"/>
      <c r="CQ16" s="864"/>
      <c r="CR16" s="864"/>
      <c r="CS16" s="864"/>
      <c r="CT16" s="864"/>
      <c r="CU16" s="864"/>
      <c r="CV16" s="864"/>
      <c r="CW16" s="864"/>
      <c r="CX16" s="864"/>
      <c r="CY16" s="864"/>
      <c r="CZ16" s="864"/>
      <c r="DA16" s="864"/>
      <c r="DB16" s="864"/>
      <c r="DC16" s="864"/>
      <c r="DD16" s="864"/>
      <c r="DE16" s="864"/>
      <c r="DF16" s="880"/>
      <c r="DG16" s="864"/>
      <c r="DH16" s="880"/>
      <c r="DI16" s="880"/>
      <c r="DJ16" s="880"/>
      <c r="DK16" s="880"/>
      <c r="DL16" s="880"/>
      <c r="DM16" s="880"/>
      <c r="DN16" s="864"/>
      <c r="DO16" s="864"/>
      <c r="DP16" s="880"/>
      <c r="DQ16" s="864"/>
      <c r="DR16" s="864"/>
      <c r="DS16" s="864"/>
      <c r="DT16" s="864"/>
      <c r="DU16" s="864"/>
      <c r="DV16" s="864"/>
      <c r="DW16" s="864"/>
      <c r="DX16" s="864"/>
      <c r="DY16" s="864"/>
      <c r="DZ16" s="864"/>
      <c r="EA16" s="864"/>
      <c r="EB16" s="864"/>
      <c r="EC16" s="864"/>
      <c r="ED16" s="864"/>
      <c r="EE16" s="864"/>
      <c r="EF16" s="880"/>
      <c r="EG16" s="880"/>
      <c r="EH16" s="880"/>
      <c r="EI16" s="855"/>
      <c r="EJ16" s="883"/>
      <c r="EK16" s="883"/>
      <c r="EL16" s="883"/>
      <c r="EM16" s="883"/>
      <c r="EN16" s="883"/>
      <c r="EO16" s="883"/>
      <c r="EP16" s="853"/>
      <c r="EQ16" s="883"/>
      <c r="ER16" s="883"/>
      <c r="ES16" s="883"/>
      <c r="ET16" s="884"/>
      <c r="EU16" s="864"/>
      <c r="EV16" s="864"/>
      <c r="EW16" s="880"/>
      <c r="EX16" s="864"/>
      <c r="EY16" s="864"/>
      <c r="EZ16" s="864"/>
      <c r="FA16" s="864"/>
      <c r="FB16" s="864"/>
      <c r="FC16" s="864"/>
      <c r="FD16" s="864"/>
      <c r="FE16" s="880"/>
      <c r="FF16" s="864"/>
      <c r="FG16" s="864"/>
      <c r="FH16" s="864"/>
      <c r="FI16" s="864"/>
      <c r="FJ16" s="864"/>
      <c r="FK16" s="885"/>
      <c r="FL16" s="885"/>
      <c r="FM16" s="880"/>
      <c r="FN16" s="880"/>
      <c r="FO16" s="885"/>
      <c r="FP16" s="880"/>
      <c r="FQ16" s="880"/>
      <c r="FR16" s="864"/>
      <c r="FS16" s="864"/>
      <c r="FT16" s="864"/>
      <c r="FU16" s="864"/>
      <c r="FV16" s="864"/>
      <c r="FW16" s="864"/>
      <c r="FX16" s="864"/>
      <c r="FY16" s="864"/>
      <c r="FZ16" s="864"/>
      <c r="GA16" s="880"/>
      <c r="GB16" s="880"/>
      <c r="GC16" s="880"/>
      <c r="GD16" s="880"/>
      <c r="GE16" s="880"/>
      <c r="GF16" s="880"/>
      <c r="GG16" s="880"/>
      <c r="GH16" s="864"/>
      <c r="GI16" s="864"/>
      <c r="GJ16" s="864"/>
      <c r="GK16" s="864"/>
      <c r="GL16" s="864"/>
      <c r="GM16" s="864"/>
      <c r="GN16" s="864"/>
      <c r="GO16" s="887"/>
      <c r="GP16" s="855"/>
      <c r="GQ16" s="867"/>
      <c r="GR16" s="864"/>
      <c r="GS16" s="864"/>
      <c r="GT16" s="864"/>
      <c r="GU16" s="864"/>
      <c r="GV16" s="864"/>
      <c r="GW16" s="864"/>
      <c r="GX16" s="864"/>
      <c r="GY16" s="864"/>
      <c r="GZ16" s="864"/>
      <c r="HA16" s="864"/>
      <c r="HB16" s="864"/>
      <c r="HC16" s="864"/>
      <c r="HD16" s="864"/>
      <c r="HE16" s="880"/>
      <c r="HF16" s="885"/>
      <c r="HG16" s="864"/>
      <c r="HH16" s="883"/>
      <c r="HI16" s="880"/>
      <c r="HJ16" s="880"/>
      <c r="HK16" s="883"/>
      <c r="HL16" s="864"/>
      <c r="HM16" s="864"/>
      <c r="HN16" s="864"/>
      <c r="HO16" s="888"/>
      <c r="HP16" s="885"/>
      <c r="HQ16" s="885"/>
      <c r="HR16" s="885"/>
      <c r="HS16" s="885"/>
      <c r="HT16" s="885"/>
      <c r="HU16" s="885"/>
      <c r="HV16" s="885"/>
      <c r="HW16" s="885"/>
      <c r="HX16" s="880"/>
      <c r="HY16" s="880"/>
      <c r="HZ16" s="880"/>
      <c r="IA16" s="880"/>
      <c r="IB16" s="880"/>
      <c r="IC16" s="880"/>
      <c r="ID16" s="880"/>
      <c r="IE16" s="885"/>
      <c r="IF16" s="885"/>
      <c r="IG16" s="889"/>
      <c r="IH16" s="880"/>
      <c r="II16" s="885"/>
      <c r="IJ16" s="890"/>
      <c r="IK16" s="885"/>
      <c r="IL16" s="880"/>
      <c r="IM16" s="880"/>
      <c r="IN16" s="880"/>
      <c r="IO16" s="864"/>
      <c r="IP16" s="864"/>
      <c r="IQ16" s="864"/>
      <c r="IR16" s="896"/>
      <c r="IS16" s="880"/>
      <c r="IT16" s="880"/>
      <c r="IU16" s="880"/>
      <c r="IV16" s="880"/>
      <c r="IW16" s="880"/>
      <c r="IX16" s="883"/>
      <c r="IY16" s="886"/>
      <c r="IZ16" s="880"/>
      <c r="JA16" s="880"/>
      <c r="JB16" s="885"/>
      <c r="JC16" s="880"/>
      <c r="JD16" s="880"/>
      <c r="JE16" s="880"/>
      <c r="JF16" s="880"/>
      <c r="JG16" s="880"/>
      <c r="JH16" s="880"/>
      <c r="JI16" s="880"/>
      <c r="JJ16" s="880"/>
      <c r="JK16" s="880"/>
      <c r="JL16" s="897"/>
      <c r="JM16" s="880"/>
      <c r="JN16" s="880"/>
      <c r="JO16" s="880"/>
      <c r="JP16" s="880"/>
      <c r="JQ16" s="883"/>
      <c r="JR16" s="880"/>
      <c r="JS16" s="880"/>
      <c r="JT16" s="880"/>
      <c r="JU16" s="880"/>
      <c r="JV16" s="880"/>
      <c r="JW16" s="880"/>
      <c r="JX16" s="880"/>
      <c r="JY16" s="880"/>
      <c r="JZ16" s="880"/>
      <c r="KA16" s="880"/>
      <c r="KB16" s="880"/>
      <c r="KC16" s="880"/>
      <c r="KD16" s="880"/>
      <c r="KE16" s="891"/>
      <c r="KF16" s="891"/>
      <c r="KG16" s="891"/>
      <c r="KH16" s="891"/>
      <c r="KI16" s="891"/>
      <c r="KJ16" s="891"/>
      <c r="KK16" s="891"/>
      <c r="KL16" s="880"/>
      <c r="KM16" s="864"/>
      <c r="KN16" s="864"/>
      <c r="KO16" s="864"/>
      <c r="KP16" s="864"/>
      <c r="KQ16" s="864"/>
      <c r="KR16" s="894"/>
      <c r="KS16" s="864"/>
      <c r="KT16" s="880"/>
      <c r="KU16" s="864"/>
      <c r="KV16" s="880"/>
      <c r="KW16" s="880"/>
      <c r="KX16" s="880"/>
      <c r="KY16" s="895"/>
      <c r="KZ16" s="880"/>
      <c r="LA16" s="880"/>
      <c r="LB16" s="880"/>
      <c r="LC16" s="880"/>
      <c r="LD16" s="880"/>
      <c r="LE16" s="880"/>
      <c r="LF16" s="883"/>
      <c r="LG16" s="883"/>
      <c r="LH16" s="883"/>
      <c r="LI16" s="883"/>
      <c r="LJ16" s="883"/>
      <c r="LK16" s="883"/>
      <c r="LL16" s="883"/>
      <c r="LM16" s="883"/>
      <c r="LN16" s="883"/>
      <c r="LO16" s="883"/>
      <c r="LP16" s="883"/>
      <c r="LQ16" s="883"/>
      <c r="LR16" s="883"/>
      <c r="LS16" s="883"/>
      <c r="LT16" s="883"/>
      <c r="LU16" s="883"/>
      <c r="LV16" s="883"/>
      <c r="LW16" s="883"/>
      <c r="LX16" s="883"/>
      <c r="LY16" s="883"/>
    </row>
    <row r="17" spans="1:337" ht="33" customHeight="1" x14ac:dyDescent="0.25">
      <c r="A17" s="342"/>
      <c r="B17" s="343"/>
      <c r="C17" s="344"/>
      <c r="D17" s="345"/>
      <c r="E17" s="835"/>
      <c r="F17" s="863"/>
      <c r="G17" s="863"/>
      <c r="H17" s="864"/>
      <c r="I17" s="864"/>
      <c r="J17" s="864"/>
      <c r="K17" s="864"/>
      <c r="L17" s="864"/>
      <c r="M17" s="864"/>
      <c r="N17" s="852"/>
      <c r="O17" s="869"/>
      <c r="P17" s="864"/>
      <c r="Q17" s="864"/>
      <c r="R17" s="864"/>
      <c r="S17" s="864"/>
      <c r="T17" s="864"/>
      <c r="U17" s="864"/>
      <c r="V17" s="880"/>
      <c r="W17" s="880"/>
      <c r="X17" s="880"/>
      <c r="Y17" s="880"/>
      <c r="Z17" s="880"/>
      <c r="AA17" s="864"/>
      <c r="AB17" s="864"/>
      <c r="AC17" s="864"/>
      <c r="AD17" s="864"/>
      <c r="AE17" s="864"/>
      <c r="AF17" s="864"/>
      <c r="AG17" s="864"/>
      <c r="AH17" s="864"/>
      <c r="AI17" s="864"/>
      <c r="AJ17" s="864"/>
      <c r="AK17" s="864"/>
      <c r="AL17" s="864"/>
      <c r="AM17" s="864"/>
      <c r="AN17" s="864"/>
      <c r="AO17" s="864"/>
      <c r="AP17" s="864"/>
      <c r="AQ17" s="864"/>
      <c r="AR17" s="864"/>
      <c r="AS17" s="864"/>
      <c r="AT17" s="864"/>
      <c r="AU17" s="864"/>
      <c r="AV17" s="880"/>
      <c r="AW17" s="852"/>
      <c r="AX17" s="864"/>
      <c r="AY17" s="864"/>
      <c r="AZ17" s="864"/>
      <c r="BA17" s="881"/>
      <c r="BB17" s="880"/>
      <c r="BC17" s="880"/>
      <c r="BD17" s="880"/>
      <c r="BE17" s="864"/>
      <c r="BF17" s="864"/>
      <c r="BG17" s="864"/>
      <c r="BH17" s="864"/>
      <c r="BI17" s="864"/>
      <c r="BJ17" s="864"/>
      <c r="BK17" s="864"/>
      <c r="BL17" s="864"/>
      <c r="BM17" s="864"/>
      <c r="BN17" s="864"/>
      <c r="BO17" s="864"/>
      <c r="BP17" s="864"/>
      <c r="BQ17" s="864"/>
      <c r="BR17" s="864"/>
      <c r="BS17" s="864"/>
      <c r="BT17" s="880"/>
      <c r="BU17" s="880"/>
      <c r="BV17" s="880"/>
      <c r="BW17" s="880"/>
      <c r="BX17" s="864"/>
      <c r="BY17" s="864"/>
      <c r="BZ17" s="864"/>
      <c r="CA17" s="864"/>
      <c r="CB17" s="864"/>
      <c r="CC17" s="882"/>
      <c r="CD17" s="864"/>
      <c r="CE17" s="864"/>
      <c r="CF17" s="864"/>
      <c r="CG17" s="864"/>
      <c r="CH17" s="864"/>
      <c r="CI17" s="864"/>
      <c r="CJ17" s="864"/>
      <c r="CK17" s="880"/>
      <c r="CL17" s="880"/>
      <c r="CM17" s="864"/>
      <c r="CN17" s="864"/>
      <c r="CO17" s="864"/>
      <c r="CP17" s="864"/>
      <c r="CQ17" s="864"/>
      <c r="CR17" s="864"/>
      <c r="CS17" s="864"/>
      <c r="CT17" s="864"/>
      <c r="CU17" s="864"/>
      <c r="CV17" s="864"/>
      <c r="CW17" s="864"/>
      <c r="CX17" s="864"/>
      <c r="CY17" s="864"/>
      <c r="CZ17" s="864"/>
      <c r="DA17" s="864"/>
      <c r="DB17" s="864"/>
      <c r="DC17" s="864"/>
      <c r="DD17" s="864"/>
      <c r="DE17" s="864"/>
      <c r="DF17" s="880"/>
      <c r="DG17" s="864"/>
      <c r="DH17" s="880"/>
      <c r="DI17" s="880"/>
      <c r="DJ17" s="880"/>
      <c r="DK17" s="880"/>
      <c r="DL17" s="880"/>
      <c r="DM17" s="880"/>
      <c r="DN17" s="864"/>
      <c r="DO17" s="864"/>
      <c r="DP17" s="880"/>
      <c r="DQ17" s="864"/>
      <c r="DR17" s="864"/>
      <c r="DS17" s="864"/>
      <c r="DT17" s="864"/>
      <c r="DU17" s="864"/>
      <c r="DV17" s="864"/>
      <c r="DW17" s="864"/>
      <c r="DX17" s="864"/>
      <c r="DY17" s="864"/>
      <c r="DZ17" s="864"/>
      <c r="EA17" s="864"/>
      <c r="EB17" s="864"/>
      <c r="EC17" s="864"/>
      <c r="ED17" s="864"/>
      <c r="EE17" s="864"/>
      <c r="EF17" s="880"/>
      <c r="EG17" s="880"/>
      <c r="EH17" s="880"/>
      <c r="EI17" s="855"/>
      <c r="EJ17" s="883"/>
      <c r="EK17" s="883"/>
      <c r="EL17" s="883"/>
      <c r="EM17" s="883"/>
      <c r="EN17" s="883"/>
      <c r="EO17" s="883"/>
      <c r="EP17" s="853"/>
      <c r="EQ17" s="883"/>
      <c r="ER17" s="883"/>
      <c r="ES17" s="883"/>
      <c r="ET17" s="884"/>
      <c r="EU17" s="864"/>
      <c r="EV17" s="864"/>
      <c r="EW17" s="880"/>
      <c r="EX17" s="864"/>
      <c r="EY17" s="864"/>
      <c r="EZ17" s="864"/>
      <c r="FA17" s="864"/>
      <c r="FB17" s="864"/>
      <c r="FC17" s="864"/>
      <c r="FD17" s="864"/>
      <c r="FE17" s="880"/>
      <c r="FF17" s="864"/>
      <c r="FG17" s="864"/>
      <c r="FH17" s="864"/>
      <c r="FI17" s="864"/>
      <c r="FJ17" s="864"/>
      <c r="FK17" s="885"/>
      <c r="FL17" s="885"/>
      <c r="FM17" s="880"/>
      <c r="FN17" s="880"/>
      <c r="FO17" s="885"/>
      <c r="FP17" s="880"/>
      <c r="FQ17" s="880"/>
      <c r="FR17" s="864"/>
      <c r="FS17" s="864"/>
      <c r="FT17" s="864"/>
      <c r="FU17" s="864"/>
      <c r="FV17" s="864"/>
      <c r="FW17" s="864"/>
      <c r="FX17" s="864"/>
      <c r="FY17" s="864"/>
      <c r="FZ17" s="864"/>
      <c r="GA17" s="880"/>
      <c r="GB17" s="880"/>
      <c r="GC17" s="880"/>
      <c r="GD17" s="880"/>
      <c r="GE17" s="880"/>
      <c r="GF17" s="880"/>
      <c r="GG17" s="880"/>
      <c r="GH17" s="864"/>
      <c r="GI17" s="864"/>
      <c r="GJ17" s="864"/>
      <c r="GK17" s="864"/>
      <c r="GL17" s="864"/>
      <c r="GM17" s="864"/>
      <c r="GN17" s="864"/>
      <c r="GO17" s="887"/>
      <c r="GP17" s="855"/>
      <c r="GQ17" s="867"/>
      <c r="GR17" s="864"/>
      <c r="GS17" s="864"/>
      <c r="GT17" s="864"/>
      <c r="GU17" s="864"/>
      <c r="GV17" s="864"/>
      <c r="GW17" s="864"/>
      <c r="GX17" s="864"/>
      <c r="GY17" s="864"/>
      <c r="GZ17" s="864"/>
      <c r="HA17" s="864"/>
      <c r="HB17" s="864"/>
      <c r="HC17" s="864"/>
      <c r="HD17" s="864"/>
      <c r="HE17" s="880"/>
      <c r="HF17" s="885"/>
      <c r="HG17" s="864"/>
      <c r="HH17" s="883"/>
      <c r="HI17" s="880"/>
      <c r="HJ17" s="880"/>
      <c r="HK17" s="883"/>
      <c r="HL17" s="864"/>
      <c r="HM17" s="864"/>
      <c r="HN17" s="864"/>
      <c r="HO17" s="888"/>
      <c r="HP17" s="885"/>
      <c r="HQ17" s="885"/>
      <c r="HR17" s="885"/>
      <c r="HS17" s="885"/>
      <c r="HT17" s="885"/>
      <c r="HU17" s="885"/>
      <c r="HV17" s="885"/>
      <c r="HW17" s="885"/>
      <c r="HX17" s="880"/>
      <c r="HY17" s="880"/>
      <c r="HZ17" s="880"/>
      <c r="IA17" s="880"/>
      <c r="IB17" s="880"/>
      <c r="IC17" s="880"/>
      <c r="ID17" s="880"/>
      <c r="IE17" s="885"/>
      <c r="IF17" s="885"/>
      <c r="IG17" s="889"/>
      <c r="IH17" s="880"/>
      <c r="II17" s="885"/>
      <c r="IJ17" s="890"/>
      <c r="IK17" s="885"/>
      <c r="IL17" s="880"/>
      <c r="IM17" s="880"/>
      <c r="IN17" s="880"/>
      <c r="IO17" s="864"/>
      <c r="IP17" s="864"/>
      <c r="IQ17" s="864"/>
      <c r="IR17" s="896"/>
      <c r="IS17" s="880"/>
      <c r="IT17" s="880"/>
      <c r="IU17" s="880"/>
      <c r="IV17" s="880"/>
      <c r="IW17" s="880"/>
      <c r="IX17" s="883"/>
      <c r="IY17" s="886"/>
      <c r="IZ17" s="880"/>
      <c r="JA17" s="880"/>
      <c r="JB17" s="885"/>
      <c r="JC17" s="880"/>
      <c r="JD17" s="880"/>
      <c r="JE17" s="880"/>
      <c r="JF17" s="880"/>
      <c r="JG17" s="880"/>
      <c r="JH17" s="880"/>
      <c r="JI17" s="880"/>
      <c r="JJ17" s="880"/>
      <c r="JK17" s="880"/>
      <c r="JL17" s="897"/>
      <c r="JM17" s="880"/>
      <c r="JN17" s="880"/>
      <c r="JO17" s="880"/>
      <c r="JP17" s="880"/>
      <c r="JQ17" s="883"/>
      <c r="JR17" s="880"/>
      <c r="JS17" s="880"/>
      <c r="JT17" s="880"/>
      <c r="JU17" s="880"/>
      <c r="JV17" s="880"/>
      <c r="JW17" s="880"/>
      <c r="JX17" s="880"/>
      <c r="JY17" s="880"/>
      <c r="JZ17" s="880"/>
      <c r="KA17" s="880"/>
      <c r="KB17" s="880"/>
      <c r="KC17" s="880"/>
      <c r="KD17" s="880"/>
      <c r="KE17" s="891"/>
      <c r="KF17" s="891"/>
      <c r="KG17" s="891"/>
      <c r="KH17" s="891"/>
      <c r="KI17" s="891"/>
      <c r="KJ17" s="891"/>
      <c r="KK17" s="891"/>
      <c r="KL17" s="880"/>
      <c r="KM17" s="864"/>
      <c r="KN17" s="864"/>
      <c r="KO17" s="864"/>
      <c r="KP17" s="864"/>
      <c r="KQ17" s="864"/>
      <c r="KR17" s="894"/>
      <c r="KS17" s="864"/>
      <c r="KT17" s="880"/>
      <c r="KU17" s="864"/>
      <c r="KV17" s="880"/>
      <c r="KW17" s="880"/>
      <c r="KX17" s="880"/>
      <c r="KY17" s="895"/>
      <c r="KZ17" s="880"/>
      <c r="LA17" s="880"/>
      <c r="LB17" s="880"/>
      <c r="LC17" s="880"/>
      <c r="LD17" s="880"/>
      <c r="LE17" s="880"/>
      <c r="LF17" s="883"/>
      <c r="LG17" s="883"/>
      <c r="LH17" s="883"/>
      <c r="LI17" s="883"/>
      <c r="LJ17" s="883"/>
      <c r="LK17" s="883"/>
      <c r="LL17" s="883"/>
      <c r="LM17" s="883"/>
      <c r="LN17" s="883"/>
      <c r="LO17" s="883"/>
      <c r="LP17" s="883"/>
      <c r="LQ17" s="883"/>
      <c r="LR17" s="883"/>
      <c r="LS17" s="883"/>
      <c r="LT17" s="883"/>
      <c r="LU17" s="883"/>
      <c r="LV17" s="883"/>
      <c r="LW17" s="883"/>
      <c r="LX17" s="883"/>
      <c r="LY17" s="883"/>
    </row>
    <row r="18" spans="1:337" ht="33" customHeight="1" x14ac:dyDescent="0.25">
      <c r="A18" s="342"/>
      <c r="B18" s="343"/>
      <c r="C18" s="344"/>
      <c r="D18" s="345"/>
      <c r="E18" s="835"/>
      <c r="F18" s="863"/>
      <c r="G18" s="863"/>
      <c r="H18" s="864"/>
      <c r="I18" s="864"/>
      <c r="J18" s="864"/>
      <c r="K18" s="864"/>
      <c r="L18" s="864"/>
      <c r="M18" s="864"/>
      <c r="N18" s="852"/>
      <c r="O18" s="869"/>
      <c r="P18" s="864"/>
      <c r="Q18" s="864"/>
      <c r="R18" s="864"/>
      <c r="S18" s="864"/>
      <c r="T18" s="864"/>
      <c r="U18" s="864"/>
      <c r="V18" s="880"/>
      <c r="W18" s="880"/>
      <c r="X18" s="880"/>
      <c r="Y18" s="880"/>
      <c r="Z18" s="880"/>
      <c r="AA18" s="864"/>
      <c r="AB18" s="864"/>
      <c r="AC18" s="864"/>
      <c r="AD18" s="864"/>
      <c r="AE18" s="864"/>
      <c r="AF18" s="864"/>
      <c r="AG18" s="864"/>
      <c r="AH18" s="864"/>
      <c r="AI18" s="864"/>
      <c r="AJ18" s="864"/>
      <c r="AK18" s="864"/>
      <c r="AL18" s="864"/>
      <c r="AM18" s="864"/>
      <c r="AN18" s="864"/>
      <c r="AO18" s="864"/>
      <c r="AP18" s="864"/>
      <c r="AQ18" s="864"/>
      <c r="AR18" s="864"/>
      <c r="AS18" s="864"/>
      <c r="AT18" s="864"/>
      <c r="AU18" s="864"/>
      <c r="AV18" s="880"/>
      <c r="AW18" s="852"/>
      <c r="AX18" s="864"/>
      <c r="AY18" s="864"/>
      <c r="AZ18" s="864"/>
      <c r="BA18" s="881"/>
      <c r="BB18" s="880"/>
      <c r="BC18" s="880"/>
      <c r="BD18" s="880"/>
      <c r="BE18" s="864"/>
      <c r="BF18" s="864"/>
      <c r="BG18" s="864"/>
      <c r="BH18" s="864"/>
      <c r="BI18" s="864"/>
      <c r="BJ18" s="864"/>
      <c r="BK18" s="864"/>
      <c r="BL18" s="864"/>
      <c r="BM18" s="864"/>
      <c r="BN18" s="864"/>
      <c r="BO18" s="864"/>
      <c r="BP18" s="864"/>
      <c r="BQ18" s="864"/>
      <c r="BR18" s="864"/>
      <c r="BS18" s="864"/>
      <c r="BT18" s="880"/>
      <c r="BU18" s="880"/>
      <c r="BV18" s="880"/>
      <c r="BW18" s="880"/>
      <c r="BX18" s="864"/>
      <c r="BY18" s="864"/>
      <c r="BZ18" s="864"/>
      <c r="CA18" s="864"/>
      <c r="CB18" s="864"/>
      <c r="CC18" s="882"/>
      <c r="CD18" s="864"/>
      <c r="CE18" s="864"/>
      <c r="CF18" s="864"/>
      <c r="CG18" s="864"/>
      <c r="CH18" s="864"/>
      <c r="CI18" s="864"/>
      <c r="CJ18" s="864"/>
      <c r="CK18" s="880"/>
      <c r="CL18" s="880"/>
      <c r="CM18" s="864"/>
      <c r="CN18" s="864"/>
      <c r="CO18" s="864"/>
      <c r="CP18" s="864"/>
      <c r="CQ18" s="864"/>
      <c r="CR18" s="864"/>
      <c r="CS18" s="864"/>
      <c r="CT18" s="864"/>
      <c r="CU18" s="864"/>
      <c r="CV18" s="864"/>
      <c r="CW18" s="864"/>
      <c r="CX18" s="864"/>
      <c r="CY18" s="864"/>
      <c r="CZ18" s="864"/>
      <c r="DA18" s="864"/>
      <c r="DB18" s="864"/>
      <c r="DC18" s="864"/>
      <c r="DD18" s="864"/>
      <c r="DE18" s="864"/>
      <c r="DF18" s="880"/>
      <c r="DG18" s="864"/>
      <c r="DH18" s="880"/>
      <c r="DI18" s="880"/>
      <c r="DJ18" s="880"/>
      <c r="DK18" s="880"/>
      <c r="DL18" s="880"/>
      <c r="DM18" s="880"/>
      <c r="DN18" s="864"/>
      <c r="DO18" s="864"/>
      <c r="DP18" s="880"/>
      <c r="DQ18" s="864"/>
      <c r="DR18" s="864"/>
      <c r="DS18" s="864"/>
      <c r="DT18" s="864"/>
      <c r="DU18" s="864"/>
      <c r="DV18" s="864"/>
      <c r="DW18" s="864"/>
      <c r="DX18" s="864"/>
      <c r="DY18" s="864"/>
      <c r="DZ18" s="864"/>
      <c r="EA18" s="864"/>
      <c r="EB18" s="864"/>
      <c r="EC18" s="864"/>
      <c r="ED18" s="864"/>
      <c r="EE18" s="864"/>
      <c r="EF18" s="880"/>
      <c r="EG18" s="880"/>
      <c r="EH18" s="880"/>
      <c r="EI18" s="855"/>
      <c r="EJ18" s="883"/>
      <c r="EK18" s="883"/>
      <c r="EL18" s="883"/>
      <c r="EM18" s="883"/>
      <c r="EN18" s="883"/>
      <c r="EO18" s="883"/>
      <c r="EP18" s="853"/>
      <c r="EQ18" s="883"/>
      <c r="ER18" s="883"/>
      <c r="ES18" s="883"/>
      <c r="ET18" s="884"/>
      <c r="EU18" s="864"/>
      <c r="EV18" s="864"/>
      <c r="EW18" s="880"/>
      <c r="EX18" s="864"/>
      <c r="EY18" s="864"/>
      <c r="EZ18" s="864"/>
      <c r="FA18" s="864"/>
      <c r="FB18" s="864"/>
      <c r="FC18" s="864"/>
      <c r="FD18" s="864"/>
      <c r="FE18" s="880"/>
      <c r="FF18" s="864"/>
      <c r="FG18" s="864"/>
      <c r="FH18" s="864"/>
      <c r="FI18" s="864"/>
      <c r="FJ18" s="864"/>
      <c r="FK18" s="885"/>
      <c r="FL18" s="885"/>
      <c r="FM18" s="880"/>
      <c r="FN18" s="880"/>
      <c r="FO18" s="885"/>
      <c r="FP18" s="880"/>
      <c r="FQ18" s="880"/>
      <c r="FR18" s="864"/>
      <c r="FS18" s="864"/>
      <c r="FT18" s="864"/>
      <c r="FU18" s="864"/>
      <c r="FV18" s="864"/>
      <c r="FW18" s="864"/>
      <c r="FX18" s="864"/>
      <c r="FY18" s="864"/>
      <c r="FZ18" s="864"/>
      <c r="GA18" s="880"/>
      <c r="GB18" s="880"/>
      <c r="GC18" s="880"/>
      <c r="GD18" s="880"/>
      <c r="GE18" s="880"/>
      <c r="GF18" s="880"/>
      <c r="GG18" s="880"/>
      <c r="GH18" s="864"/>
      <c r="GI18" s="864"/>
      <c r="GJ18" s="864"/>
      <c r="GK18" s="864"/>
      <c r="GL18" s="864"/>
      <c r="GM18" s="864"/>
      <c r="GN18" s="864"/>
      <c r="GO18" s="887"/>
      <c r="GP18" s="855"/>
      <c r="GQ18" s="867"/>
      <c r="GR18" s="864"/>
      <c r="GS18" s="864"/>
      <c r="GT18" s="864"/>
      <c r="GU18" s="864"/>
      <c r="GV18" s="864"/>
      <c r="GW18" s="864"/>
      <c r="GX18" s="864"/>
      <c r="GY18" s="864"/>
      <c r="GZ18" s="864"/>
      <c r="HA18" s="864"/>
      <c r="HB18" s="864"/>
      <c r="HC18" s="864"/>
      <c r="HD18" s="864"/>
      <c r="HE18" s="880"/>
      <c r="HF18" s="885"/>
      <c r="HG18" s="864"/>
      <c r="HH18" s="883"/>
      <c r="HI18" s="880"/>
      <c r="HJ18" s="880"/>
      <c r="HK18" s="883"/>
      <c r="HL18" s="864"/>
      <c r="HM18" s="864"/>
      <c r="HN18" s="864"/>
      <c r="HO18" s="888"/>
      <c r="HP18" s="885"/>
      <c r="HQ18" s="885"/>
      <c r="HR18" s="885"/>
      <c r="HS18" s="885"/>
      <c r="HT18" s="885"/>
      <c r="HU18" s="885"/>
      <c r="HV18" s="885"/>
      <c r="HW18" s="885"/>
      <c r="HX18" s="880"/>
      <c r="HY18" s="880"/>
      <c r="HZ18" s="880"/>
      <c r="IA18" s="880"/>
      <c r="IB18" s="880"/>
      <c r="IC18" s="880"/>
      <c r="ID18" s="880"/>
      <c r="IE18" s="885"/>
      <c r="IF18" s="885"/>
      <c r="IG18" s="889"/>
      <c r="IH18" s="880"/>
      <c r="II18" s="885"/>
      <c r="IJ18" s="890"/>
      <c r="IK18" s="885"/>
      <c r="IL18" s="880"/>
      <c r="IM18" s="880"/>
      <c r="IN18" s="880"/>
      <c r="IO18" s="864"/>
      <c r="IP18" s="864"/>
      <c r="IQ18" s="864"/>
      <c r="IR18" s="896"/>
      <c r="IS18" s="880"/>
      <c r="IT18" s="880"/>
      <c r="IU18" s="880"/>
      <c r="IV18" s="880"/>
      <c r="IW18" s="880"/>
      <c r="IX18" s="883"/>
      <c r="IY18" s="886"/>
      <c r="IZ18" s="880"/>
      <c r="JA18" s="880"/>
      <c r="JB18" s="885"/>
      <c r="JC18" s="880"/>
      <c r="JD18" s="880"/>
      <c r="JE18" s="880"/>
      <c r="JF18" s="880"/>
      <c r="JG18" s="880"/>
      <c r="JH18" s="880"/>
      <c r="JI18" s="880"/>
      <c r="JJ18" s="880"/>
      <c r="JK18" s="880"/>
      <c r="JL18" s="897"/>
      <c r="JM18" s="880"/>
      <c r="JN18" s="880"/>
      <c r="JO18" s="880"/>
      <c r="JP18" s="880"/>
      <c r="JQ18" s="883"/>
      <c r="JR18" s="880"/>
      <c r="JS18" s="880"/>
      <c r="JT18" s="880"/>
      <c r="JU18" s="880"/>
      <c r="JV18" s="880"/>
      <c r="JW18" s="880"/>
      <c r="JX18" s="880"/>
      <c r="JY18" s="880"/>
      <c r="JZ18" s="880"/>
      <c r="KA18" s="880"/>
      <c r="KB18" s="880"/>
      <c r="KC18" s="880"/>
      <c r="KD18" s="880"/>
      <c r="KE18" s="891"/>
      <c r="KF18" s="891"/>
      <c r="KG18" s="891"/>
      <c r="KH18" s="891"/>
      <c r="KI18" s="891"/>
      <c r="KJ18" s="891"/>
      <c r="KK18" s="891"/>
      <c r="KL18" s="880"/>
      <c r="KM18" s="864"/>
      <c r="KN18" s="864"/>
      <c r="KO18" s="864"/>
      <c r="KP18" s="864"/>
      <c r="KQ18" s="864"/>
      <c r="KR18" s="894"/>
      <c r="KS18" s="864"/>
      <c r="KT18" s="880"/>
      <c r="KU18" s="864"/>
      <c r="KV18" s="880"/>
      <c r="KW18" s="880"/>
      <c r="KX18" s="880"/>
      <c r="KY18" s="895"/>
      <c r="KZ18" s="880"/>
      <c r="LA18" s="880"/>
      <c r="LB18" s="880"/>
      <c r="LC18" s="880"/>
      <c r="LD18" s="880"/>
      <c r="LE18" s="880"/>
      <c r="LF18" s="883"/>
      <c r="LG18" s="883"/>
      <c r="LH18" s="883"/>
      <c r="LI18" s="883"/>
      <c r="LJ18" s="883"/>
      <c r="LK18" s="883"/>
      <c r="LL18" s="883"/>
      <c r="LM18" s="883"/>
      <c r="LN18" s="883"/>
      <c r="LO18" s="883"/>
      <c r="LP18" s="883"/>
      <c r="LQ18" s="883"/>
      <c r="LR18" s="883"/>
      <c r="LS18" s="883"/>
      <c r="LT18" s="883"/>
      <c r="LU18" s="883"/>
      <c r="LV18" s="883"/>
      <c r="LW18" s="883"/>
      <c r="LX18" s="883"/>
      <c r="LY18" s="883"/>
    </row>
    <row r="19" spans="1:337" ht="44.1" customHeight="1" x14ac:dyDescent="0.25">
      <c r="A19" s="342"/>
      <c r="B19" s="343"/>
      <c r="C19" s="344"/>
      <c r="D19" s="345"/>
      <c r="E19" s="835"/>
      <c r="F19" s="863"/>
      <c r="G19" s="863"/>
      <c r="H19" s="864"/>
      <c r="I19" s="864"/>
      <c r="J19" s="864"/>
      <c r="K19" s="864"/>
      <c r="L19" s="864"/>
      <c r="M19" s="864"/>
      <c r="N19" s="852"/>
      <c r="O19" s="869"/>
      <c r="P19" s="864"/>
      <c r="Q19" s="864"/>
      <c r="R19" s="864"/>
      <c r="S19" s="864"/>
      <c r="T19" s="864"/>
      <c r="U19" s="864"/>
      <c r="V19" s="880"/>
      <c r="W19" s="880"/>
      <c r="X19" s="880"/>
      <c r="Y19" s="880"/>
      <c r="Z19" s="880"/>
      <c r="AA19" s="864"/>
      <c r="AB19" s="864"/>
      <c r="AC19" s="864"/>
      <c r="AD19" s="864"/>
      <c r="AE19" s="864"/>
      <c r="AF19" s="864"/>
      <c r="AG19" s="864"/>
      <c r="AH19" s="864"/>
      <c r="AI19" s="864"/>
      <c r="AJ19" s="864"/>
      <c r="AK19" s="864"/>
      <c r="AL19" s="864"/>
      <c r="AM19" s="864"/>
      <c r="AN19" s="864"/>
      <c r="AO19" s="864"/>
      <c r="AP19" s="864"/>
      <c r="AQ19" s="864"/>
      <c r="AR19" s="864"/>
      <c r="AS19" s="864"/>
      <c r="AT19" s="864"/>
      <c r="AU19" s="864"/>
      <c r="AV19" s="880"/>
      <c r="AW19" s="852"/>
      <c r="AX19" s="864"/>
      <c r="AY19" s="864"/>
      <c r="AZ19" s="864"/>
      <c r="BA19" s="881"/>
      <c r="BB19" s="880"/>
      <c r="BC19" s="880"/>
      <c r="BD19" s="880"/>
      <c r="BE19" s="864"/>
      <c r="BF19" s="864"/>
      <c r="BG19" s="864"/>
      <c r="BH19" s="864"/>
      <c r="BI19" s="864"/>
      <c r="BJ19" s="864"/>
      <c r="BK19" s="864"/>
      <c r="BL19" s="864"/>
      <c r="BM19" s="864"/>
      <c r="BN19" s="864"/>
      <c r="BO19" s="864"/>
      <c r="BP19" s="864"/>
      <c r="BQ19" s="864"/>
      <c r="BR19" s="864"/>
      <c r="BS19" s="864"/>
      <c r="BT19" s="880"/>
      <c r="BU19" s="880"/>
      <c r="BV19" s="880"/>
      <c r="BW19" s="880"/>
      <c r="BX19" s="864"/>
      <c r="BY19" s="864"/>
      <c r="BZ19" s="864"/>
      <c r="CA19" s="864"/>
      <c r="CB19" s="864"/>
      <c r="CC19" s="882"/>
      <c r="CD19" s="864"/>
      <c r="CE19" s="864"/>
      <c r="CF19" s="864"/>
      <c r="CG19" s="864"/>
      <c r="CH19" s="864"/>
      <c r="CI19" s="864"/>
      <c r="CJ19" s="864"/>
      <c r="CK19" s="880"/>
      <c r="CL19" s="880"/>
      <c r="CM19" s="864"/>
      <c r="CN19" s="864"/>
      <c r="CO19" s="864"/>
      <c r="CP19" s="864"/>
      <c r="CQ19" s="864"/>
      <c r="CR19" s="864"/>
      <c r="CS19" s="864"/>
      <c r="CT19" s="864"/>
      <c r="CU19" s="864"/>
      <c r="CV19" s="864"/>
      <c r="CW19" s="864"/>
      <c r="CX19" s="864"/>
      <c r="CY19" s="864"/>
      <c r="CZ19" s="864"/>
      <c r="DA19" s="864"/>
      <c r="DB19" s="864"/>
      <c r="DC19" s="864"/>
      <c r="DD19" s="864"/>
      <c r="DE19" s="864"/>
      <c r="DF19" s="880"/>
      <c r="DG19" s="864"/>
      <c r="DH19" s="880"/>
      <c r="DI19" s="880"/>
      <c r="DJ19" s="880"/>
      <c r="DK19" s="880"/>
      <c r="DL19" s="880"/>
      <c r="DM19" s="880"/>
      <c r="DN19" s="864"/>
      <c r="DO19" s="864"/>
      <c r="DP19" s="880"/>
      <c r="DQ19" s="864"/>
      <c r="DR19" s="864"/>
      <c r="DS19" s="864"/>
      <c r="DT19" s="864"/>
      <c r="DU19" s="864"/>
      <c r="DV19" s="864"/>
      <c r="DW19" s="864"/>
      <c r="DX19" s="864"/>
      <c r="DY19" s="864"/>
      <c r="DZ19" s="864"/>
      <c r="EA19" s="864"/>
      <c r="EB19" s="864"/>
      <c r="EC19" s="864"/>
      <c r="ED19" s="864"/>
      <c r="EE19" s="864"/>
      <c r="EF19" s="880"/>
      <c r="EG19" s="880"/>
      <c r="EH19" s="880"/>
      <c r="EI19" s="855"/>
      <c r="EJ19" s="883"/>
      <c r="EK19" s="883"/>
      <c r="EL19" s="883"/>
      <c r="EM19" s="883"/>
      <c r="EN19" s="883"/>
      <c r="EO19" s="883"/>
      <c r="EP19" s="853"/>
      <c r="EQ19" s="883"/>
      <c r="ER19" s="883"/>
      <c r="ES19" s="883"/>
      <c r="ET19" s="884"/>
      <c r="EU19" s="864"/>
      <c r="EV19" s="864"/>
      <c r="EW19" s="880"/>
      <c r="EX19" s="864"/>
      <c r="EY19" s="864"/>
      <c r="EZ19" s="864"/>
      <c r="FA19" s="864"/>
      <c r="FB19" s="864"/>
      <c r="FC19" s="864"/>
      <c r="FD19" s="864"/>
      <c r="FE19" s="880"/>
      <c r="FF19" s="864"/>
      <c r="FG19" s="864"/>
      <c r="FH19" s="864"/>
      <c r="FI19" s="864"/>
      <c r="FJ19" s="864"/>
      <c r="FK19" s="885"/>
      <c r="FL19" s="885"/>
      <c r="FM19" s="880"/>
      <c r="FN19" s="880"/>
      <c r="FO19" s="885"/>
      <c r="FP19" s="880"/>
      <c r="FQ19" s="880"/>
      <c r="FR19" s="864"/>
      <c r="FS19" s="864"/>
      <c r="FT19" s="864"/>
      <c r="FU19" s="864"/>
      <c r="FV19" s="864"/>
      <c r="FW19" s="864"/>
      <c r="FX19" s="864"/>
      <c r="FY19" s="864"/>
      <c r="FZ19" s="864"/>
      <c r="GA19" s="880"/>
      <c r="GB19" s="880"/>
      <c r="GC19" s="880"/>
      <c r="GD19" s="880"/>
      <c r="GE19" s="880"/>
      <c r="GF19" s="880"/>
      <c r="GG19" s="880"/>
      <c r="GH19" s="864"/>
      <c r="GI19" s="864"/>
      <c r="GJ19" s="864"/>
      <c r="GK19" s="864"/>
      <c r="GL19" s="864"/>
      <c r="GM19" s="864"/>
      <c r="GN19" s="864"/>
      <c r="GO19" s="887"/>
      <c r="GP19" s="855"/>
      <c r="GQ19" s="867"/>
      <c r="GR19" s="864"/>
      <c r="GS19" s="864"/>
      <c r="GT19" s="864"/>
      <c r="GU19" s="864"/>
      <c r="GV19" s="864"/>
      <c r="GW19" s="864"/>
      <c r="GX19" s="864"/>
      <c r="GY19" s="864"/>
      <c r="GZ19" s="864"/>
      <c r="HA19" s="864"/>
      <c r="HB19" s="864"/>
      <c r="HC19" s="864"/>
      <c r="HD19" s="864"/>
      <c r="HE19" s="880"/>
      <c r="HF19" s="885"/>
      <c r="HG19" s="864"/>
      <c r="HH19" s="883"/>
      <c r="HI19" s="880"/>
      <c r="HJ19" s="880"/>
      <c r="HK19" s="883"/>
      <c r="HL19" s="864"/>
      <c r="HM19" s="864"/>
      <c r="HN19" s="864"/>
      <c r="HO19" s="888"/>
      <c r="HP19" s="885"/>
      <c r="HQ19" s="885"/>
      <c r="HR19" s="885"/>
      <c r="HS19" s="885"/>
      <c r="HT19" s="885"/>
      <c r="HU19" s="885"/>
      <c r="HV19" s="885"/>
      <c r="HW19" s="885"/>
      <c r="HX19" s="880"/>
      <c r="HY19" s="880"/>
      <c r="HZ19" s="880"/>
      <c r="IA19" s="880"/>
      <c r="IB19" s="880"/>
      <c r="IC19" s="880"/>
      <c r="ID19" s="880"/>
      <c r="IE19" s="885"/>
      <c r="IF19" s="885"/>
      <c r="IG19" s="889"/>
      <c r="IH19" s="880"/>
      <c r="II19" s="885"/>
      <c r="IJ19" s="890"/>
      <c r="IK19" s="885"/>
      <c r="IL19" s="880"/>
      <c r="IM19" s="880"/>
      <c r="IN19" s="880"/>
      <c r="IO19" s="864"/>
      <c r="IP19" s="864"/>
      <c r="IQ19" s="864"/>
      <c r="IR19" s="896"/>
      <c r="IS19" s="880"/>
      <c r="IT19" s="880"/>
      <c r="IU19" s="880"/>
      <c r="IV19" s="880"/>
      <c r="IW19" s="880"/>
      <c r="IX19" s="883"/>
      <c r="IY19" s="886"/>
      <c r="IZ19" s="880"/>
      <c r="JA19" s="880"/>
      <c r="JB19" s="885"/>
      <c r="JC19" s="880"/>
      <c r="JD19" s="880"/>
      <c r="JE19" s="880"/>
      <c r="JF19" s="880"/>
      <c r="JG19" s="880"/>
      <c r="JH19" s="880"/>
      <c r="JI19" s="880"/>
      <c r="JJ19" s="880"/>
      <c r="JK19" s="880"/>
      <c r="JL19" s="897"/>
      <c r="JM19" s="880"/>
      <c r="JN19" s="880"/>
      <c r="JO19" s="880"/>
      <c r="JP19" s="880"/>
      <c r="JQ19" s="883"/>
      <c r="JR19" s="880"/>
      <c r="JS19" s="880"/>
      <c r="JT19" s="880"/>
      <c r="JU19" s="880"/>
      <c r="JV19" s="880"/>
      <c r="JW19" s="880"/>
      <c r="JX19" s="880"/>
      <c r="JY19" s="880"/>
      <c r="JZ19" s="880"/>
      <c r="KA19" s="880"/>
      <c r="KB19" s="880"/>
      <c r="KC19" s="880"/>
      <c r="KD19" s="880"/>
      <c r="KE19" s="891"/>
      <c r="KF19" s="891"/>
      <c r="KG19" s="891"/>
      <c r="KH19" s="891"/>
      <c r="KI19" s="891"/>
      <c r="KJ19" s="891"/>
      <c r="KK19" s="891"/>
      <c r="KL19" s="880"/>
      <c r="KM19" s="864"/>
      <c r="KN19" s="864"/>
      <c r="KO19" s="864"/>
      <c r="KP19" s="864"/>
      <c r="KQ19" s="864"/>
      <c r="KR19" s="894"/>
      <c r="KS19" s="864"/>
      <c r="KT19" s="880"/>
      <c r="KU19" s="864"/>
      <c r="KV19" s="880"/>
      <c r="KW19" s="880"/>
      <c r="KX19" s="880"/>
      <c r="KY19" s="895"/>
      <c r="KZ19" s="880"/>
      <c r="LA19" s="880"/>
      <c r="LB19" s="880"/>
      <c r="LC19" s="880"/>
      <c r="LD19" s="880"/>
      <c r="LE19" s="880"/>
      <c r="LF19" s="883"/>
      <c r="LG19" s="883"/>
      <c r="LH19" s="883"/>
      <c r="LI19" s="883"/>
      <c r="LJ19" s="883"/>
      <c r="LK19" s="883"/>
      <c r="LL19" s="883"/>
      <c r="LM19" s="883"/>
      <c r="LN19" s="883"/>
      <c r="LO19" s="883"/>
      <c r="LP19" s="883"/>
      <c r="LQ19" s="883"/>
      <c r="LR19" s="883"/>
      <c r="LS19" s="883"/>
      <c r="LT19" s="883"/>
      <c r="LU19" s="883"/>
      <c r="LV19" s="883"/>
      <c r="LW19" s="883"/>
      <c r="LX19" s="883"/>
      <c r="LY19" s="883"/>
    </row>
    <row r="20" spans="1:337" ht="18.95" customHeight="1" thickBot="1" x14ac:dyDescent="0.3">
      <c r="A20" s="342"/>
      <c r="B20" s="343"/>
      <c r="C20" s="344"/>
      <c r="D20" s="345"/>
      <c r="E20" s="835"/>
      <c r="F20" s="863"/>
      <c r="G20" s="863"/>
      <c r="H20" s="864"/>
      <c r="I20" s="864"/>
      <c r="J20" s="864"/>
      <c r="K20" s="864"/>
      <c r="L20" s="864"/>
      <c r="M20" s="864"/>
      <c r="N20" s="852"/>
      <c r="O20" s="869"/>
      <c r="P20" s="864"/>
      <c r="Q20" s="864"/>
      <c r="R20" s="864"/>
      <c r="S20" s="864"/>
      <c r="T20" s="864"/>
      <c r="U20" s="864"/>
      <c r="V20" s="880"/>
      <c r="W20" s="880"/>
      <c r="X20" s="880"/>
      <c r="Y20" s="880"/>
      <c r="Z20" s="880"/>
      <c r="AA20" s="864"/>
      <c r="AB20" s="864"/>
      <c r="AC20" s="864"/>
      <c r="AD20" s="864"/>
      <c r="AE20" s="864"/>
      <c r="AF20" s="864"/>
      <c r="AG20" s="864"/>
      <c r="AH20" s="864"/>
      <c r="AI20" s="864"/>
      <c r="AJ20" s="864"/>
      <c r="AK20" s="864"/>
      <c r="AL20" s="864"/>
      <c r="AM20" s="864"/>
      <c r="AN20" s="864"/>
      <c r="AO20" s="864"/>
      <c r="AP20" s="864"/>
      <c r="AQ20" s="864"/>
      <c r="AR20" s="864"/>
      <c r="AS20" s="864"/>
      <c r="AT20" s="864"/>
      <c r="AU20" s="864"/>
      <c r="AV20" s="880"/>
      <c r="AW20" s="852"/>
      <c r="AX20" s="864"/>
      <c r="AY20" s="864"/>
      <c r="AZ20" s="864"/>
      <c r="BA20" s="881"/>
      <c r="BB20" s="880"/>
      <c r="BC20" s="880"/>
      <c r="BD20" s="880"/>
      <c r="BE20" s="864"/>
      <c r="BF20" s="864"/>
      <c r="BG20" s="864"/>
      <c r="BH20" s="864"/>
      <c r="BI20" s="864"/>
      <c r="BJ20" s="864"/>
      <c r="BK20" s="864"/>
      <c r="BL20" s="864"/>
      <c r="BM20" s="864"/>
      <c r="BN20" s="864"/>
      <c r="BO20" s="864"/>
      <c r="BP20" s="864"/>
      <c r="BQ20" s="864"/>
      <c r="BR20" s="864"/>
      <c r="BS20" s="864"/>
      <c r="BT20" s="880"/>
      <c r="BU20" s="880"/>
      <c r="BV20" s="880"/>
      <c r="BW20" s="880"/>
      <c r="BX20" s="864"/>
      <c r="BY20" s="864"/>
      <c r="BZ20" s="864"/>
      <c r="CA20" s="864"/>
      <c r="CB20" s="864"/>
      <c r="CC20" s="882"/>
      <c r="CD20" s="864"/>
      <c r="CE20" s="864"/>
      <c r="CF20" s="864"/>
      <c r="CG20" s="864"/>
      <c r="CH20" s="864"/>
      <c r="CI20" s="864"/>
      <c r="CJ20" s="864"/>
      <c r="CK20" s="880"/>
      <c r="CL20" s="880"/>
      <c r="CM20" s="864"/>
      <c r="CN20" s="864"/>
      <c r="CO20" s="864"/>
      <c r="CP20" s="864"/>
      <c r="CQ20" s="864"/>
      <c r="CR20" s="864"/>
      <c r="CS20" s="864"/>
      <c r="CT20" s="864"/>
      <c r="CU20" s="864"/>
      <c r="CV20" s="864"/>
      <c r="CW20" s="864"/>
      <c r="CX20" s="864"/>
      <c r="CY20" s="864"/>
      <c r="CZ20" s="864"/>
      <c r="DA20" s="864"/>
      <c r="DB20" s="864"/>
      <c r="DC20" s="864"/>
      <c r="DD20" s="864"/>
      <c r="DE20" s="864"/>
      <c r="DF20" s="880"/>
      <c r="DG20" s="864"/>
      <c r="DH20" s="880"/>
      <c r="DI20" s="880"/>
      <c r="DJ20" s="880"/>
      <c r="DK20" s="880"/>
      <c r="DL20" s="880"/>
      <c r="DM20" s="880"/>
      <c r="DN20" s="864"/>
      <c r="DO20" s="864"/>
      <c r="DP20" s="880"/>
      <c r="DQ20" s="864"/>
      <c r="DR20" s="864"/>
      <c r="DS20" s="864"/>
      <c r="DT20" s="864"/>
      <c r="DU20" s="864"/>
      <c r="DV20" s="864"/>
      <c r="DW20" s="864"/>
      <c r="DX20" s="864"/>
      <c r="DY20" s="864"/>
      <c r="DZ20" s="864"/>
      <c r="EA20" s="864"/>
      <c r="EB20" s="864"/>
      <c r="EC20" s="864"/>
      <c r="ED20" s="864"/>
      <c r="EE20" s="864"/>
      <c r="EF20" s="880"/>
      <c r="EG20" s="880"/>
      <c r="EH20" s="880"/>
      <c r="EI20" s="855"/>
      <c r="EJ20" s="883"/>
      <c r="EK20" s="883"/>
      <c r="EL20" s="883"/>
      <c r="EM20" s="883"/>
      <c r="EN20" s="883"/>
      <c r="EO20" s="883"/>
      <c r="EP20" s="853"/>
      <c r="EQ20" s="883"/>
      <c r="ER20" s="883"/>
      <c r="ES20" s="883"/>
      <c r="ET20" s="884"/>
      <c r="EU20" s="864"/>
      <c r="EV20" s="864"/>
      <c r="EW20" s="880"/>
      <c r="EX20" s="864"/>
      <c r="EY20" s="864"/>
      <c r="EZ20" s="864"/>
      <c r="FA20" s="864"/>
      <c r="FB20" s="864"/>
      <c r="FC20" s="864"/>
      <c r="FD20" s="864"/>
      <c r="FE20" s="880"/>
      <c r="FF20" s="864"/>
      <c r="FG20" s="864"/>
      <c r="FH20" s="864"/>
      <c r="FI20" s="864"/>
      <c r="FJ20" s="864"/>
      <c r="FK20" s="885"/>
      <c r="FL20" s="885"/>
      <c r="FM20" s="880"/>
      <c r="FN20" s="880"/>
      <c r="FO20" s="885"/>
      <c r="FP20" s="880"/>
      <c r="FQ20" s="880"/>
      <c r="FR20" s="864"/>
      <c r="FS20" s="864"/>
      <c r="FT20" s="864"/>
      <c r="FU20" s="864"/>
      <c r="FV20" s="864"/>
      <c r="FW20" s="864"/>
      <c r="FX20" s="864"/>
      <c r="FY20" s="864"/>
      <c r="FZ20" s="864"/>
      <c r="GA20" s="880"/>
      <c r="GB20" s="880"/>
      <c r="GC20" s="880"/>
      <c r="GD20" s="880"/>
      <c r="GE20" s="880"/>
      <c r="GF20" s="880"/>
      <c r="GG20" s="880"/>
      <c r="GH20" s="864"/>
      <c r="GI20" s="864"/>
      <c r="GJ20" s="864"/>
      <c r="GK20" s="864"/>
      <c r="GL20" s="864"/>
      <c r="GM20" s="864"/>
      <c r="GN20" s="864"/>
      <c r="GO20" s="887"/>
      <c r="GP20" s="855"/>
      <c r="GQ20" s="867"/>
      <c r="GR20" s="864"/>
      <c r="GS20" s="864"/>
      <c r="GT20" s="864"/>
      <c r="GU20" s="864"/>
      <c r="GV20" s="864"/>
      <c r="GW20" s="864"/>
      <c r="GX20" s="864"/>
      <c r="GY20" s="864"/>
      <c r="GZ20" s="864"/>
      <c r="HA20" s="864"/>
      <c r="HB20" s="864"/>
      <c r="HC20" s="864"/>
      <c r="HD20" s="864"/>
      <c r="HE20" s="880"/>
      <c r="HF20" s="885"/>
      <c r="HG20" s="864"/>
      <c r="HH20" s="883"/>
      <c r="HI20" s="880"/>
      <c r="HJ20" s="880"/>
      <c r="HK20" s="883"/>
      <c r="HL20" s="864"/>
      <c r="HM20" s="864"/>
      <c r="HN20" s="864"/>
      <c r="HO20" s="888"/>
      <c r="HP20" s="885"/>
      <c r="HQ20" s="885"/>
      <c r="HR20" s="885"/>
      <c r="HS20" s="885"/>
      <c r="HT20" s="885"/>
      <c r="HU20" s="885"/>
      <c r="HV20" s="885"/>
      <c r="HW20" s="885"/>
      <c r="HX20" s="880"/>
      <c r="HY20" s="880"/>
      <c r="HZ20" s="880"/>
      <c r="IA20" s="880"/>
      <c r="IB20" s="880"/>
      <c r="IC20" s="880"/>
      <c r="ID20" s="880"/>
      <c r="IE20" s="885"/>
      <c r="IF20" s="885"/>
      <c r="IG20" s="889"/>
      <c r="IH20" s="880"/>
      <c r="II20" s="885"/>
      <c r="IJ20" s="890"/>
      <c r="IK20" s="885"/>
      <c r="IL20" s="880"/>
      <c r="IM20" s="880"/>
      <c r="IN20" s="880"/>
      <c r="IO20" s="864"/>
      <c r="IP20" s="864"/>
      <c r="IQ20" s="864"/>
      <c r="IR20" s="896"/>
      <c r="IS20" s="880"/>
      <c r="IT20" s="880"/>
      <c r="IU20" s="880"/>
      <c r="IV20" s="880"/>
      <c r="IW20" s="880"/>
      <c r="IX20" s="883"/>
      <c r="IY20" s="886"/>
      <c r="IZ20" s="880"/>
      <c r="JA20" s="880"/>
      <c r="JB20" s="885"/>
      <c r="JC20" s="880"/>
      <c r="JD20" s="880"/>
      <c r="JE20" s="880"/>
      <c r="JF20" s="880"/>
      <c r="JG20" s="880"/>
      <c r="JH20" s="880"/>
      <c r="JI20" s="880"/>
      <c r="JJ20" s="880"/>
      <c r="JK20" s="880"/>
      <c r="JL20" s="897"/>
      <c r="JM20" s="880"/>
      <c r="JN20" s="880"/>
      <c r="JO20" s="880"/>
      <c r="JP20" s="880"/>
      <c r="JQ20" s="883"/>
      <c r="JR20" s="880"/>
      <c r="JS20" s="880"/>
      <c r="JT20" s="880"/>
      <c r="JU20" s="880"/>
      <c r="JV20" s="880"/>
      <c r="JW20" s="880"/>
      <c r="JX20" s="880"/>
      <c r="JY20" s="880"/>
      <c r="JZ20" s="880"/>
      <c r="KA20" s="880"/>
      <c r="KB20" s="880"/>
      <c r="KC20" s="880"/>
      <c r="KD20" s="880"/>
      <c r="KE20" s="891"/>
      <c r="KF20" s="891"/>
      <c r="KG20" s="891"/>
      <c r="KH20" s="891"/>
      <c r="KI20" s="891"/>
      <c r="KJ20" s="891"/>
      <c r="KK20" s="891"/>
      <c r="KL20" s="880"/>
      <c r="KM20" s="864"/>
      <c r="KN20" s="864"/>
      <c r="KO20" s="864"/>
      <c r="KP20" s="864"/>
      <c r="KQ20" s="864"/>
      <c r="KR20" s="894"/>
      <c r="KS20" s="864"/>
      <c r="KT20" s="880"/>
      <c r="KU20" s="864"/>
      <c r="KV20" s="880"/>
      <c r="KW20" s="880"/>
      <c r="KX20" s="880"/>
      <c r="KY20" s="895"/>
      <c r="KZ20" s="880"/>
      <c r="LA20" s="880"/>
      <c r="LB20" s="880"/>
      <c r="LC20" s="880"/>
      <c r="LD20" s="880"/>
      <c r="LE20" s="880"/>
      <c r="LF20" s="883"/>
      <c r="LG20" s="883"/>
      <c r="LH20" s="883"/>
      <c r="LI20" s="883"/>
      <c r="LJ20" s="883"/>
      <c r="LK20" s="883"/>
      <c r="LL20" s="883"/>
      <c r="LM20" s="883"/>
      <c r="LN20" s="883"/>
      <c r="LO20" s="883"/>
      <c r="LP20" s="883"/>
      <c r="LQ20" s="883"/>
      <c r="LR20" s="883"/>
      <c r="LS20" s="883"/>
      <c r="LT20" s="883"/>
      <c r="LU20" s="883"/>
      <c r="LV20" s="883"/>
      <c r="LW20" s="883"/>
      <c r="LX20" s="883"/>
      <c r="LY20" s="883"/>
    </row>
    <row r="21" spans="1:337" ht="409.5" x14ac:dyDescent="0.25">
      <c r="A21" s="1583" t="s">
        <v>4</v>
      </c>
      <c r="B21" s="1616" t="s">
        <v>163</v>
      </c>
      <c r="C21" s="1594" t="s">
        <v>79</v>
      </c>
      <c r="D21" s="1597" t="s">
        <v>2551</v>
      </c>
      <c r="E21" s="833" t="s">
        <v>48</v>
      </c>
      <c r="F21" s="863"/>
      <c r="G21" s="863"/>
      <c r="H21" s="864"/>
      <c r="I21" s="864"/>
      <c r="J21" s="864"/>
      <c r="K21" s="864"/>
      <c r="L21" s="864"/>
      <c r="M21" s="864"/>
      <c r="N21" s="852" t="s">
        <v>2643</v>
      </c>
      <c r="O21" s="864"/>
      <c r="P21" s="864"/>
      <c r="Q21" s="864"/>
      <c r="R21" s="864"/>
      <c r="S21" s="864"/>
      <c r="T21" s="864"/>
      <c r="U21" s="864"/>
      <c r="V21" s="855" t="s">
        <v>2666</v>
      </c>
      <c r="W21" s="855" t="s">
        <v>2683</v>
      </c>
      <c r="X21" s="856" t="s">
        <v>2696</v>
      </c>
      <c r="Y21" s="855" t="s">
        <v>2707</v>
      </c>
      <c r="Z21" s="855" t="s">
        <v>2717</v>
      </c>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55" t="s">
        <v>5586</v>
      </c>
      <c r="AW21" s="852" t="s">
        <v>2741</v>
      </c>
      <c r="AX21" s="852" t="s">
        <v>5325</v>
      </c>
      <c r="AY21" s="864"/>
      <c r="AZ21" s="864"/>
      <c r="BA21" s="852" t="s">
        <v>5587</v>
      </c>
      <c r="BB21" s="880" t="s">
        <v>2772</v>
      </c>
      <c r="BC21" s="855" t="s">
        <v>2787</v>
      </c>
      <c r="BD21" s="855" t="s">
        <v>2803</v>
      </c>
      <c r="BE21" s="864"/>
      <c r="BF21" s="864"/>
      <c r="BG21" s="864"/>
      <c r="BH21" s="864"/>
      <c r="BI21" s="864"/>
      <c r="BJ21" s="864"/>
      <c r="BK21" s="864"/>
      <c r="BL21" s="864"/>
      <c r="BM21" s="864"/>
      <c r="BN21" s="864"/>
      <c r="BO21" s="864"/>
      <c r="BP21" s="864"/>
      <c r="BQ21" s="864"/>
      <c r="BR21" s="864"/>
      <c r="BS21" s="864"/>
      <c r="BT21" s="855" t="s">
        <v>2816</v>
      </c>
      <c r="BU21" s="898" t="s">
        <v>5588</v>
      </c>
      <c r="BV21" s="855" t="s">
        <v>2839</v>
      </c>
      <c r="BW21" s="855" t="s">
        <v>2852</v>
      </c>
      <c r="BX21" s="864"/>
      <c r="BY21" s="864"/>
      <c r="BZ21" s="864"/>
      <c r="CA21" s="864"/>
      <c r="CB21" s="864"/>
      <c r="CC21" s="857" t="s">
        <v>2866</v>
      </c>
      <c r="CD21" s="864"/>
      <c r="CE21" s="864"/>
      <c r="CF21" s="864"/>
      <c r="CG21" s="864"/>
      <c r="CH21" s="864"/>
      <c r="CI21" s="864"/>
      <c r="CJ21" s="864"/>
      <c r="CK21" s="855" t="s">
        <v>2876</v>
      </c>
      <c r="CL21" s="855" t="s">
        <v>2894</v>
      </c>
      <c r="CM21" s="864"/>
      <c r="CN21" s="864"/>
      <c r="CO21" s="864"/>
      <c r="CP21" s="864"/>
      <c r="CQ21" s="864"/>
      <c r="CR21" s="864"/>
      <c r="CS21" s="864"/>
      <c r="CT21" s="864"/>
      <c r="CU21" s="864"/>
      <c r="CV21" s="864"/>
      <c r="CW21" s="864"/>
      <c r="CX21" s="864"/>
      <c r="CY21" s="864"/>
      <c r="CZ21" s="864"/>
      <c r="DA21" s="864"/>
      <c r="DB21" s="864"/>
      <c r="DC21" s="864"/>
      <c r="DD21" s="864"/>
      <c r="DE21" s="864"/>
      <c r="DF21" s="855" t="s">
        <v>2906</v>
      </c>
      <c r="DG21" s="864"/>
      <c r="DH21" s="855" t="s">
        <v>2923</v>
      </c>
      <c r="DI21" s="899" t="s">
        <v>2937</v>
      </c>
      <c r="DJ21" s="855" t="s">
        <v>2945</v>
      </c>
      <c r="DK21" s="855" t="s">
        <v>2953</v>
      </c>
      <c r="DL21" s="900" t="s">
        <v>2960</v>
      </c>
      <c r="DM21" s="901" t="s">
        <v>2972</v>
      </c>
      <c r="DN21" s="864"/>
      <c r="DO21" s="864"/>
      <c r="DP21" s="855" t="s">
        <v>2983</v>
      </c>
      <c r="DQ21" s="864"/>
      <c r="DR21" s="864"/>
      <c r="DS21" s="864"/>
      <c r="DT21" s="864"/>
      <c r="DU21" s="864"/>
      <c r="DV21" s="864"/>
      <c r="DW21" s="864"/>
      <c r="DX21" s="864"/>
      <c r="DY21" s="864"/>
      <c r="DZ21" s="864"/>
      <c r="EA21" s="864"/>
      <c r="EB21" s="864"/>
      <c r="EC21" s="864"/>
      <c r="ED21" s="864"/>
      <c r="EE21" s="864"/>
      <c r="EF21" s="855" t="s">
        <v>2990</v>
      </c>
      <c r="EG21" s="855" t="s">
        <v>3002</v>
      </c>
      <c r="EH21" s="855" t="s">
        <v>3021</v>
      </c>
      <c r="EI21" s="855" t="s">
        <v>3040</v>
      </c>
      <c r="EJ21" s="858" t="s">
        <v>3056</v>
      </c>
      <c r="EK21" s="858" t="s">
        <v>3071</v>
      </c>
      <c r="EL21" s="858" t="s">
        <v>3083</v>
      </c>
      <c r="EM21" s="902" t="s">
        <v>3093</v>
      </c>
      <c r="EN21" s="858" t="s">
        <v>3110</v>
      </c>
      <c r="EO21" s="858" t="s">
        <v>3124</v>
      </c>
      <c r="EP21" s="853" t="s">
        <v>3132</v>
      </c>
      <c r="EQ21" s="858" t="s">
        <v>3142</v>
      </c>
      <c r="ER21" s="858" t="s">
        <v>3158</v>
      </c>
      <c r="ES21" s="858" t="s">
        <v>3172</v>
      </c>
      <c r="ET21" s="853" t="s">
        <v>3184</v>
      </c>
      <c r="EU21" s="864"/>
      <c r="EV21" s="864"/>
      <c r="EW21" s="855" t="s">
        <v>3203</v>
      </c>
      <c r="EX21" s="864"/>
      <c r="EY21" s="864"/>
      <c r="EZ21" s="864"/>
      <c r="FA21" s="864"/>
      <c r="FB21" s="864"/>
      <c r="FC21" s="864"/>
      <c r="FD21" s="864"/>
      <c r="FE21" s="855" t="s">
        <v>3218</v>
      </c>
      <c r="FF21" s="864"/>
      <c r="FG21" s="864"/>
      <c r="FH21" s="864"/>
      <c r="FI21" s="864"/>
      <c r="FJ21" s="864"/>
      <c r="FK21" s="852" t="s">
        <v>3226</v>
      </c>
      <c r="FL21" s="852" t="s">
        <v>3247</v>
      </c>
      <c r="FM21" s="855" t="s">
        <v>3267</v>
      </c>
      <c r="FN21" s="855" t="s">
        <v>3288</v>
      </c>
      <c r="FO21" s="855" t="s">
        <v>3293</v>
      </c>
      <c r="FP21" s="855" t="s">
        <v>3305</v>
      </c>
      <c r="FQ21" s="855" t="s">
        <v>3317</v>
      </c>
      <c r="FR21" s="864"/>
      <c r="FS21" s="864"/>
      <c r="FT21" s="864"/>
      <c r="FU21" s="864"/>
      <c r="FV21" s="864"/>
      <c r="FW21" s="864"/>
      <c r="FX21" s="864"/>
      <c r="FY21" s="864"/>
      <c r="FZ21" s="864"/>
      <c r="GA21" s="855" t="s">
        <v>3332</v>
      </c>
      <c r="GB21" s="855" t="s">
        <v>3346</v>
      </c>
      <c r="GC21" s="855" t="s">
        <v>3356</v>
      </c>
      <c r="GD21" s="855" t="s">
        <v>3375</v>
      </c>
      <c r="GE21" s="855" t="s">
        <v>3392</v>
      </c>
      <c r="GF21" s="855"/>
      <c r="GG21" s="855" t="s">
        <v>3408</v>
      </c>
      <c r="GH21" s="864"/>
      <c r="GI21" s="864"/>
      <c r="GJ21" s="864"/>
      <c r="GK21" s="864"/>
      <c r="GL21" s="864"/>
      <c r="GM21" s="864"/>
      <c r="GN21" s="864"/>
      <c r="GO21" s="859" t="s">
        <v>3425</v>
      </c>
      <c r="GP21" s="856" t="s">
        <v>3439</v>
      </c>
      <c r="GQ21" s="860" t="s">
        <v>3453</v>
      </c>
      <c r="GR21" s="864"/>
      <c r="GS21" s="864"/>
      <c r="GT21" s="864"/>
      <c r="GU21" s="864"/>
      <c r="GV21" s="864"/>
      <c r="GW21" s="864"/>
      <c r="GX21" s="864"/>
      <c r="GY21" s="864"/>
      <c r="GZ21" s="864"/>
      <c r="HA21" s="864"/>
      <c r="HB21" s="864"/>
      <c r="HC21" s="864"/>
      <c r="HD21" s="864"/>
      <c r="HE21" s="855" t="s">
        <v>3464</v>
      </c>
      <c r="HF21" s="852" t="s">
        <v>3484</v>
      </c>
      <c r="HG21" s="864"/>
      <c r="HH21" s="853" t="s">
        <v>3493</v>
      </c>
      <c r="HI21" s="855" t="s">
        <v>3510</v>
      </c>
      <c r="HJ21" s="855" t="s">
        <v>3527</v>
      </c>
      <c r="HK21" s="858" t="s">
        <v>3543</v>
      </c>
      <c r="HL21" s="864"/>
      <c r="HM21" s="864"/>
      <c r="HN21" s="864"/>
      <c r="HO21" s="861" t="s">
        <v>3551</v>
      </c>
      <c r="HP21" s="852" t="s">
        <v>3562</v>
      </c>
      <c r="HQ21" s="852" t="s">
        <v>3575</v>
      </c>
      <c r="HR21" s="862" t="s">
        <v>3583</v>
      </c>
      <c r="HS21" s="852" t="s">
        <v>3593</v>
      </c>
      <c r="HT21" s="852" t="s">
        <v>3600</v>
      </c>
      <c r="HU21" s="852" t="s">
        <v>3604</v>
      </c>
      <c r="HV21" s="903" t="s">
        <v>3609</v>
      </c>
      <c r="HW21" s="852" t="s">
        <v>3619</v>
      </c>
      <c r="HX21" s="855" t="s">
        <v>3626</v>
      </c>
      <c r="HY21" s="855" t="s">
        <v>3637</v>
      </c>
      <c r="HZ21" s="855" t="s">
        <v>3645</v>
      </c>
      <c r="IA21" s="855" t="s">
        <v>3657</v>
      </c>
      <c r="IB21" s="855" t="s">
        <v>3667</v>
      </c>
      <c r="IC21" s="855" t="s">
        <v>3680</v>
      </c>
      <c r="ID21" s="855" t="s">
        <v>3692</v>
      </c>
      <c r="IE21" s="852" t="s">
        <v>3704</v>
      </c>
      <c r="IF21" s="852" t="s">
        <v>3715</v>
      </c>
      <c r="IG21" s="862" t="s">
        <v>3722</v>
      </c>
      <c r="IH21" s="852" t="s">
        <v>3732</v>
      </c>
      <c r="II21" s="852" t="s">
        <v>3744</v>
      </c>
      <c r="IJ21" s="857" t="s">
        <v>3759</v>
      </c>
      <c r="IK21" s="852" t="s">
        <v>3767</v>
      </c>
      <c r="IL21" s="855" t="s">
        <v>3772</v>
      </c>
      <c r="IM21" s="855" t="s">
        <v>3789</v>
      </c>
      <c r="IN21" s="855" t="s">
        <v>3802</v>
      </c>
      <c r="IO21" s="864"/>
      <c r="IP21" s="864"/>
      <c r="IQ21" s="864"/>
      <c r="IR21" s="862" t="s">
        <v>3811</v>
      </c>
      <c r="IS21" s="855" t="s">
        <v>3827</v>
      </c>
      <c r="IT21" s="904" t="s">
        <v>3843</v>
      </c>
      <c r="IU21" s="869" t="s">
        <v>3866</v>
      </c>
      <c r="IV21" s="855" t="s">
        <v>3885</v>
      </c>
      <c r="IW21" s="855" t="s">
        <v>3909</v>
      </c>
      <c r="IX21" s="865" t="s">
        <v>3923</v>
      </c>
      <c r="IY21" s="905" t="s">
        <v>3942</v>
      </c>
      <c r="IZ21" s="855" t="s">
        <v>3953</v>
      </c>
      <c r="JA21" s="855" t="s">
        <v>3966</v>
      </c>
      <c r="JB21" s="852" t="s">
        <v>3981</v>
      </c>
      <c r="JC21" s="855" t="s">
        <v>3996</v>
      </c>
      <c r="JD21" s="855" t="s">
        <v>4008</v>
      </c>
      <c r="JE21" s="855" t="s">
        <v>4024</v>
      </c>
      <c r="JF21" s="855" t="s">
        <v>4047</v>
      </c>
      <c r="JG21" s="855" t="s">
        <v>4064</v>
      </c>
      <c r="JH21" s="855" t="s">
        <v>4080</v>
      </c>
      <c r="JI21" s="855" t="s">
        <v>4094</v>
      </c>
      <c r="JJ21" s="855" t="s">
        <v>4118</v>
      </c>
      <c r="JK21" s="855" t="s">
        <v>4132</v>
      </c>
      <c r="JL21" s="855" t="s">
        <v>4142</v>
      </c>
      <c r="JM21" s="855" t="s">
        <v>4150</v>
      </c>
      <c r="JN21" s="855" t="s">
        <v>4160</v>
      </c>
      <c r="JO21" s="855" t="s">
        <v>4165</v>
      </c>
      <c r="JP21" s="855" t="s">
        <v>4169</v>
      </c>
      <c r="JQ21" s="858" t="s">
        <v>4177</v>
      </c>
      <c r="JR21" s="869" t="s">
        <v>4186</v>
      </c>
      <c r="JS21" s="869" t="s">
        <v>4193</v>
      </c>
      <c r="JT21" s="869" t="s">
        <v>4202</v>
      </c>
      <c r="JU21" s="869" t="s">
        <v>4216</v>
      </c>
      <c r="JV21" s="906" t="s">
        <v>4223</v>
      </c>
      <c r="JW21" s="852" t="s">
        <v>4230</v>
      </c>
      <c r="JX21" s="855" t="s">
        <v>4244</v>
      </c>
      <c r="JY21" s="855" t="s">
        <v>4255</v>
      </c>
      <c r="JZ21" s="855" t="s">
        <v>4264</v>
      </c>
      <c r="KA21" s="869" t="s">
        <v>4271</v>
      </c>
      <c r="KB21" s="855" t="s">
        <v>4283</v>
      </c>
      <c r="KC21" s="855" t="s">
        <v>4290</v>
      </c>
      <c r="KD21" s="855" t="s">
        <v>4299</v>
      </c>
      <c r="KE21" s="862" t="s">
        <v>4311</v>
      </c>
      <c r="KF21" s="862" t="s">
        <v>4319</v>
      </c>
      <c r="KG21" s="862" t="s">
        <v>4328</v>
      </c>
      <c r="KH21" s="862" t="s">
        <v>4335</v>
      </c>
      <c r="KI21" s="862" t="s">
        <v>4342</v>
      </c>
      <c r="KJ21" s="862" t="s">
        <v>4348</v>
      </c>
      <c r="KK21" s="862" t="s">
        <v>4356</v>
      </c>
      <c r="KL21" s="855" t="s">
        <v>4364</v>
      </c>
      <c r="KM21" s="864"/>
      <c r="KN21" s="864"/>
      <c r="KO21" s="864"/>
      <c r="KP21" s="864"/>
      <c r="KQ21" s="864"/>
      <c r="KR21" s="852" t="s">
        <v>4380</v>
      </c>
      <c r="KS21" s="907"/>
      <c r="KT21" s="908" t="s">
        <v>4392</v>
      </c>
      <c r="KU21" s="864"/>
      <c r="KV21" s="855" t="s">
        <v>4410</v>
      </c>
      <c r="KW21" s="855" t="s">
        <v>4432</v>
      </c>
      <c r="KX21" s="852" t="s">
        <v>4456</v>
      </c>
      <c r="KY21" s="858" t="s">
        <v>4477</v>
      </c>
      <c r="KZ21" s="855" t="s">
        <v>4496</v>
      </c>
      <c r="LA21" s="855" t="s">
        <v>4520</v>
      </c>
      <c r="LB21" s="855" t="s">
        <v>4541</v>
      </c>
      <c r="LC21" s="855" t="s">
        <v>4541</v>
      </c>
      <c r="LD21" s="855" t="s">
        <v>4558</v>
      </c>
      <c r="LE21" s="855" t="s">
        <v>4565</v>
      </c>
      <c r="LF21" s="858" t="s">
        <v>4573</v>
      </c>
      <c r="LG21" s="858" t="s">
        <v>4596</v>
      </c>
      <c r="LH21" s="858" t="s">
        <v>4609</v>
      </c>
      <c r="LI21" s="858" t="s">
        <v>4621</v>
      </c>
      <c r="LJ21" s="858" t="s">
        <v>4629</v>
      </c>
      <c r="LK21" s="858" t="s">
        <v>4641</v>
      </c>
      <c r="LL21" s="858" t="s">
        <v>4651</v>
      </c>
      <c r="LM21" s="858" t="s">
        <v>4659</v>
      </c>
      <c r="LN21" s="858" t="s">
        <v>4669</v>
      </c>
      <c r="LO21" s="858" t="s">
        <v>4681</v>
      </c>
      <c r="LP21" s="865" t="s">
        <v>4691</v>
      </c>
      <c r="LQ21" s="853" t="s">
        <v>4712</v>
      </c>
      <c r="LR21" s="858" t="s">
        <v>4731</v>
      </c>
      <c r="LS21" s="858" t="s">
        <v>4747</v>
      </c>
      <c r="LT21" s="858" t="s">
        <v>4759</v>
      </c>
      <c r="LU21" s="858" t="s">
        <v>4767</v>
      </c>
      <c r="LV21" s="909" t="s">
        <v>4782</v>
      </c>
      <c r="LW21" s="858" t="s">
        <v>4795</v>
      </c>
      <c r="LX21" s="858" t="s">
        <v>4806</v>
      </c>
      <c r="LY21" s="858" t="s">
        <v>4814</v>
      </c>
    </row>
    <row r="22" spans="1:337" ht="409.6" thickBot="1" x14ac:dyDescent="0.3">
      <c r="A22" s="1585"/>
      <c r="B22" s="1618"/>
      <c r="C22" s="1603"/>
      <c r="D22" s="1599"/>
      <c r="E22" s="836" t="s">
        <v>50</v>
      </c>
      <c r="F22" s="863"/>
      <c r="G22" s="863"/>
      <c r="H22" s="864"/>
      <c r="I22" s="864"/>
      <c r="J22" s="864"/>
      <c r="K22" s="864"/>
      <c r="L22" s="864"/>
      <c r="M22" s="864"/>
      <c r="N22" s="852" t="s">
        <v>2644</v>
      </c>
      <c r="O22" s="864"/>
      <c r="P22" s="864"/>
      <c r="Q22" s="864"/>
      <c r="R22" s="864"/>
      <c r="S22" s="864"/>
      <c r="T22" s="864"/>
      <c r="U22" s="864"/>
      <c r="V22" s="907" t="s">
        <v>2667</v>
      </c>
      <c r="W22" s="907" t="s">
        <v>2684</v>
      </c>
      <c r="X22" s="910" t="s">
        <v>2697</v>
      </c>
      <c r="Y22" s="911" t="s">
        <v>2708</v>
      </c>
      <c r="Z22" s="855" t="s">
        <v>2718</v>
      </c>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55" t="s">
        <v>2729</v>
      </c>
      <c r="AW22" s="852" t="s">
        <v>2742</v>
      </c>
      <c r="AX22" s="852" t="s">
        <v>5326</v>
      </c>
      <c r="AY22" s="864"/>
      <c r="AZ22" s="864"/>
      <c r="BA22" s="852" t="s">
        <v>5589</v>
      </c>
      <c r="BB22" s="907" t="s">
        <v>2773</v>
      </c>
      <c r="BC22" s="907" t="s">
        <v>2788</v>
      </c>
      <c r="BD22" s="911" t="s">
        <v>2804</v>
      </c>
      <c r="BE22" s="864"/>
      <c r="BF22" s="864"/>
      <c r="BG22" s="864"/>
      <c r="BH22" s="864"/>
      <c r="BI22" s="864"/>
      <c r="BJ22" s="864"/>
      <c r="BK22" s="864"/>
      <c r="BL22" s="864"/>
      <c r="BM22" s="864"/>
      <c r="BN22" s="864"/>
      <c r="BO22" s="864"/>
      <c r="BP22" s="864"/>
      <c r="BQ22" s="864"/>
      <c r="BR22" s="864"/>
      <c r="BS22" s="864"/>
      <c r="BT22" s="855" t="s">
        <v>2817</v>
      </c>
      <c r="BU22" s="898" t="s">
        <v>2831</v>
      </c>
      <c r="BV22" s="855" t="s">
        <v>2840</v>
      </c>
      <c r="BW22" s="855" t="s">
        <v>2853</v>
      </c>
      <c r="BX22" s="864"/>
      <c r="BY22" s="864"/>
      <c r="BZ22" s="864"/>
      <c r="CA22" s="864"/>
      <c r="CB22" s="864"/>
      <c r="CC22" s="912" t="s">
        <v>2867</v>
      </c>
      <c r="CD22" s="864"/>
      <c r="CE22" s="864"/>
      <c r="CF22" s="864"/>
      <c r="CG22" s="864"/>
      <c r="CH22" s="864"/>
      <c r="CI22" s="864"/>
      <c r="CJ22" s="864"/>
      <c r="CK22" s="855" t="s">
        <v>2877</v>
      </c>
      <c r="CL22" s="855" t="s">
        <v>2895</v>
      </c>
      <c r="CM22" s="864"/>
      <c r="CN22" s="864"/>
      <c r="CO22" s="864"/>
      <c r="CP22" s="864"/>
      <c r="CQ22" s="864"/>
      <c r="CR22" s="864"/>
      <c r="CS22" s="864"/>
      <c r="CT22" s="864"/>
      <c r="CU22" s="864"/>
      <c r="CV22" s="864"/>
      <c r="CW22" s="864"/>
      <c r="CX22" s="864"/>
      <c r="CY22" s="864"/>
      <c r="CZ22" s="864"/>
      <c r="DA22" s="864"/>
      <c r="DB22" s="864"/>
      <c r="DC22" s="864"/>
      <c r="DD22" s="864"/>
      <c r="DE22" s="864"/>
      <c r="DF22" s="907" t="s">
        <v>2907</v>
      </c>
      <c r="DG22" s="864"/>
      <c r="DH22" s="855"/>
      <c r="DI22" s="913" t="s">
        <v>2938</v>
      </c>
      <c r="DJ22" s="911" t="s">
        <v>2946</v>
      </c>
      <c r="DK22" s="855" t="s">
        <v>504</v>
      </c>
      <c r="DL22" s="911" t="s">
        <v>2961</v>
      </c>
      <c r="DM22" s="907" t="s">
        <v>2973</v>
      </c>
      <c r="DN22" s="864"/>
      <c r="DO22" s="864"/>
      <c r="DP22" s="914" t="s">
        <v>2984</v>
      </c>
      <c r="DQ22" s="864"/>
      <c r="DR22" s="864"/>
      <c r="DS22" s="864"/>
      <c r="DT22" s="864"/>
      <c r="DU22" s="864"/>
      <c r="DV22" s="864"/>
      <c r="DW22" s="864"/>
      <c r="DX22" s="864"/>
      <c r="DY22" s="864"/>
      <c r="DZ22" s="864"/>
      <c r="EA22" s="864"/>
      <c r="EB22" s="864"/>
      <c r="EC22" s="864"/>
      <c r="ED22" s="864"/>
      <c r="EE22" s="864"/>
      <c r="EF22" s="855" t="s">
        <v>2991</v>
      </c>
      <c r="EG22" s="855" t="s">
        <v>3003</v>
      </c>
      <c r="EH22" s="915" t="s">
        <v>3022</v>
      </c>
      <c r="EI22" s="855" t="s">
        <v>3041</v>
      </c>
      <c r="EJ22" s="916" t="s">
        <v>3057</v>
      </c>
      <c r="EK22" s="916" t="s">
        <v>3072</v>
      </c>
      <c r="EL22" s="917" t="s">
        <v>3084</v>
      </c>
      <c r="EM22" s="853" t="s">
        <v>3094</v>
      </c>
      <c r="EN22" s="916" t="s">
        <v>3111</v>
      </c>
      <c r="EO22" s="916" t="s">
        <v>3125</v>
      </c>
      <c r="EP22" s="858"/>
      <c r="EQ22" s="918" t="s">
        <v>3143</v>
      </c>
      <c r="ER22" s="919" t="s">
        <v>3159</v>
      </c>
      <c r="ES22" s="858" t="s">
        <v>3173</v>
      </c>
      <c r="ET22" s="918" t="s">
        <v>3185</v>
      </c>
      <c r="EU22" s="864"/>
      <c r="EV22" s="864"/>
      <c r="EW22" s="855" t="s">
        <v>3204</v>
      </c>
      <c r="EX22" s="864"/>
      <c r="EY22" s="864"/>
      <c r="EZ22" s="864"/>
      <c r="FA22" s="864"/>
      <c r="FB22" s="864"/>
      <c r="FC22" s="864"/>
      <c r="FD22" s="864"/>
      <c r="FE22" s="855"/>
      <c r="FF22" s="864"/>
      <c r="FG22" s="864"/>
      <c r="FH22" s="864"/>
      <c r="FI22" s="864"/>
      <c r="FJ22" s="864"/>
      <c r="FK22" s="911" t="s">
        <v>3227</v>
      </c>
      <c r="FL22" s="914" t="s">
        <v>3248</v>
      </c>
      <c r="FM22" s="920" t="s">
        <v>3268</v>
      </c>
      <c r="FN22" s="855"/>
      <c r="FO22" s="907" t="s">
        <v>3294</v>
      </c>
      <c r="FP22" s="855" t="s">
        <v>3306</v>
      </c>
      <c r="FQ22" s="907" t="s">
        <v>3318</v>
      </c>
      <c r="FR22" s="864"/>
      <c r="FS22" s="864"/>
      <c r="FT22" s="864"/>
      <c r="FU22" s="864"/>
      <c r="FV22" s="864"/>
      <c r="FW22" s="864"/>
      <c r="FX22" s="864"/>
      <c r="FY22" s="864"/>
      <c r="FZ22" s="864"/>
      <c r="GA22" s="910" t="s">
        <v>3333</v>
      </c>
      <c r="GB22" s="855" t="s">
        <v>3347</v>
      </c>
      <c r="GC22" s="855" t="s">
        <v>3357</v>
      </c>
      <c r="GD22" s="910" t="s">
        <v>3376</v>
      </c>
      <c r="GE22" s="855"/>
      <c r="GF22" s="855"/>
      <c r="GG22" s="910" t="s">
        <v>3409</v>
      </c>
      <c r="GH22" s="864"/>
      <c r="GI22" s="864"/>
      <c r="GJ22" s="864"/>
      <c r="GK22" s="864"/>
      <c r="GL22" s="864"/>
      <c r="GM22" s="864"/>
      <c r="GN22" s="864"/>
      <c r="GO22" s="921" t="s">
        <v>3426</v>
      </c>
      <c r="GP22" s="922" t="s">
        <v>3440</v>
      </c>
      <c r="GQ22" s="860" t="s">
        <v>3454</v>
      </c>
      <c r="GR22" s="864"/>
      <c r="GS22" s="864"/>
      <c r="GT22" s="864"/>
      <c r="GU22" s="864"/>
      <c r="GV22" s="864"/>
      <c r="GW22" s="864"/>
      <c r="GX22" s="864"/>
      <c r="GY22" s="864"/>
      <c r="GZ22" s="864"/>
      <c r="HA22" s="864"/>
      <c r="HB22" s="864"/>
      <c r="HC22" s="864"/>
      <c r="HD22" s="864"/>
      <c r="HE22" s="855" t="s">
        <v>3465</v>
      </c>
      <c r="HF22" s="907" t="s">
        <v>3485</v>
      </c>
      <c r="HG22" s="864"/>
      <c r="HH22" s="916" t="s">
        <v>3494</v>
      </c>
      <c r="HI22" s="911" t="s">
        <v>3511</v>
      </c>
      <c r="HJ22" s="915" t="s">
        <v>3530</v>
      </c>
      <c r="HK22" s="923" t="s">
        <v>3543</v>
      </c>
      <c r="HL22" s="864"/>
      <c r="HM22" s="864"/>
      <c r="HN22" s="864"/>
      <c r="HO22" s="924" t="s">
        <v>3552</v>
      </c>
      <c r="HP22" s="910" t="s">
        <v>3563</v>
      </c>
      <c r="HQ22" s="911"/>
      <c r="HR22" s="911" t="s">
        <v>3584</v>
      </c>
      <c r="HS22" s="911" t="s">
        <v>3594</v>
      </c>
      <c r="HT22" s="911" t="s">
        <v>3601</v>
      </c>
      <c r="HU22" s="911" t="s">
        <v>3605</v>
      </c>
      <c r="HV22" s="925" t="s">
        <v>3610</v>
      </c>
      <c r="HW22" s="911" t="s">
        <v>3620</v>
      </c>
      <c r="HX22" s="911" t="s">
        <v>3627</v>
      </c>
      <c r="HY22" s="907" t="s">
        <v>3638</v>
      </c>
      <c r="HZ22" s="907" t="s">
        <v>3646</v>
      </c>
      <c r="IA22" s="910" t="s">
        <v>3658</v>
      </c>
      <c r="IB22" s="911" t="s">
        <v>3668</v>
      </c>
      <c r="IC22" s="907" t="s">
        <v>3681</v>
      </c>
      <c r="ID22" s="926" t="s">
        <v>3693</v>
      </c>
      <c r="IE22" s="852" t="s">
        <v>3705</v>
      </c>
      <c r="IF22" s="911" t="s">
        <v>3716</v>
      </c>
      <c r="IG22" s="927" t="s">
        <v>3723</v>
      </c>
      <c r="IH22" s="928" t="s">
        <v>3733</v>
      </c>
      <c r="II22" s="907" t="s">
        <v>3745</v>
      </c>
      <c r="IJ22" s="929" t="s">
        <v>3760</v>
      </c>
      <c r="IK22" s="911" t="s">
        <v>3768</v>
      </c>
      <c r="IL22" s="910" t="s">
        <v>3773</v>
      </c>
      <c r="IM22" s="907" t="s">
        <v>3790</v>
      </c>
      <c r="IN22" s="855" t="s">
        <v>3803</v>
      </c>
      <c r="IO22" s="864"/>
      <c r="IP22" s="864"/>
      <c r="IQ22" s="864"/>
      <c r="IR22" s="930" t="s">
        <v>3812</v>
      </c>
      <c r="IS22" s="907" t="s">
        <v>3828</v>
      </c>
      <c r="IT22" s="911" t="s">
        <v>3844</v>
      </c>
      <c r="IU22" s="907" t="s">
        <v>3867</v>
      </c>
      <c r="IV22" s="907" t="s">
        <v>3886</v>
      </c>
      <c r="IW22" s="911" t="s">
        <v>3910</v>
      </c>
      <c r="IX22" s="931" t="s">
        <v>3924</v>
      </c>
      <c r="IY22" s="907" t="s">
        <v>3943</v>
      </c>
      <c r="IZ22" s="907" t="s">
        <v>3954</v>
      </c>
      <c r="JA22" s="907" t="s">
        <v>3967</v>
      </c>
      <c r="JB22" s="907" t="s">
        <v>3982</v>
      </c>
      <c r="JC22" s="910" t="s">
        <v>3997</v>
      </c>
      <c r="JD22" s="855" t="s">
        <v>4009</v>
      </c>
      <c r="JE22" s="907" t="s">
        <v>4025</v>
      </c>
      <c r="JF22" s="855" t="s">
        <v>4048</v>
      </c>
      <c r="JG22" s="907" t="s">
        <v>4065</v>
      </c>
      <c r="JH22" s="907" t="s">
        <v>4081</v>
      </c>
      <c r="JI22" s="907" t="s">
        <v>4095</v>
      </c>
      <c r="JJ22" s="907" t="s">
        <v>4119</v>
      </c>
      <c r="JK22" s="907" t="s">
        <v>4133</v>
      </c>
      <c r="JL22" s="855"/>
      <c r="JM22" s="907" t="s">
        <v>4151</v>
      </c>
      <c r="JN22" s="855"/>
      <c r="JO22" s="855"/>
      <c r="JP22" s="907" t="s">
        <v>4170</v>
      </c>
      <c r="JQ22" s="858" t="s">
        <v>4178</v>
      </c>
      <c r="JR22" s="910" t="s">
        <v>4187</v>
      </c>
      <c r="JS22" s="910" t="s">
        <v>4194</v>
      </c>
      <c r="JT22" s="910" t="s">
        <v>4203</v>
      </c>
      <c r="JU22" s="910" t="s">
        <v>4217</v>
      </c>
      <c r="JV22" s="910" t="s">
        <v>4224</v>
      </c>
      <c r="JW22" s="910" t="s">
        <v>4231</v>
      </c>
      <c r="JX22" s="910" t="s">
        <v>4245</v>
      </c>
      <c r="JY22" s="910" t="s">
        <v>4256</v>
      </c>
      <c r="JZ22" s="910" t="s">
        <v>4265</v>
      </c>
      <c r="KA22" s="910" t="s">
        <v>4272</v>
      </c>
      <c r="KB22" s="910" t="s">
        <v>4284</v>
      </c>
      <c r="KC22" s="907" t="s">
        <v>4291</v>
      </c>
      <c r="KD22" s="907" t="s">
        <v>4300</v>
      </c>
      <c r="KE22" s="862" t="s">
        <v>504</v>
      </c>
      <c r="KF22" s="930" t="s">
        <v>4320</v>
      </c>
      <c r="KG22" s="930" t="s">
        <v>4329</v>
      </c>
      <c r="KH22" s="930" t="s">
        <v>4336</v>
      </c>
      <c r="KI22" s="930" t="s">
        <v>4343</v>
      </c>
      <c r="KJ22" s="930" t="s">
        <v>4349</v>
      </c>
      <c r="KK22" s="862"/>
      <c r="KL22" s="907" t="s">
        <v>4365</v>
      </c>
      <c r="KM22" s="864"/>
      <c r="KN22" s="864"/>
      <c r="KO22" s="864"/>
      <c r="KP22" s="864"/>
      <c r="KQ22" s="864"/>
      <c r="KR22" s="932" t="s">
        <v>4381</v>
      </c>
      <c r="KS22" s="864"/>
      <c r="KT22" s="933" t="s">
        <v>4393</v>
      </c>
      <c r="KU22" s="864"/>
      <c r="KV22" s="932" t="s">
        <v>4411</v>
      </c>
      <c r="KW22" s="855" t="s">
        <v>4433</v>
      </c>
      <c r="KX22" s="910" t="s">
        <v>4457</v>
      </c>
      <c r="KY22" s="934" t="s">
        <v>4478</v>
      </c>
      <c r="KZ22" s="935" t="s">
        <v>5590</v>
      </c>
      <c r="LA22" s="855" t="s">
        <v>4521</v>
      </c>
      <c r="LB22" s="936" t="s">
        <v>4542</v>
      </c>
      <c r="LC22" s="936" t="s">
        <v>4542</v>
      </c>
      <c r="LD22" s="855" t="s">
        <v>4559</v>
      </c>
      <c r="LE22" s="855" t="s">
        <v>4566</v>
      </c>
      <c r="LF22" s="937" t="s">
        <v>4574</v>
      </c>
      <c r="LG22" s="938" t="s">
        <v>4597</v>
      </c>
      <c r="LH22" s="938" t="s">
        <v>4610</v>
      </c>
      <c r="LI22" s="938" t="s">
        <v>4622</v>
      </c>
      <c r="LJ22" s="939" t="s">
        <v>4630</v>
      </c>
      <c r="LK22" s="938" t="s">
        <v>4642</v>
      </c>
      <c r="LL22" s="938" t="s">
        <v>4652</v>
      </c>
      <c r="LM22" s="938" t="s">
        <v>4660</v>
      </c>
      <c r="LN22" s="923" t="s">
        <v>4670</v>
      </c>
      <c r="LO22" s="923" t="s">
        <v>4682</v>
      </c>
      <c r="LP22" s="938" t="s">
        <v>4692</v>
      </c>
      <c r="LQ22" s="938" t="s">
        <v>4713</v>
      </c>
      <c r="LR22" s="923" t="s">
        <v>4732</v>
      </c>
      <c r="LS22" s="923" t="s">
        <v>4748</v>
      </c>
      <c r="LT22" s="923" t="s">
        <v>4760</v>
      </c>
      <c r="LU22" s="923" t="s">
        <v>4768</v>
      </c>
      <c r="LV22" s="940" t="s">
        <v>4783</v>
      </c>
      <c r="LW22" s="923" t="s">
        <v>4796</v>
      </c>
      <c r="LX22" s="923" t="s">
        <v>4807</v>
      </c>
      <c r="LY22" s="923" t="s">
        <v>4815</v>
      </c>
    </row>
    <row r="23" spans="1:337" ht="390.6" customHeight="1" thickBot="1" x14ac:dyDescent="0.3">
      <c r="A23" s="325" t="s">
        <v>9</v>
      </c>
      <c r="B23" s="341" t="s">
        <v>10</v>
      </c>
      <c r="C23" s="327" t="s">
        <v>81</v>
      </c>
      <c r="D23" s="340" t="s">
        <v>5327</v>
      </c>
      <c r="E23" s="834" t="s">
        <v>48</v>
      </c>
      <c r="F23" s="863"/>
      <c r="G23" s="863"/>
      <c r="H23" s="864"/>
      <c r="I23" s="864"/>
      <c r="J23" s="864"/>
      <c r="K23" s="864"/>
      <c r="L23" s="864"/>
      <c r="M23" s="864"/>
      <c r="N23" s="852" t="s">
        <v>2645</v>
      </c>
      <c r="O23" s="864"/>
      <c r="P23" s="864"/>
      <c r="Q23" s="864"/>
      <c r="R23" s="864"/>
      <c r="S23" s="864"/>
      <c r="T23" s="864"/>
      <c r="U23" s="864"/>
      <c r="V23" s="855" t="s">
        <v>2668</v>
      </c>
      <c r="W23" s="855" t="s">
        <v>2685</v>
      </c>
      <c r="X23" s="856" t="s">
        <v>2698</v>
      </c>
      <c r="Y23" s="855" t="s">
        <v>2709</v>
      </c>
      <c r="Z23" s="855" t="s">
        <v>2719</v>
      </c>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55" t="s">
        <v>2730</v>
      </c>
      <c r="AW23" s="855" t="s">
        <v>2743</v>
      </c>
      <c r="AX23" s="852" t="s">
        <v>5328</v>
      </c>
      <c r="AY23" s="864"/>
      <c r="AZ23" s="864"/>
      <c r="BA23" s="852" t="s">
        <v>2757</v>
      </c>
      <c r="BB23" s="855" t="s">
        <v>2774</v>
      </c>
      <c r="BC23" s="855" t="s">
        <v>2789</v>
      </c>
      <c r="BD23" s="855" t="s">
        <v>2805</v>
      </c>
      <c r="BE23" s="864"/>
      <c r="BF23" s="864"/>
      <c r="BG23" s="864"/>
      <c r="BH23" s="864"/>
      <c r="BI23" s="864"/>
      <c r="BJ23" s="864"/>
      <c r="BK23" s="864"/>
      <c r="BL23" s="864"/>
      <c r="BM23" s="864"/>
      <c r="BN23" s="864"/>
      <c r="BO23" s="864"/>
      <c r="BP23" s="864"/>
      <c r="BQ23" s="864"/>
      <c r="BR23" s="864"/>
      <c r="BS23" s="864"/>
      <c r="BT23" s="855" t="s">
        <v>2818</v>
      </c>
      <c r="BU23" s="852" t="s">
        <v>2832</v>
      </c>
      <c r="BV23" s="855" t="s">
        <v>2841</v>
      </c>
      <c r="BW23" s="855" t="s">
        <v>2854</v>
      </c>
      <c r="BX23" s="864"/>
      <c r="BY23" s="864"/>
      <c r="BZ23" s="864"/>
      <c r="CA23" s="864"/>
      <c r="CB23" s="864"/>
      <c r="CC23" s="862"/>
      <c r="CD23" s="864"/>
      <c r="CE23" s="864"/>
      <c r="CF23" s="864"/>
      <c r="CG23" s="864"/>
      <c r="CH23" s="864"/>
      <c r="CI23" s="864"/>
      <c r="CJ23" s="864"/>
      <c r="CK23" s="855" t="s">
        <v>2878</v>
      </c>
      <c r="CL23" s="855" t="s">
        <v>2878</v>
      </c>
      <c r="CM23" s="864"/>
      <c r="CN23" s="864"/>
      <c r="CO23" s="864"/>
      <c r="CP23" s="864"/>
      <c r="CQ23" s="864"/>
      <c r="CR23" s="864"/>
      <c r="CS23" s="864"/>
      <c r="CT23" s="864"/>
      <c r="CU23" s="864"/>
      <c r="CV23" s="864"/>
      <c r="CW23" s="864"/>
      <c r="CX23" s="864"/>
      <c r="CY23" s="864"/>
      <c r="CZ23" s="864"/>
      <c r="DA23" s="864"/>
      <c r="DB23" s="864"/>
      <c r="DC23" s="864"/>
      <c r="DD23" s="864"/>
      <c r="DE23" s="864"/>
      <c r="DF23" s="855" t="s">
        <v>2908</v>
      </c>
      <c r="DG23" s="864"/>
      <c r="DH23" s="855" t="s">
        <v>2924</v>
      </c>
      <c r="DI23" s="855" t="s">
        <v>2939</v>
      </c>
      <c r="DJ23" s="855" t="s">
        <v>2947</v>
      </c>
      <c r="DK23" s="855" t="s">
        <v>2954</v>
      </c>
      <c r="DL23" s="855" t="s">
        <v>2962</v>
      </c>
      <c r="DM23" s="855" t="s">
        <v>2974</v>
      </c>
      <c r="DN23" s="864"/>
      <c r="DO23" s="864"/>
      <c r="DP23" s="855" t="s">
        <v>2981</v>
      </c>
      <c r="DQ23" s="864"/>
      <c r="DR23" s="864"/>
      <c r="DS23" s="864"/>
      <c r="DT23" s="864"/>
      <c r="DU23" s="864"/>
      <c r="DV23" s="864"/>
      <c r="DW23" s="864"/>
      <c r="DX23" s="864"/>
      <c r="DY23" s="864"/>
      <c r="DZ23" s="864"/>
      <c r="EA23" s="864"/>
      <c r="EB23" s="864"/>
      <c r="EC23" s="864"/>
      <c r="ED23" s="864"/>
      <c r="EE23" s="864"/>
      <c r="EF23" s="855" t="s">
        <v>2992</v>
      </c>
      <c r="EG23" s="855" t="s">
        <v>3004</v>
      </c>
      <c r="EH23" s="855" t="s">
        <v>3023</v>
      </c>
      <c r="EI23" s="855" t="s">
        <v>3042</v>
      </c>
      <c r="EJ23" s="858" t="s">
        <v>3058</v>
      </c>
      <c r="EK23" s="858" t="s">
        <v>3073</v>
      </c>
      <c r="EL23" s="858" t="s">
        <v>3085</v>
      </c>
      <c r="EM23" s="853" t="s">
        <v>3095</v>
      </c>
      <c r="EN23" s="858" t="s">
        <v>3112</v>
      </c>
      <c r="EO23" s="858" t="s">
        <v>3126</v>
      </c>
      <c r="EP23" s="853" t="s">
        <v>3133</v>
      </c>
      <c r="EQ23" s="858" t="s">
        <v>3144</v>
      </c>
      <c r="ER23" s="858" t="s">
        <v>3160</v>
      </c>
      <c r="ES23" s="858" t="s">
        <v>3174</v>
      </c>
      <c r="ET23" s="853" t="s">
        <v>3186</v>
      </c>
      <c r="EU23" s="864"/>
      <c r="EV23" s="864"/>
      <c r="EW23" s="855" t="s">
        <v>3205</v>
      </c>
      <c r="EX23" s="864"/>
      <c r="EY23" s="864"/>
      <c r="EZ23" s="864"/>
      <c r="FA23" s="864"/>
      <c r="FB23" s="864"/>
      <c r="FC23" s="864"/>
      <c r="FD23" s="864"/>
      <c r="FE23" s="855" t="s">
        <v>3219</v>
      </c>
      <c r="FF23" s="864"/>
      <c r="FG23" s="864"/>
      <c r="FH23" s="864"/>
      <c r="FI23" s="864"/>
      <c r="FJ23" s="864"/>
      <c r="FK23" s="852" t="s">
        <v>3228</v>
      </c>
      <c r="FL23" s="852" t="s">
        <v>3249</v>
      </c>
      <c r="FM23" s="855" t="s">
        <v>3269</v>
      </c>
      <c r="FN23" s="855" t="s">
        <v>3289</v>
      </c>
      <c r="FO23" s="855" t="s">
        <v>3295</v>
      </c>
      <c r="FP23" s="855" t="s">
        <v>3307</v>
      </c>
      <c r="FQ23" s="855" t="s">
        <v>3319</v>
      </c>
      <c r="FR23" s="864"/>
      <c r="FS23" s="864"/>
      <c r="FT23" s="864"/>
      <c r="FU23" s="864"/>
      <c r="FV23" s="864"/>
      <c r="FW23" s="864"/>
      <c r="FX23" s="864"/>
      <c r="FY23" s="864"/>
      <c r="FZ23" s="864"/>
      <c r="GA23" s="855" t="s">
        <v>3334</v>
      </c>
      <c r="GB23" s="855" t="s">
        <v>3348</v>
      </c>
      <c r="GC23" s="855" t="s">
        <v>3358</v>
      </c>
      <c r="GD23" s="855" t="s">
        <v>3377</v>
      </c>
      <c r="GE23" s="855" t="s">
        <v>3393</v>
      </c>
      <c r="GF23" s="855" t="s">
        <v>3402</v>
      </c>
      <c r="GG23" s="855" t="s">
        <v>3410</v>
      </c>
      <c r="GH23" s="864"/>
      <c r="GI23" s="864"/>
      <c r="GJ23" s="864"/>
      <c r="GK23" s="864"/>
      <c r="GL23" s="864"/>
      <c r="GM23" s="864"/>
      <c r="GN23" s="864"/>
      <c r="GO23" s="859" t="s">
        <v>3427</v>
      </c>
      <c r="GP23" s="866" t="s">
        <v>3441</v>
      </c>
      <c r="GQ23" s="860" t="s">
        <v>3455</v>
      </c>
      <c r="GR23" s="864"/>
      <c r="GS23" s="864"/>
      <c r="GT23" s="864"/>
      <c r="GU23" s="864"/>
      <c r="GV23" s="864"/>
      <c r="GW23" s="864"/>
      <c r="GX23" s="864"/>
      <c r="GY23" s="864"/>
      <c r="GZ23" s="864"/>
      <c r="HA23" s="864"/>
      <c r="HB23" s="864"/>
      <c r="HC23" s="864"/>
      <c r="HD23" s="864"/>
      <c r="HE23" s="855" t="s">
        <v>3466</v>
      </c>
      <c r="HF23" s="852" t="s">
        <v>3486</v>
      </c>
      <c r="HG23" s="864"/>
      <c r="HH23" s="853" t="s">
        <v>3495</v>
      </c>
      <c r="HI23" s="852" t="s">
        <v>3512</v>
      </c>
      <c r="HJ23" s="855" t="s">
        <v>3531</v>
      </c>
      <c r="HK23" s="858" t="s">
        <v>3544</v>
      </c>
      <c r="HL23" s="864"/>
      <c r="HM23" s="864"/>
      <c r="HN23" s="864"/>
      <c r="HO23" s="861" t="s">
        <v>3553</v>
      </c>
      <c r="HP23" s="852" t="s">
        <v>3564</v>
      </c>
      <c r="HQ23" s="852" t="s">
        <v>3576</v>
      </c>
      <c r="HR23" s="852" t="s">
        <v>3585</v>
      </c>
      <c r="HS23" s="852" t="s">
        <v>3595</v>
      </c>
      <c r="HT23" s="852" t="s">
        <v>3595</v>
      </c>
      <c r="HU23" s="852" t="s">
        <v>3606</v>
      </c>
      <c r="HV23" s="863" t="s">
        <v>3611</v>
      </c>
      <c r="HW23" s="852" t="s">
        <v>3621</v>
      </c>
      <c r="HX23" s="855" t="s">
        <v>3628</v>
      </c>
      <c r="HY23" s="855" t="s">
        <v>3639</v>
      </c>
      <c r="HZ23" s="855" t="s">
        <v>3647</v>
      </c>
      <c r="IA23" s="855" t="s">
        <v>3659</v>
      </c>
      <c r="IB23" s="855" t="s">
        <v>3669</v>
      </c>
      <c r="IC23" s="855" t="s">
        <v>3682</v>
      </c>
      <c r="ID23" s="855" t="s">
        <v>3694</v>
      </c>
      <c r="IE23" s="852" t="s">
        <v>3706</v>
      </c>
      <c r="IF23" s="852" t="s">
        <v>3717</v>
      </c>
      <c r="IG23" s="862" t="s">
        <v>3724</v>
      </c>
      <c r="IH23" s="852" t="s">
        <v>3734</v>
      </c>
      <c r="II23" s="852" t="s">
        <v>3746</v>
      </c>
      <c r="IJ23" s="857" t="s">
        <v>3746</v>
      </c>
      <c r="IK23" s="852" t="s">
        <v>3769</v>
      </c>
      <c r="IL23" s="855" t="s">
        <v>3774</v>
      </c>
      <c r="IM23" s="855" t="s">
        <v>3791</v>
      </c>
      <c r="IN23" s="855" t="s">
        <v>3804</v>
      </c>
      <c r="IO23" s="864"/>
      <c r="IP23" s="864"/>
      <c r="IQ23" s="864"/>
      <c r="IR23" s="862" t="s">
        <v>3813</v>
      </c>
      <c r="IS23" s="852" t="s">
        <v>3829</v>
      </c>
      <c r="IT23" s="855" t="s">
        <v>3845</v>
      </c>
      <c r="IU23" s="855" t="s">
        <v>3868</v>
      </c>
      <c r="IV23" s="855" t="s">
        <v>3887</v>
      </c>
      <c r="IW23" s="855" t="s">
        <v>3911</v>
      </c>
      <c r="IX23" s="909" t="s">
        <v>3925</v>
      </c>
      <c r="IY23" s="855" t="s">
        <v>3944</v>
      </c>
      <c r="IZ23" s="855" t="s">
        <v>3955</v>
      </c>
      <c r="JA23" s="855" t="s">
        <v>3968</v>
      </c>
      <c r="JB23" s="852" t="s">
        <v>3983</v>
      </c>
      <c r="JC23" s="855" t="s">
        <v>3998</v>
      </c>
      <c r="JD23" s="855" t="s">
        <v>4010</v>
      </c>
      <c r="JE23" s="855" t="s">
        <v>4026</v>
      </c>
      <c r="JF23" s="855" t="s">
        <v>4049</v>
      </c>
      <c r="JG23" s="855" t="s">
        <v>4066</v>
      </c>
      <c r="JH23" s="855" t="s">
        <v>4082</v>
      </c>
      <c r="JI23" s="855" t="s">
        <v>4096</v>
      </c>
      <c r="JJ23" s="855" t="s">
        <v>4120</v>
      </c>
      <c r="JK23" s="855" t="s">
        <v>4134</v>
      </c>
      <c r="JL23" s="855" t="s">
        <v>4143</v>
      </c>
      <c r="JM23" s="855" t="s">
        <v>4152</v>
      </c>
      <c r="JN23" s="855" t="s">
        <v>4161</v>
      </c>
      <c r="JO23" s="855" t="s">
        <v>4166</v>
      </c>
      <c r="JP23" s="855" t="s">
        <v>4171</v>
      </c>
      <c r="JQ23" s="858" t="s">
        <v>4179</v>
      </c>
      <c r="JR23" s="855" t="s">
        <v>4188</v>
      </c>
      <c r="JS23" s="855" t="s">
        <v>4195</v>
      </c>
      <c r="JT23" s="855" t="s">
        <v>4204</v>
      </c>
      <c r="JU23" s="855" t="s">
        <v>4218</v>
      </c>
      <c r="JV23" s="855" t="s">
        <v>4225</v>
      </c>
      <c r="JW23" s="852" t="s">
        <v>4232</v>
      </c>
      <c r="JX23" s="855" t="s">
        <v>4246</v>
      </c>
      <c r="JY23" s="855" t="s">
        <v>4257</v>
      </c>
      <c r="JZ23" s="855" t="s">
        <v>4266</v>
      </c>
      <c r="KA23" s="855" t="s">
        <v>4273</v>
      </c>
      <c r="KB23" s="855" t="s">
        <v>4285</v>
      </c>
      <c r="KC23" s="853" t="s">
        <v>4292</v>
      </c>
      <c r="KD23" s="853" t="s">
        <v>4301</v>
      </c>
      <c r="KE23" s="862" t="s">
        <v>4312</v>
      </c>
      <c r="KF23" s="862" t="s">
        <v>4321</v>
      </c>
      <c r="KG23" s="862" t="s">
        <v>4330</v>
      </c>
      <c r="KH23" s="862" t="s">
        <v>4337</v>
      </c>
      <c r="KI23" s="862" t="s">
        <v>4344</v>
      </c>
      <c r="KJ23" s="862" t="s">
        <v>4344</v>
      </c>
      <c r="KK23" s="862" t="s">
        <v>4357</v>
      </c>
      <c r="KL23" s="855" t="s">
        <v>4366</v>
      </c>
      <c r="KM23" s="864"/>
      <c r="KN23" s="864"/>
      <c r="KO23" s="864"/>
      <c r="KP23" s="864"/>
      <c r="KQ23" s="864"/>
      <c r="KR23" s="852" t="s">
        <v>4382</v>
      </c>
      <c r="KS23" s="864"/>
      <c r="KT23" s="855" t="s">
        <v>4394</v>
      </c>
      <c r="KU23" s="864"/>
      <c r="KV23" s="855" t="s">
        <v>4412</v>
      </c>
      <c r="KW23" s="855" t="s">
        <v>4434</v>
      </c>
      <c r="KX23" s="855" t="s">
        <v>4458</v>
      </c>
      <c r="KY23" s="858" t="s">
        <v>4479</v>
      </c>
      <c r="KZ23" s="855" t="s">
        <v>4497</v>
      </c>
      <c r="LA23" s="855" t="s">
        <v>4522</v>
      </c>
      <c r="LB23" s="855" t="s">
        <v>4543</v>
      </c>
      <c r="LC23" s="855" t="s">
        <v>4543</v>
      </c>
      <c r="LD23" s="855" t="s">
        <v>4560</v>
      </c>
      <c r="LE23" s="855" t="s">
        <v>4567</v>
      </c>
      <c r="LF23" s="858" t="s">
        <v>4575</v>
      </c>
      <c r="LG23" s="858" t="s">
        <v>4598</v>
      </c>
      <c r="LH23" s="858" t="s">
        <v>4611</v>
      </c>
      <c r="LI23" s="858" t="s">
        <v>4623</v>
      </c>
      <c r="LJ23" s="858" t="s">
        <v>4631</v>
      </c>
      <c r="LK23" s="858" t="s">
        <v>4643</v>
      </c>
      <c r="LL23" s="858" t="s">
        <v>4653</v>
      </c>
      <c r="LM23" s="858" t="s">
        <v>4661</v>
      </c>
      <c r="LN23" s="858" t="s">
        <v>4671</v>
      </c>
      <c r="LO23" s="858" t="s">
        <v>4683</v>
      </c>
      <c r="LP23" s="858" t="s">
        <v>4693</v>
      </c>
      <c r="LQ23" s="853" t="s">
        <v>4714</v>
      </c>
      <c r="LR23" s="853" t="s">
        <v>4733</v>
      </c>
      <c r="LS23" s="853" t="s">
        <v>4749</v>
      </c>
      <c r="LT23" s="853" t="s">
        <v>4761</v>
      </c>
      <c r="LU23" s="853" t="s">
        <v>4769</v>
      </c>
      <c r="LV23" s="909" t="s">
        <v>4784</v>
      </c>
      <c r="LW23" s="853" t="s">
        <v>4797</v>
      </c>
      <c r="LX23" s="853" t="s">
        <v>4808</v>
      </c>
      <c r="LY23" s="853" t="s">
        <v>4816</v>
      </c>
    </row>
    <row r="24" spans="1:337" ht="409.5" x14ac:dyDescent="0.25">
      <c r="A24" s="1583" t="s">
        <v>11</v>
      </c>
      <c r="B24" s="1586" t="s">
        <v>164</v>
      </c>
      <c r="C24" s="331" t="s">
        <v>80</v>
      </c>
      <c r="D24" s="332" t="s">
        <v>5329</v>
      </c>
      <c r="E24" s="833" t="s">
        <v>48</v>
      </c>
      <c r="F24" s="863"/>
      <c r="G24" s="863"/>
      <c r="H24" s="864"/>
      <c r="I24" s="864"/>
      <c r="J24" s="864"/>
      <c r="K24" s="864"/>
      <c r="L24" s="864"/>
      <c r="M24" s="864"/>
      <c r="N24" s="852" t="s">
        <v>2646</v>
      </c>
      <c r="O24" s="864"/>
      <c r="P24" s="864"/>
      <c r="Q24" s="864"/>
      <c r="R24" s="864"/>
      <c r="S24" s="864"/>
      <c r="T24" s="864"/>
      <c r="U24" s="864"/>
      <c r="V24" s="855" t="s">
        <v>2669</v>
      </c>
      <c r="W24" s="855" t="s">
        <v>2686</v>
      </c>
      <c r="X24" s="856" t="s">
        <v>2699</v>
      </c>
      <c r="Y24" s="855" t="s">
        <v>2710</v>
      </c>
      <c r="Z24" s="855" t="s">
        <v>2720</v>
      </c>
      <c r="AA24" s="864"/>
      <c r="AB24" s="864"/>
      <c r="AC24" s="864"/>
      <c r="AD24" s="864"/>
      <c r="AE24" s="864"/>
      <c r="AF24" s="864"/>
      <c r="AG24" s="864"/>
      <c r="AH24" s="864"/>
      <c r="AI24" s="864"/>
      <c r="AJ24" s="864"/>
      <c r="AK24" s="864"/>
      <c r="AL24" s="864"/>
      <c r="AM24" s="864"/>
      <c r="AN24" s="864"/>
      <c r="AO24" s="864"/>
      <c r="AP24" s="864"/>
      <c r="AQ24" s="864"/>
      <c r="AR24" s="864"/>
      <c r="AS24" s="864"/>
      <c r="AT24" s="864"/>
      <c r="AU24" s="864"/>
      <c r="AV24" s="855" t="s">
        <v>2730</v>
      </c>
      <c r="AW24" s="855" t="s">
        <v>2744</v>
      </c>
      <c r="AX24" s="852" t="s">
        <v>5330</v>
      </c>
      <c r="AY24" s="864"/>
      <c r="AZ24" s="864"/>
      <c r="BA24" s="852" t="s">
        <v>2757</v>
      </c>
      <c r="BB24" s="855" t="s">
        <v>2774</v>
      </c>
      <c r="BC24" s="855" t="s">
        <v>2789</v>
      </c>
      <c r="BD24" s="855" t="s">
        <v>2805</v>
      </c>
      <c r="BE24" s="864"/>
      <c r="BF24" s="864"/>
      <c r="BG24" s="864"/>
      <c r="BH24" s="864"/>
      <c r="BI24" s="864"/>
      <c r="BJ24" s="864"/>
      <c r="BK24" s="864"/>
      <c r="BL24" s="864"/>
      <c r="BM24" s="864"/>
      <c r="BN24" s="864"/>
      <c r="BO24" s="864"/>
      <c r="BP24" s="864"/>
      <c r="BQ24" s="864"/>
      <c r="BR24" s="864"/>
      <c r="BS24" s="864"/>
      <c r="BT24" s="855" t="s">
        <v>2818</v>
      </c>
      <c r="BU24" s="852" t="s">
        <v>2832</v>
      </c>
      <c r="BV24" s="855" t="s">
        <v>2841</v>
      </c>
      <c r="BW24" s="855" t="s">
        <v>2855</v>
      </c>
      <c r="BX24" s="864"/>
      <c r="BY24" s="864"/>
      <c r="BZ24" s="864"/>
      <c r="CA24" s="864"/>
      <c r="CB24" s="864"/>
      <c r="CC24" s="857" t="s">
        <v>2868</v>
      </c>
      <c r="CD24" s="864"/>
      <c r="CE24" s="864"/>
      <c r="CF24" s="864"/>
      <c r="CG24" s="864"/>
      <c r="CH24" s="864"/>
      <c r="CI24" s="864"/>
      <c r="CJ24" s="864"/>
      <c r="CK24" s="941" t="s">
        <v>2879</v>
      </c>
      <c r="CL24" s="855" t="s">
        <v>2896</v>
      </c>
      <c r="CM24" s="864"/>
      <c r="CN24" s="864"/>
      <c r="CO24" s="864"/>
      <c r="CP24" s="864"/>
      <c r="CQ24" s="864"/>
      <c r="CR24" s="864"/>
      <c r="CS24" s="864"/>
      <c r="CT24" s="864"/>
      <c r="CU24" s="864"/>
      <c r="CV24" s="864"/>
      <c r="CW24" s="864"/>
      <c r="CX24" s="864"/>
      <c r="CY24" s="864"/>
      <c r="CZ24" s="864"/>
      <c r="DA24" s="864"/>
      <c r="DB24" s="864"/>
      <c r="DC24" s="864"/>
      <c r="DD24" s="864"/>
      <c r="DE24" s="864"/>
      <c r="DF24" s="855" t="s">
        <v>2908</v>
      </c>
      <c r="DG24" s="864"/>
      <c r="DH24" s="855" t="s">
        <v>2924</v>
      </c>
      <c r="DI24" s="855" t="s">
        <v>2939</v>
      </c>
      <c r="DJ24" s="855" t="s">
        <v>2947</v>
      </c>
      <c r="DK24" s="855" t="s">
        <v>2955</v>
      </c>
      <c r="DL24" s="855" t="s">
        <v>2963</v>
      </c>
      <c r="DM24" s="855" t="s">
        <v>2974</v>
      </c>
      <c r="DN24" s="864"/>
      <c r="DO24" s="864"/>
      <c r="DP24" s="855" t="s">
        <v>2981</v>
      </c>
      <c r="DQ24" s="864"/>
      <c r="DR24" s="864"/>
      <c r="DS24" s="864"/>
      <c r="DT24" s="864"/>
      <c r="DU24" s="864"/>
      <c r="DV24" s="864"/>
      <c r="DW24" s="864"/>
      <c r="DX24" s="864"/>
      <c r="DY24" s="864"/>
      <c r="DZ24" s="864"/>
      <c r="EA24" s="864"/>
      <c r="EB24" s="864"/>
      <c r="EC24" s="864"/>
      <c r="ED24" s="864"/>
      <c r="EE24" s="864"/>
      <c r="EF24" s="855" t="s">
        <v>2993</v>
      </c>
      <c r="EG24" s="855" t="s">
        <v>3005</v>
      </c>
      <c r="EH24" s="855" t="s">
        <v>3024</v>
      </c>
      <c r="EI24" s="855" t="s">
        <v>3043</v>
      </c>
      <c r="EJ24" s="858" t="s">
        <v>3059</v>
      </c>
      <c r="EK24" s="858" t="s">
        <v>3074</v>
      </c>
      <c r="EL24" s="858" t="s">
        <v>3085</v>
      </c>
      <c r="EM24" s="853" t="s">
        <v>3095</v>
      </c>
      <c r="EN24" s="858" t="s">
        <v>3113</v>
      </c>
      <c r="EO24" s="858" t="s">
        <v>3126</v>
      </c>
      <c r="EP24" s="853" t="s">
        <v>3134</v>
      </c>
      <c r="EQ24" s="858" t="s">
        <v>3144</v>
      </c>
      <c r="ER24" s="858" t="s">
        <v>3160</v>
      </c>
      <c r="ES24" s="858" t="s">
        <v>3175</v>
      </c>
      <c r="ET24" s="853" t="s">
        <v>3186</v>
      </c>
      <c r="EU24" s="864"/>
      <c r="EV24" s="864"/>
      <c r="EW24" s="855" t="s">
        <v>3206</v>
      </c>
      <c r="EX24" s="864"/>
      <c r="EY24" s="864"/>
      <c r="EZ24" s="864"/>
      <c r="FA24" s="864"/>
      <c r="FB24" s="864"/>
      <c r="FC24" s="864"/>
      <c r="FD24" s="864"/>
      <c r="FE24" s="855"/>
      <c r="FF24" s="864"/>
      <c r="FG24" s="864"/>
      <c r="FH24" s="864"/>
      <c r="FI24" s="864"/>
      <c r="FJ24" s="864"/>
      <c r="FK24" s="852" t="s">
        <v>3228</v>
      </c>
      <c r="FL24" s="852" t="s">
        <v>3250</v>
      </c>
      <c r="FM24" s="855" t="s">
        <v>3270</v>
      </c>
      <c r="FN24" s="855" t="s">
        <v>3289</v>
      </c>
      <c r="FO24" s="855" t="s">
        <v>3295</v>
      </c>
      <c r="FP24" s="855" t="s">
        <v>3307</v>
      </c>
      <c r="FQ24" s="855" t="s">
        <v>3320</v>
      </c>
      <c r="FR24" s="864"/>
      <c r="FS24" s="864"/>
      <c r="FT24" s="864"/>
      <c r="FU24" s="864"/>
      <c r="FV24" s="864"/>
      <c r="FW24" s="864"/>
      <c r="FX24" s="864"/>
      <c r="FY24" s="864"/>
      <c r="FZ24" s="864"/>
      <c r="GA24" s="855" t="s">
        <v>3335</v>
      </c>
      <c r="GB24" s="855" t="s">
        <v>3348</v>
      </c>
      <c r="GC24" s="855" t="s">
        <v>3359</v>
      </c>
      <c r="GD24" s="855" t="s">
        <v>3378</v>
      </c>
      <c r="GE24" s="855" t="s">
        <v>3393</v>
      </c>
      <c r="GF24" s="855" t="s">
        <v>3402</v>
      </c>
      <c r="GG24" s="855" t="s">
        <v>3411</v>
      </c>
      <c r="GH24" s="864"/>
      <c r="GI24" s="864"/>
      <c r="GJ24" s="864"/>
      <c r="GK24" s="864"/>
      <c r="GL24" s="864"/>
      <c r="GM24" s="864"/>
      <c r="GN24" s="864"/>
      <c r="GO24" s="859" t="s">
        <v>3428</v>
      </c>
      <c r="GP24" s="866" t="s">
        <v>3442</v>
      </c>
      <c r="GQ24" s="860" t="s">
        <v>3455</v>
      </c>
      <c r="GR24" s="864"/>
      <c r="GS24" s="864"/>
      <c r="GT24" s="864"/>
      <c r="GU24" s="864"/>
      <c r="GV24" s="864"/>
      <c r="GW24" s="864"/>
      <c r="GX24" s="864"/>
      <c r="GY24" s="864"/>
      <c r="GZ24" s="864"/>
      <c r="HA24" s="864"/>
      <c r="HB24" s="864"/>
      <c r="HC24" s="864"/>
      <c r="HD24" s="864"/>
      <c r="HE24" s="855" t="s">
        <v>3467</v>
      </c>
      <c r="HF24" s="852" t="s">
        <v>3486</v>
      </c>
      <c r="HG24" s="864"/>
      <c r="HH24" s="853" t="s">
        <v>3495</v>
      </c>
      <c r="HI24" s="852" t="s">
        <v>3513</v>
      </c>
      <c r="HJ24" s="855" t="s">
        <v>3532</v>
      </c>
      <c r="HK24" s="858" t="s">
        <v>3544</v>
      </c>
      <c r="HL24" s="864"/>
      <c r="HM24" s="864"/>
      <c r="HN24" s="864"/>
      <c r="HO24" s="861" t="s">
        <v>3553</v>
      </c>
      <c r="HP24" s="852" t="s">
        <v>3564</v>
      </c>
      <c r="HQ24" s="852" t="s">
        <v>3576</v>
      </c>
      <c r="HR24" s="852" t="s">
        <v>3585</v>
      </c>
      <c r="HS24" s="852" t="s">
        <v>3596</v>
      </c>
      <c r="HT24" s="852" t="s">
        <v>3595</v>
      </c>
      <c r="HU24" s="852" t="s">
        <v>3606</v>
      </c>
      <c r="HV24" s="863" t="s">
        <v>3611</v>
      </c>
      <c r="HW24" s="852" t="s">
        <v>3621</v>
      </c>
      <c r="HX24" s="855" t="s">
        <v>3628</v>
      </c>
      <c r="HY24" s="855" t="s">
        <v>3639</v>
      </c>
      <c r="HZ24" s="855" t="s">
        <v>3647</v>
      </c>
      <c r="IA24" s="855" t="s">
        <v>3659</v>
      </c>
      <c r="IB24" s="855" t="s">
        <v>3670</v>
      </c>
      <c r="IC24" s="855" t="s">
        <v>3683</v>
      </c>
      <c r="ID24" s="855" t="s">
        <v>3695</v>
      </c>
      <c r="IE24" s="852" t="s">
        <v>3706</v>
      </c>
      <c r="IF24" s="852" t="s">
        <v>3717</v>
      </c>
      <c r="IG24" s="862" t="s">
        <v>3724</v>
      </c>
      <c r="IH24" s="852" t="s">
        <v>3734</v>
      </c>
      <c r="II24" s="855" t="s">
        <v>3747</v>
      </c>
      <c r="IJ24" s="862" t="s">
        <v>3761</v>
      </c>
      <c r="IK24" s="852" t="s">
        <v>3769</v>
      </c>
      <c r="IL24" s="855" t="s">
        <v>3775</v>
      </c>
      <c r="IM24" s="855" t="s">
        <v>3791</v>
      </c>
      <c r="IN24" s="855" t="s">
        <v>3804</v>
      </c>
      <c r="IO24" s="864"/>
      <c r="IP24" s="864"/>
      <c r="IQ24" s="864"/>
      <c r="IR24" s="862" t="s">
        <v>3814</v>
      </c>
      <c r="IS24" s="853" t="s">
        <v>3830</v>
      </c>
      <c r="IT24" s="855" t="s">
        <v>3846</v>
      </c>
      <c r="IU24" s="855" t="s">
        <v>3869</v>
      </c>
      <c r="IV24" s="855" t="s">
        <v>3888</v>
      </c>
      <c r="IW24" s="855" t="s">
        <v>3912</v>
      </c>
      <c r="IX24" s="909" t="s">
        <v>3926</v>
      </c>
      <c r="IY24" s="855" t="s">
        <v>3944</v>
      </c>
      <c r="IZ24" s="855" t="s">
        <v>3956</v>
      </c>
      <c r="JA24" s="855" t="s">
        <v>3969</v>
      </c>
      <c r="JB24" s="852" t="s">
        <v>3984</v>
      </c>
      <c r="JC24" s="855" t="s">
        <v>3999</v>
      </c>
      <c r="JD24" s="855" t="s">
        <v>4011</v>
      </c>
      <c r="JE24" s="855" t="s">
        <v>4027</v>
      </c>
      <c r="JF24" s="855" t="s">
        <v>4050</v>
      </c>
      <c r="JG24" s="855" t="s">
        <v>4067</v>
      </c>
      <c r="JH24" s="855" t="s">
        <v>4083</v>
      </c>
      <c r="JI24" s="899" t="s">
        <v>4097</v>
      </c>
      <c r="JJ24" s="852" t="s">
        <v>4121</v>
      </c>
      <c r="JK24" s="855" t="s">
        <v>4134</v>
      </c>
      <c r="JL24" s="855" t="str">
        <f>JL23</f>
        <v>Администрация городского поселения Таежный</v>
      </c>
      <c r="JM24" s="855" t="s">
        <v>4152</v>
      </c>
      <c r="JN24" s="855" t="s">
        <v>4162</v>
      </c>
      <c r="JO24" s="855" t="s">
        <v>4166</v>
      </c>
      <c r="JP24" s="855" t="s">
        <v>4172</v>
      </c>
      <c r="JQ24" s="858" t="s">
        <v>4179</v>
      </c>
      <c r="JR24" s="855" t="s">
        <v>4188</v>
      </c>
      <c r="JS24" s="855" t="s">
        <v>4195</v>
      </c>
      <c r="JT24" s="855" t="s">
        <v>4204</v>
      </c>
      <c r="JU24" s="855" t="s">
        <v>4218</v>
      </c>
      <c r="JV24" s="855" t="s">
        <v>4225</v>
      </c>
      <c r="JW24" s="852" t="s">
        <v>4232</v>
      </c>
      <c r="JX24" s="855" t="s">
        <v>4246</v>
      </c>
      <c r="JY24" s="855" t="s">
        <v>4257</v>
      </c>
      <c r="JZ24" s="855" t="s">
        <v>4266</v>
      </c>
      <c r="KA24" s="855" t="s">
        <v>4273</v>
      </c>
      <c r="KB24" s="855" t="s">
        <v>4285</v>
      </c>
      <c r="KC24" s="853" t="s">
        <v>4292</v>
      </c>
      <c r="KD24" s="853" t="s">
        <v>4302</v>
      </c>
      <c r="KE24" s="862" t="s">
        <v>4312</v>
      </c>
      <c r="KF24" s="942" t="s">
        <v>4321</v>
      </c>
      <c r="KG24" s="862" t="s">
        <v>4330</v>
      </c>
      <c r="KH24" s="862" t="s">
        <v>4337</v>
      </c>
      <c r="KI24" s="862" t="s">
        <v>4344</v>
      </c>
      <c r="KJ24" s="862" t="s">
        <v>4344</v>
      </c>
      <c r="KK24" s="862" t="s">
        <v>4358</v>
      </c>
      <c r="KL24" s="855" t="s">
        <v>4367</v>
      </c>
      <c r="KM24" s="864"/>
      <c r="KN24" s="864"/>
      <c r="KO24" s="864"/>
      <c r="KP24" s="864"/>
      <c r="KQ24" s="864"/>
      <c r="KR24" s="852" t="s">
        <v>4383</v>
      </c>
      <c r="KS24" s="864"/>
      <c r="KT24" s="855" t="s">
        <v>4394</v>
      </c>
      <c r="KU24" s="864"/>
      <c r="KV24" s="855" t="s">
        <v>4413</v>
      </c>
      <c r="KW24" s="855" t="s">
        <v>4435</v>
      </c>
      <c r="KX24" s="855" t="s">
        <v>4459</v>
      </c>
      <c r="KY24" s="858" t="s">
        <v>4480</v>
      </c>
      <c r="KZ24" s="855" t="s">
        <v>4498</v>
      </c>
      <c r="LA24" s="855" t="s">
        <v>4523</v>
      </c>
      <c r="LB24" s="855" t="s">
        <v>4544</v>
      </c>
      <c r="LC24" s="855" t="s">
        <v>4544</v>
      </c>
      <c r="LD24" s="855" t="s">
        <v>4560</v>
      </c>
      <c r="LE24" s="855" t="s">
        <v>4567</v>
      </c>
      <c r="LF24" s="858" t="s">
        <v>4576</v>
      </c>
      <c r="LG24" s="858" t="s">
        <v>4598</v>
      </c>
      <c r="LH24" s="858" t="s">
        <v>4611</v>
      </c>
      <c r="LI24" s="858" t="s">
        <v>4623</v>
      </c>
      <c r="LJ24" s="858" t="s">
        <v>4631</v>
      </c>
      <c r="LK24" s="858" t="s">
        <v>4643</v>
      </c>
      <c r="LL24" s="858" t="s">
        <v>4653</v>
      </c>
      <c r="LM24" s="858" t="s">
        <v>4661</v>
      </c>
      <c r="LN24" s="858" t="s">
        <v>4672</v>
      </c>
      <c r="LO24" s="858"/>
      <c r="LP24" s="858" t="s">
        <v>4694</v>
      </c>
      <c r="LQ24" s="858" t="s">
        <v>4715</v>
      </c>
      <c r="LR24" s="858" t="s">
        <v>4734</v>
      </c>
      <c r="LS24" s="853" t="s">
        <v>4749</v>
      </c>
      <c r="LT24" s="853" t="s">
        <v>4761</v>
      </c>
      <c r="LU24" s="853" t="s">
        <v>4769</v>
      </c>
      <c r="LV24" s="853" t="s">
        <v>4784</v>
      </c>
      <c r="LW24" s="853" t="s">
        <v>4797</v>
      </c>
      <c r="LX24" s="853" t="s">
        <v>4808</v>
      </c>
      <c r="LY24" s="853" t="s">
        <v>4816</v>
      </c>
    </row>
    <row r="25" spans="1:337" ht="138" customHeight="1" x14ac:dyDescent="0.25">
      <c r="A25" s="1584"/>
      <c r="B25" s="1587"/>
      <c r="C25" s="346" t="s">
        <v>82</v>
      </c>
      <c r="D25" s="347" t="s">
        <v>12</v>
      </c>
      <c r="E25" s="837" t="s">
        <v>48</v>
      </c>
      <c r="F25" s="863"/>
      <c r="G25" s="863"/>
      <c r="H25" s="864"/>
      <c r="I25" s="864"/>
      <c r="J25" s="864"/>
      <c r="K25" s="864"/>
      <c r="L25" s="864"/>
      <c r="M25" s="864"/>
      <c r="N25" s="852" t="s">
        <v>2647</v>
      </c>
      <c r="O25" s="864"/>
      <c r="P25" s="864"/>
      <c r="Q25" s="864"/>
      <c r="R25" s="864"/>
      <c r="S25" s="864"/>
      <c r="T25" s="864"/>
      <c r="U25" s="864"/>
      <c r="V25" s="855" t="s">
        <v>622</v>
      </c>
      <c r="W25" s="855" t="s">
        <v>622</v>
      </c>
      <c r="X25" s="856" t="s">
        <v>622</v>
      </c>
      <c r="Y25" s="855" t="s">
        <v>622</v>
      </c>
      <c r="Z25" s="855" t="s">
        <v>767</v>
      </c>
      <c r="AA25" s="864"/>
      <c r="AB25" s="864"/>
      <c r="AC25" s="864"/>
      <c r="AD25" s="864"/>
      <c r="AE25" s="864"/>
      <c r="AF25" s="864"/>
      <c r="AG25" s="864"/>
      <c r="AH25" s="864"/>
      <c r="AI25" s="864"/>
      <c r="AJ25" s="864"/>
      <c r="AK25" s="864"/>
      <c r="AL25" s="864"/>
      <c r="AM25" s="864"/>
      <c r="AN25" s="864"/>
      <c r="AO25" s="864"/>
      <c r="AP25" s="864"/>
      <c r="AQ25" s="864"/>
      <c r="AR25" s="864"/>
      <c r="AS25" s="864"/>
      <c r="AT25" s="864"/>
      <c r="AU25" s="864"/>
      <c r="AV25" s="855" t="s">
        <v>2731</v>
      </c>
      <c r="AW25" s="855" t="s">
        <v>2745</v>
      </c>
      <c r="AX25" s="864"/>
      <c r="AY25" s="864"/>
      <c r="AZ25" s="864"/>
      <c r="BA25" s="852" t="s">
        <v>519</v>
      </c>
      <c r="BB25" s="855" t="s">
        <v>2135</v>
      </c>
      <c r="BC25" s="855" t="s">
        <v>2790</v>
      </c>
      <c r="BD25" s="855" t="s">
        <v>2135</v>
      </c>
      <c r="BE25" s="864"/>
      <c r="BF25" s="864"/>
      <c r="BG25" s="864"/>
      <c r="BH25" s="864"/>
      <c r="BI25" s="864"/>
      <c r="BJ25" s="864"/>
      <c r="BK25" s="864"/>
      <c r="BL25" s="864"/>
      <c r="BM25" s="864"/>
      <c r="BN25" s="864"/>
      <c r="BO25" s="864"/>
      <c r="BP25" s="864"/>
      <c r="BQ25" s="864"/>
      <c r="BR25" s="864"/>
      <c r="BS25" s="864"/>
      <c r="BT25" s="855" t="s">
        <v>519</v>
      </c>
      <c r="BU25" s="855" t="s">
        <v>2833</v>
      </c>
      <c r="BV25" s="855" t="s">
        <v>2842</v>
      </c>
      <c r="BW25" s="855" t="s">
        <v>2856</v>
      </c>
      <c r="BX25" s="864"/>
      <c r="BY25" s="864"/>
      <c r="BZ25" s="864"/>
      <c r="CA25" s="864"/>
      <c r="CB25" s="864"/>
      <c r="CC25" s="857" t="s">
        <v>2731</v>
      </c>
      <c r="CD25" s="864"/>
      <c r="CE25" s="864"/>
      <c r="CF25" s="864"/>
      <c r="CG25" s="864"/>
      <c r="CH25" s="864"/>
      <c r="CI25" s="864"/>
      <c r="CJ25" s="864"/>
      <c r="CK25" s="855" t="s">
        <v>2880</v>
      </c>
      <c r="CL25" s="855" t="s">
        <v>2897</v>
      </c>
      <c r="CM25" s="864"/>
      <c r="CN25" s="864"/>
      <c r="CO25" s="864"/>
      <c r="CP25" s="864"/>
      <c r="CQ25" s="864"/>
      <c r="CR25" s="864"/>
      <c r="CS25" s="864"/>
      <c r="CT25" s="864"/>
      <c r="CU25" s="864"/>
      <c r="CV25" s="864"/>
      <c r="CW25" s="864"/>
      <c r="CX25" s="864"/>
      <c r="CY25" s="864"/>
      <c r="CZ25" s="864"/>
      <c r="DA25" s="864"/>
      <c r="DB25" s="864"/>
      <c r="DC25" s="864"/>
      <c r="DD25" s="864"/>
      <c r="DE25" s="864"/>
      <c r="DF25" s="855" t="s">
        <v>2909</v>
      </c>
      <c r="DG25" s="864"/>
      <c r="DH25" s="855" t="s">
        <v>2925</v>
      </c>
      <c r="DI25" s="855" t="s">
        <v>2897</v>
      </c>
      <c r="DJ25" s="855" t="s">
        <v>519</v>
      </c>
      <c r="DK25" s="855" t="s">
        <v>519</v>
      </c>
      <c r="DL25" s="855" t="s">
        <v>2964</v>
      </c>
      <c r="DM25" s="855" t="s">
        <v>671</v>
      </c>
      <c r="DN25" s="864"/>
      <c r="DO25" s="864"/>
      <c r="DP25" s="855" t="s">
        <v>2985</v>
      </c>
      <c r="DQ25" s="864"/>
      <c r="DR25" s="864"/>
      <c r="DS25" s="864"/>
      <c r="DT25" s="864"/>
      <c r="DU25" s="864"/>
      <c r="DV25" s="864"/>
      <c r="DW25" s="864"/>
      <c r="DX25" s="864"/>
      <c r="DY25" s="864"/>
      <c r="DZ25" s="864"/>
      <c r="EA25" s="864"/>
      <c r="EB25" s="864"/>
      <c r="EC25" s="864"/>
      <c r="ED25" s="864"/>
      <c r="EE25" s="864"/>
      <c r="EF25" s="855" t="s">
        <v>2994</v>
      </c>
      <c r="EG25" s="855" t="s">
        <v>3006</v>
      </c>
      <c r="EH25" s="855" t="s">
        <v>3025</v>
      </c>
      <c r="EI25" s="855" t="s">
        <v>3044</v>
      </c>
      <c r="EJ25" s="858" t="s">
        <v>2731</v>
      </c>
      <c r="EK25" s="858" t="s">
        <v>3075</v>
      </c>
      <c r="EL25" s="858" t="s">
        <v>767</v>
      </c>
      <c r="EM25" s="853" t="s">
        <v>3096</v>
      </c>
      <c r="EN25" s="858" t="s">
        <v>2135</v>
      </c>
      <c r="EO25" s="858" t="s">
        <v>767</v>
      </c>
      <c r="EP25" s="853" t="s">
        <v>3135</v>
      </c>
      <c r="EQ25" s="858" t="s">
        <v>2135</v>
      </c>
      <c r="ER25" s="858" t="s">
        <v>767</v>
      </c>
      <c r="ES25" s="858" t="s">
        <v>2135</v>
      </c>
      <c r="ET25" s="858" t="s">
        <v>1732</v>
      </c>
      <c r="EU25" s="864"/>
      <c r="EV25" s="864"/>
      <c r="EW25" s="855" t="s">
        <v>3207</v>
      </c>
      <c r="EX25" s="864"/>
      <c r="EY25" s="864"/>
      <c r="EZ25" s="864"/>
      <c r="FA25" s="864"/>
      <c r="FB25" s="864"/>
      <c r="FC25" s="864"/>
      <c r="FD25" s="864"/>
      <c r="FE25" s="855"/>
      <c r="FF25" s="864"/>
      <c r="FG25" s="864"/>
      <c r="FH25" s="864"/>
      <c r="FI25" s="864"/>
      <c r="FJ25" s="864"/>
      <c r="FK25" s="943" t="s">
        <v>671</v>
      </c>
      <c r="FL25" s="852" t="s">
        <v>3251</v>
      </c>
      <c r="FM25" s="855" t="s">
        <v>3271</v>
      </c>
      <c r="FN25" s="855"/>
      <c r="FO25" s="855" t="s">
        <v>519</v>
      </c>
      <c r="FP25" s="855" t="s">
        <v>3308</v>
      </c>
      <c r="FQ25" s="855" t="s">
        <v>3321</v>
      </c>
      <c r="FR25" s="864"/>
      <c r="FS25" s="864"/>
      <c r="FT25" s="864"/>
      <c r="FU25" s="864"/>
      <c r="FV25" s="864"/>
      <c r="FW25" s="864"/>
      <c r="FX25" s="864"/>
      <c r="FY25" s="864"/>
      <c r="FZ25" s="864"/>
      <c r="GA25" s="855" t="s">
        <v>3271</v>
      </c>
      <c r="GB25" s="855" t="s">
        <v>3349</v>
      </c>
      <c r="GC25" s="855" t="s">
        <v>3360</v>
      </c>
      <c r="GD25" s="855" t="s">
        <v>3379</v>
      </c>
      <c r="GE25" s="855" t="s">
        <v>1732</v>
      </c>
      <c r="GF25" s="855" t="s">
        <v>2731</v>
      </c>
      <c r="GG25" s="855" t="s">
        <v>3412</v>
      </c>
      <c r="GH25" s="864"/>
      <c r="GI25" s="864"/>
      <c r="GJ25" s="864"/>
      <c r="GK25" s="864"/>
      <c r="GL25" s="864"/>
      <c r="GM25" s="864"/>
      <c r="GN25" s="864"/>
      <c r="GO25" s="859" t="s">
        <v>2731</v>
      </c>
      <c r="GP25" s="856" t="s">
        <v>3443</v>
      </c>
      <c r="GQ25" s="860" t="s">
        <v>3456</v>
      </c>
      <c r="GR25" s="864"/>
      <c r="GS25" s="864"/>
      <c r="GT25" s="864"/>
      <c r="GU25" s="864"/>
      <c r="GV25" s="864"/>
      <c r="GW25" s="864"/>
      <c r="GX25" s="864"/>
      <c r="GY25" s="864"/>
      <c r="GZ25" s="864"/>
      <c r="HA25" s="864"/>
      <c r="HB25" s="864"/>
      <c r="HC25" s="864"/>
      <c r="HD25" s="864"/>
      <c r="HE25" s="855" t="s">
        <v>3468</v>
      </c>
      <c r="HF25" s="852" t="s">
        <v>671</v>
      </c>
      <c r="HG25" s="864"/>
      <c r="HH25" s="853" t="s">
        <v>3496</v>
      </c>
      <c r="HI25" s="852" t="s">
        <v>767</v>
      </c>
      <c r="HJ25" s="855" t="s">
        <v>2135</v>
      </c>
      <c r="HK25" s="858" t="s">
        <v>2731</v>
      </c>
      <c r="HL25" s="864"/>
      <c r="HM25" s="864"/>
      <c r="HN25" s="864"/>
      <c r="HO25" s="861" t="s">
        <v>3360</v>
      </c>
      <c r="HP25" s="852" t="s">
        <v>2731</v>
      </c>
      <c r="HQ25" s="852" t="s">
        <v>3577</v>
      </c>
      <c r="HR25" s="862" t="s">
        <v>3360</v>
      </c>
      <c r="HS25" s="852" t="s">
        <v>3577</v>
      </c>
      <c r="HT25" s="855" t="s">
        <v>3577</v>
      </c>
      <c r="HU25" s="852" t="s">
        <v>3577</v>
      </c>
      <c r="HV25" s="863" t="s">
        <v>2731</v>
      </c>
      <c r="HW25" s="852" t="s">
        <v>3577</v>
      </c>
      <c r="HX25" s="855" t="s">
        <v>3629</v>
      </c>
      <c r="HY25" s="855" t="s">
        <v>3640</v>
      </c>
      <c r="HZ25" s="855" t="s">
        <v>3648</v>
      </c>
      <c r="IA25" s="855" t="s">
        <v>3360</v>
      </c>
      <c r="IB25" s="855" t="s">
        <v>3671</v>
      </c>
      <c r="IC25" s="855" t="s">
        <v>2731</v>
      </c>
      <c r="ID25" s="855" t="s">
        <v>2731</v>
      </c>
      <c r="IE25" s="852" t="s">
        <v>2897</v>
      </c>
      <c r="IF25" s="852" t="s">
        <v>3577</v>
      </c>
      <c r="IG25" s="862" t="s">
        <v>3725</v>
      </c>
      <c r="IH25" s="852" t="s">
        <v>3735</v>
      </c>
      <c r="II25" s="852" t="s">
        <v>3748</v>
      </c>
      <c r="IJ25" s="857" t="s">
        <v>3762</v>
      </c>
      <c r="IK25" s="852" t="s">
        <v>3577</v>
      </c>
      <c r="IL25" s="855" t="s">
        <v>3776</v>
      </c>
      <c r="IM25" s="855" t="s">
        <v>3792</v>
      </c>
      <c r="IN25" s="855" t="s">
        <v>2135</v>
      </c>
      <c r="IO25" s="864"/>
      <c r="IP25" s="864"/>
      <c r="IQ25" s="864"/>
      <c r="IR25" s="862" t="s">
        <v>671</v>
      </c>
      <c r="IS25" s="853" t="s">
        <v>3831</v>
      </c>
      <c r="IT25" s="855" t="s">
        <v>3847</v>
      </c>
      <c r="IU25" s="855" t="s">
        <v>3870</v>
      </c>
      <c r="IV25" s="855" t="s">
        <v>3889</v>
      </c>
      <c r="IW25" s="899" t="s">
        <v>2897</v>
      </c>
      <c r="IX25" s="909" t="s">
        <v>3927</v>
      </c>
      <c r="IY25" s="855" t="s">
        <v>622</v>
      </c>
      <c r="IZ25" s="855" t="s">
        <v>3957</v>
      </c>
      <c r="JA25" s="855" t="s">
        <v>2135</v>
      </c>
      <c r="JB25" s="852" t="s">
        <v>519</v>
      </c>
      <c r="JC25" s="855" t="s">
        <v>4000</v>
      </c>
      <c r="JD25" s="855" t="s">
        <v>4012</v>
      </c>
      <c r="JE25" s="855" t="s">
        <v>4028</v>
      </c>
      <c r="JF25" s="855" t="s">
        <v>767</v>
      </c>
      <c r="JG25" s="855" t="s">
        <v>2880</v>
      </c>
      <c r="JH25" s="855" t="s">
        <v>4084</v>
      </c>
      <c r="JI25" s="855" t="s">
        <v>4098</v>
      </c>
      <c r="JJ25" s="852" t="s">
        <v>4122</v>
      </c>
      <c r="JK25" s="855" t="s">
        <v>4135</v>
      </c>
      <c r="JL25" s="855" t="s">
        <v>4144</v>
      </c>
      <c r="JM25" s="855" t="s">
        <v>4144</v>
      </c>
      <c r="JN25" s="855" t="s">
        <v>4144</v>
      </c>
      <c r="JO25" s="855" t="s">
        <v>4144</v>
      </c>
      <c r="JP25" s="858" t="s">
        <v>4173</v>
      </c>
      <c r="JQ25" s="858" t="s">
        <v>4173</v>
      </c>
      <c r="JR25" s="855" t="s">
        <v>4189</v>
      </c>
      <c r="JS25" s="855" t="s">
        <v>4189</v>
      </c>
      <c r="JT25" s="855" t="s">
        <v>4189</v>
      </c>
      <c r="JU25" s="855" t="s">
        <v>4189</v>
      </c>
      <c r="JV25" s="855"/>
      <c r="JW25" s="855" t="s">
        <v>4189</v>
      </c>
      <c r="JX25" s="855" t="s">
        <v>4247</v>
      </c>
      <c r="JY25" s="855" t="s">
        <v>4258</v>
      </c>
      <c r="JZ25" s="855" t="s">
        <v>767</v>
      </c>
      <c r="KA25" s="855" t="s">
        <v>4274</v>
      </c>
      <c r="KB25" s="855"/>
      <c r="KC25" s="858" t="s">
        <v>4293</v>
      </c>
      <c r="KD25" s="858" t="s">
        <v>4293</v>
      </c>
      <c r="KE25" s="862" t="s">
        <v>4313</v>
      </c>
      <c r="KF25" s="862"/>
      <c r="KG25" s="862"/>
      <c r="KH25" s="862"/>
      <c r="KI25" s="862"/>
      <c r="KJ25" s="862"/>
      <c r="KK25" s="862" t="s">
        <v>4358</v>
      </c>
      <c r="KL25" s="855" t="s">
        <v>4368</v>
      </c>
      <c r="KM25" s="864"/>
      <c r="KN25" s="864"/>
      <c r="KO25" s="864"/>
      <c r="KP25" s="864"/>
      <c r="KQ25" s="864"/>
      <c r="KR25" s="852" t="s">
        <v>4368</v>
      </c>
      <c r="KS25" s="864"/>
      <c r="KT25" s="855" t="s">
        <v>469</v>
      </c>
      <c r="KU25" s="864"/>
      <c r="KV25" s="855" t="s">
        <v>4414</v>
      </c>
      <c r="KW25" s="855" t="s">
        <v>4436</v>
      </c>
      <c r="KX25" s="855" t="s">
        <v>4460</v>
      </c>
      <c r="KY25" s="858" t="s">
        <v>4481</v>
      </c>
      <c r="KZ25" s="855" t="s">
        <v>4499</v>
      </c>
      <c r="LA25" s="855" t="s">
        <v>4524</v>
      </c>
      <c r="LB25" s="855"/>
      <c r="LC25" s="855"/>
      <c r="LD25" s="855" t="s">
        <v>465</v>
      </c>
      <c r="LE25" s="855" t="s">
        <v>465</v>
      </c>
      <c r="LF25" s="858" t="s">
        <v>4577</v>
      </c>
      <c r="LG25" s="858" t="s">
        <v>4599</v>
      </c>
      <c r="LH25" s="858" t="s">
        <v>4612</v>
      </c>
      <c r="LI25" s="858" t="s">
        <v>4624</v>
      </c>
      <c r="LJ25" s="858" t="s">
        <v>4632</v>
      </c>
      <c r="LK25" s="858" t="s">
        <v>4644</v>
      </c>
      <c r="LL25" s="858" t="s">
        <v>4654</v>
      </c>
      <c r="LM25" s="858" t="s">
        <v>4654</v>
      </c>
      <c r="LN25" s="858" t="s">
        <v>4368</v>
      </c>
      <c r="LO25" s="858"/>
      <c r="LP25" s="858" t="s">
        <v>4695</v>
      </c>
      <c r="LQ25" s="853" t="s">
        <v>4716</v>
      </c>
      <c r="LR25" s="858" t="s">
        <v>4735</v>
      </c>
      <c r="LS25" s="858" t="s">
        <v>4750</v>
      </c>
      <c r="LT25" s="858" t="s">
        <v>4750</v>
      </c>
      <c r="LU25" s="858" t="s">
        <v>4770</v>
      </c>
      <c r="LV25" s="909" t="s">
        <v>4785</v>
      </c>
      <c r="LW25" s="858" t="s">
        <v>4798</v>
      </c>
      <c r="LX25" s="858" t="s">
        <v>4798</v>
      </c>
      <c r="LY25" s="858" t="s">
        <v>4798</v>
      </c>
    </row>
    <row r="26" spans="1:337" ht="409.6" thickBot="1" x14ac:dyDescent="0.3">
      <c r="A26" s="1585"/>
      <c r="B26" s="1588"/>
      <c r="C26" s="327" t="s">
        <v>83</v>
      </c>
      <c r="D26" s="340" t="s">
        <v>5331</v>
      </c>
      <c r="E26" s="834" t="s">
        <v>48</v>
      </c>
      <c r="F26" s="863"/>
      <c r="G26" s="863"/>
      <c r="H26" s="864"/>
      <c r="I26" s="864"/>
      <c r="J26" s="864"/>
      <c r="K26" s="864"/>
      <c r="L26" s="864"/>
      <c r="M26" s="864"/>
      <c r="N26" s="852" t="s">
        <v>2648</v>
      </c>
      <c r="O26" s="864"/>
      <c r="P26" s="864"/>
      <c r="Q26" s="864"/>
      <c r="R26" s="864"/>
      <c r="S26" s="864"/>
      <c r="T26" s="864"/>
      <c r="U26" s="864"/>
      <c r="V26" s="855" t="s">
        <v>2670</v>
      </c>
      <c r="W26" s="855" t="s">
        <v>2687</v>
      </c>
      <c r="X26" s="856" t="s">
        <v>2670</v>
      </c>
      <c r="Y26" s="855" t="s">
        <v>2670</v>
      </c>
      <c r="Z26" s="855" t="s">
        <v>2721</v>
      </c>
      <c r="AA26" s="864"/>
      <c r="AB26" s="864"/>
      <c r="AC26" s="864"/>
      <c r="AD26" s="864"/>
      <c r="AE26" s="864"/>
      <c r="AF26" s="864"/>
      <c r="AG26" s="864"/>
      <c r="AH26" s="864"/>
      <c r="AI26" s="864"/>
      <c r="AJ26" s="864"/>
      <c r="AK26" s="864"/>
      <c r="AL26" s="864"/>
      <c r="AM26" s="864"/>
      <c r="AN26" s="864"/>
      <c r="AO26" s="864"/>
      <c r="AP26" s="864"/>
      <c r="AQ26" s="864"/>
      <c r="AR26" s="864"/>
      <c r="AS26" s="864"/>
      <c r="AT26" s="864"/>
      <c r="AU26" s="864"/>
      <c r="AV26" s="855" t="s">
        <v>2732</v>
      </c>
      <c r="AW26" s="855" t="s">
        <v>2746</v>
      </c>
      <c r="AX26" s="864"/>
      <c r="AY26" s="864"/>
      <c r="AZ26" s="864"/>
      <c r="BA26" s="852" t="s">
        <v>2758</v>
      </c>
      <c r="BB26" s="855" t="s">
        <v>2775</v>
      </c>
      <c r="BC26" s="855" t="s">
        <v>2789</v>
      </c>
      <c r="BD26" s="855" t="s">
        <v>2806</v>
      </c>
      <c r="BE26" s="864"/>
      <c r="BF26" s="864"/>
      <c r="BG26" s="864"/>
      <c r="BH26" s="864"/>
      <c r="BI26" s="864"/>
      <c r="BJ26" s="864"/>
      <c r="BK26" s="864"/>
      <c r="BL26" s="864"/>
      <c r="BM26" s="864"/>
      <c r="BN26" s="864"/>
      <c r="BO26" s="864"/>
      <c r="BP26" s="864"/>
      <c r="BQ26" s="864"/>
      <c r="BR26" s="864"/>
      <c r="BS26" s="864"/>
      <c r="BT26" s="855" t="s">
        <v>2819</v>
      </c>
      <c r="BU26" s="852" t="s">
        <v>2832</v>
      </c>
      <c r="BV26" s="855" t="s">
        <v>2841</v>
      </c>
      <c r="BW26" s="855" t="s">
        <v>2857</v>
      </c>
      <c r="BX26" s="864"/>
      <c r="BY26" s="864"/>
      <c r="BZ26" s="864"/>
      <c r="CA26" s="864"/>
      <c r="CB26" s="864"/>
      <c r="CC26" s="857" t="s">
        <v>2869</v>
      </c>
      <c r="CD26" s="864"/>
      <c r="CE26" s="864"/>
      <c r="CF26" s="864"/>
      <c r="CG26" s="864"/>
      <c r="CH26" s="864"/>
      <c r="CI26" s="864"/>
      <c r="CJ26" s="864"/>
      <c r="CK26" s="855" t="s">
        <v>2881</v>
      </c>
      <c r="CL26" s="855" t="s">
        <v>2898</v>
      </c>
      <c r="CM26" s="864"/>
      <c r="CN26" s="864"/>
      <c r="CO26" s="864"/>
      <c r="CP26" s="864"/>
      <c r="CQ26" s="864"/>
      <c r="CR26" s="864"/>
      <c r="CS26" s="864"/>
      <c r="CT26" s="864"/>
      <c r="CU26" s="864"/>
      <c r="CV26" s="864"/>
      <c r="CW26" s="864"/>
      <c r="CX26" s="864"/>
      <c r="CY26" s="864"/>
      <c r="CZ26" s="864"/>
      <c r="DA26" s="864"/>
      <c r="DB26" s="864"/>
      <c r="DC26" s="864"/>
      <c r="DD26" s="864"/>
      <c r="DE26" s="864"/>
      <c r="DF26" s="855" t="s">
        <v>2910</v>
      </c>
      <c r="DG26" s="864"/>
      <c r="DH26" s="855" t="s">
        <v>2926</v>
      </c>
      <c r="DI26" s="855" t="s">
        <v>2940</v>
      </c>
      <c r="DJ26" s="855" t="s">
        <v>2948</v>
      </c>
      <c r="DK26" s="855" t="s">
        <v>2956</v>
      </c>
      <c r="DL26" s="855" t="s">
        <v>2965</v>
      </c>
      <c r="DM26" s="855" t="s">
        <v>2975</v>
      </c>
      <c r="DN26" s="864"/>
      <c r="DO26" s="864"/>
      <c r="DP26" s="855"/>
      <c r="DQ26" s="864"/>
      <c r="DR26" s="864"/>
      <c r="DS26" s="864"/>
      <c r="DT26" s="864"/>
      <c r="DU26" s="864"/>
      <c r="DV26" s="864"/>
      <c r="DW26" s="864"/>
      <c r="DX26" s="864"/>
      <c r="DY26" s="864"/>
      <c r="DZ26" s="864"/>
      <c r="EA26" s="864"/>
      <c r="EB26" s="864"/>
      <c r="EC26" s="864"/>
      <c r="ED26" s="864"/>
      <c r="EE26" s="864"/>
      <c r="EF26" s="855" t="s">
        <v>2993</v>
      </c>
      <c r="EG26" s="855" t="s">
        <v>3007</v>
      </c>
      <c r="EH26" s="855" t="s">
        <v>3024</v>
      </c>
      <c r="EI26" s="855" t="s">
        <v>3043</v>
      </c>
      <c r="EJ26" s="858" t="s">
        <v>3060</v>
      </c>
      <c r="EK26" s="858" t="s">
        <v>3076</v>
      </c>
      <c r="EL26" s="858" t="s">
        <v>3086</v>
      </c>
      <c r="EM26" s="853" t="s">
        <v>3097</v>
      </c>
      <c r="EN26" s="858" t="s">
        <v>3114</v>
      </c>
      <c r="EO26" s="858" t="s">
        <v>3127</v>
      </c>
      <c r="EP26" s="853" t="s">
        <v>3136</v>
      </c>
      <c r="EQ26" s="858" t="s">
        <v>3145</v>
      </c>
      <c r="ER26" s="944" t="s">
        <v>3161</v>
      </c>
      <c r="ES26" s="858" t="s">
        <v>3176</v>
      </c>
      <c r="ET26" s="858" t="s">
        <v>3187</v>
      </c>
      <c r="EU26" s="864"/>
      <c r="EV26" s="864"/>
      <c r="EW26" s="855" t="s">
        <v>3206</v>
      </c>
      <c r="EX26" s="864"/>
      <c r="EY26" s="864"/>
      <c r="EZ26" s="864"/>
      <c r="FA26" s="864"/>
      <c r="FB26" s="864"/>
      <c r="FC26" s="864"/>
      <c r="FD26" s="864"/>
      <c r="FE26" s="855"/>
      <c r="FF26" s="864"/>
      <c r="FG26" s="864"/>
      <c r="FH26" s="864"/>
      <c r="FI26" s="864"/>
      <c r="FJ26" s="864"/>
      <c r="FK26" s="852" t="s">
        <v>3229</v>
      </c>
      <c r="FL26" s="852" t="s">
        <v>3252</v>
      </c>
      <c r="FM26" s="855" t="s">
        <v>3269</v>
      </c>
      <c r="FN26" s="855"/>
      <c r="FO26" s="855" t="s">
        <v>3296</v>
      </c>
      <c r="FP26" s="855" t="s">
        <v>3309</v>
      </c>
      <c r="FQ26" s="855" t="s">
        <v>3322</v>
      </c>
      <c r="FR26" s="864"/>
      <c r="FS26" s="864"/>
      <c r="FT26" s="864"/>
      <c r="FU26" s="864"/>
      <c r="FV26" s="864"/>
      <c r="FW26" s="864"/>
      <c r="FX26" s="864"/>
      <c r="FY26" s="864"/>
      <c r="FZ26" s="864"/>
      <c r="GA26" s="855" t="s">
        <v>3336</v>
      </c>
      <c r="GB26" s="855" t="s">
        <v>3350</v>
      </c>
      <c r="GC26" s="855" t="s">
        <v>3361</v>
      </c>
      <c r="GD26" s="855" t="s">
        <v>3380</v>
      </c>
      <c r="GE26" s="855" t="s">
        <v>3394</v>
      </c>
      <c r="GF26" s="855" t="s">
        <v>3402</v>
      </c>
      <c r="GG26" s="855" t="s">
        <v>3413</v>
      </c>
      <c r="GH26" s="864"/>
      <c r="GI26" s="864"/>
      <c r="GJ26" s="864"/>
      <c r="GK26" s="864"/>
      <c r="GL26" s="864"/>
      <c r="GM26" s="864"/>
      <c r="GN26" s="864"/>
      <c r="GO26" s="859" t="s">
        <v>3428</v>
      </c>
      <c r="GP26" s="856" t="s">
        <v>3441</v>
      </c>
      <c r="GQ26" s="860" t="s">
        <v>3455</v>
      </c>
      <c r="GR26" s="864"/>
      <c r="GS26" s="864"/>
      <c r="GT26" s="864"/>
      <c r="GU26" s="864"/>
      <c r="GV26" s="864"/>
      <c r="GW26" s="864"/>
      <c r="GX26" s="864"/>
      <c r="GY26" s="864"/>
      <c r="GZ26" s="864"/>
      <c r="HA26" s="864"/>
      <c r="HB26" s="864"/>
      <c r="HC26" s="864"/>
      <c r="HD26" s="864"/>
      <c r="HE26" s="855" t="s">
        <v>3469</v>
      </c>
      <c r="HF26" s="852" t="s">
        <v>3486</v>
      </c>
      <c r="HG26" s="864"/>
      <c r="HH26" s="853" t="s">
        <v>3495</v>
      </c>
      <c r="HI26" s="852" t="s">
        <v>3514</v>
      </c>
      <c r="HJ26" s="855" t="s">
        <v>3533</v>
      </c>
      <c r="HK26" s="858" t="s">
        <v>3545</v>
      </c>
      <c r="HL26" s="864"/>
      <c r="HM26" s="864"/>
      <c r="HN26" s="864"/>
      <c r="HO26" s="861" t="s">
        <v>3553</v>
      </c>
      <c r="HP26" s="852" t="s">
        <v>3564</v>
      </c>
      <c r="HQ26" s="852" t="s">
        <v>3576</v>
      </c>
      <c r="HR26" s="862" t="s">
        <v>3586</v>
      </c>
      <c r="HS26" s="852" t="s">
        <v>3597</v>
      </c>
      <c r="HT26" s="852" t="s">
        <v>3595</v>
      </c>
      <c r="HU26" s="852" t="s">
        <v>3606</v>
      </c>
      <c r="HV26" s="863" t="s">
        <v>3612</v>
      </c>
      <c r="HW26" s="852" t="s">
        <v>3621</v>
      </c>
      <c r="HX26" s="855" t="s">
        <v>3630</v>
      </c>
      <c r="HY26" s="855" t="s">
        <v>3639</v>
      </c>
      <c r="HZ26" s="855" t="s">
        <v>3649</v>
      </c>
      <c r="IA26" s="855" t="s">
        <v>3659</v>
      </c>
      <c r="IB26" s="855" t="s">
        <v>3672</v>
      </c>
      <c r="IC26" s="855" t="s">
        <v>3683</v>
      </c>
      <c r="ID26" s="855" t="s">
        <v>3696</v>
      </c>
      <c r="IE26" s="852" t="s">
        <v>3707</v>
      </c>
      <c r="IF26" s="852" t="s">
        <v>3717</v>
      </c>
      <c r="IG26" s="862" t="s">
        <v>3724</v>
      </c>
      <c r="IH26" s="852" t="s">
        <v>3734</v>
      </c>
      <c r="II26" s="852" t="s">
        <v>3749</v>
      </c>
      <c r="IJ26" s="857" t="s">
        <v>3763</v>
      </c>
      <c r="IK26" s="852" t="s">
        <v>3769</v>
      </c>
      <c r="IL26" s="898" t="s">
        <v>3777</v>
      </c>
      <c r="IM26" s="855" t="s">
        <v>2364</v>
      </c>
      <c r="IN26" s="855" t="s">
        <v>3805</v>
      </c>
      <c r="IO26" s="864"/>
      <c r="IP26" s="864"/>
      <c r="IQ26" s="864"/>
      <c r="IR26" s="862" t="s">
        <v>3814</v>
      </c>
      <c r="IS26" s="855" t="s">
        <v>3832</v>
      </c>
      <c r="IT26" s="855" t="s">
        <v>3848</v>
      </c>
      <c r="IU26" s="855" t="s">
        <v>3871</v>
      </c>
      <c r="IV26" s="855" t="s">
        <v>3890</v>
      </c>
      <c r="IW26" s="855" t="s">
        <v>3913</v>
      </c>
      <c r="IX26" s="909" t="s">
        <v>3928</v>
      </c>
      <c r="IY26" s="855" t="s">
        <v>3944</v>
      </c>
      <c r="IZ26" s="855" t="s">
        <v>3958</v>
      </c>
      <c r="JA26" s="855" t="s">
        <v>3970</v>
      </c>
      <c r="JB26" s="852" t="s">
        <v>3985</v>
      </c>
      <c r="JC26" s="855" t="s">
        <v>4001</v>
      </c>
      <c r="JD26" s="855" t="s">
        <v>4013</v>
      </c>
      <c r="JE26" s="855" t="s">
        <v>4029</v>
      </c>
      <c r="JF26" s="855" t="s">
        <v>4051</v>
      </c>
      <c r="JG26" s="855" t="s">
        <v>4067</v>
      </c>
      <c r="JH26" s="855" t="s">
        <v>4083</v>
      </c>
      <c r="JI26" s="855" t="s">
        <v>4099</v>
      </c>
      <c r="JJ26" s="852" t="s">
        <v>4123</v>
      </c>
      <c r="JK26" s="855" t="s">
        <v>4136</v>
      </c>
      <c r="JL26" s="855" t="str">
        <f>JL23</f>
        <v>Администрация городского поселения Таежный</v>
      </c>
      <c r="JM26" s="855" t="s">
        <v>4152</v>
      </c>
      <c r="JN26" s="855" t="s">
        <v>4162</v>
      </c>
      <c r="JO26" s="855" t="s">
        <v>4166</v>
      </c>
      <c r="JP26" s="855" t="s">
        <v>4172</v>
      </c>
      <c r="JQ26" s="858" t="s">
        <v>4179</v>
      </c>
      <c r="JR26" s="855" t="s">
        <v>4188</v>
      </c>
      <c r="JS26" s="855" t="s">
        <v>4195</v>
      </c>
      <c r="JT26" s="855" t="s">
        <v>4204</v>
      </c>
      <c r="JU26" s="855" t="s">
        <v>4218</v>
      </c>
      <c r="JV26" s="855"/>
      <c r="JW26" s="855"/>
      <c r="JX26" s="855"/>
      <c r="JY26" s="855" t="s">
        <v>4257</v>
      </c>
      <c r="JZ26" s="855" t="s">
        <v>4266</v>
      </c>
      <c r="KA26" s="855" t="s">
        <v>4273</v>
      </c>
      <c r="KB26" s="855" t="s">
        <v>4285</v>
      </c>
      <c r="KC26" s="855"/>
      <c r="KD26" s="855"/>
      <c r="KE26" s="862" t="s">
        <v>4314</v>
      </c>
      <c r="KF26" s="862" t="s">
        <v>4321</v>
      </c>
      <c r="KG26" s="862" t="s">
        <v>4330</v>
      </c>
      <c r="KH26" s="862" t="s">
        <v>4337</v>
      </c>
      <c r="KI26" s="862" t="s">
        <v>4344</v>
      </c>
      <c r="KJ26" s="862" t="s">
        <v>4344</v>
      </c>
      <c r="KK26" s="862" t="s">
        <v>4358</v>
      </c>
      <c r="KL26" s="855" t="s">
        <v>4369</v>
      </c>
      <c r="KM26" s="864"/>
      <c r="KN26" s="864"/>
      <c r="KO26" s="864"/>
      <c r="KP26" s="864"/>
      <c r="KQ26" s="864"/>
      <c r="KR26" s="852" t="s">
        <v>4384</v>
      </c>
      <c r="KS26" s="864"/>
      <c r="KT26" s="855" t="s">
        <v>4395</v>
      </c>
      <c r="KU26" s="864"/>
      <c r="KV26" s="855" t="s">
        <v>4415</v>
      </c>
      <c r="KW26" s="855" t="s">
        <v>4437</v>
      </c>
      <c r="KX26" s="855" t="s">
        <v>4461</v>
      </c>
      <c r="KY26" s="858" t="s">
        <v>4482</v>
      </c>
      <c r="KZ26" s="855" t="s">
        <v>4500</v>
      </c>
      <c r="LA26" s="855" t="s">
        <v>4525</v>
      </c>
      <c r="LB26" s="855"/>
      <c r="LC26" s="855"/>
      <c r="LD26" s="855" t="s">
        <v>465</v>
      </c>
      <c r="LE26" s="855" t="s">
        <v>465</v>
      </c>
      <c r="LF26" s="858" t="s">
        <v>4578</v>
      </c>
      <c r="LG26" s="858" t="s">
        <v>4598</v>
      </c>
      <c r="LH26" s="858" t="s">
        <v>4611</v>
      </c>
      <c r="LI26" s="858" t="s">
        <v>4623</v>
      </c>
      <c r="LJ26" s="858" t="s">
        <v>4631</v>
      </c>
      <c r="LK26" s="858" t="s">
        <v>4643</v>
      </c>
      <c r="LL26" s="858" t="s">
        <v>4653</v>
      </c>
      <c r="LM26" s="858" t="s">
        <v>4661</v>
      </c>
      <c r="LN26" s="858" t="s">
        <v>4673</v>
      </c>
      <c r="LO26" s="858"/>
      <c r="LP26" s="858" t="s">
        <v>4696</v>
      </c>
      <c r="LQ26" s="858" t="s">
        <v>4717</v>
      </c>
      <c r="LR26" s="858" t="s">
        <v>4736</v>
      </c>
      <c r="LS26" s="858" t="s">
        <v>4751</v>
      </c>
      <c r="LT26" s="853" t="s">
        <v>4761</v>
      </c>
      <c r="LU26" s="858" t="s">
        <v>4771</v>
      </c>
      <c r="LV26" s="858" t="s">
        <v>4786</v>
      </c>
      <c r="LW26" s="858" t="s">
        <v>4799</v>
      </c>
      <c r="LX26" s="858" t="s">
        <v>4808</v>
      </c>
      <c r="LY26" s="858" t="s">
        <v>4816</v>
      </c>
    </row>
    <row r="27" spans="1:337" ht="111" thickBot="1" x14ac:dyDescent="0.3">
      <c r="A27" s="348" t="s">
        <v>13</v>
      </c>
      <c r="B27" s="349" t="s">
        <v>5332</v>
      </c>
      <c r="C27" s="350" t="s">
        <v>51</v>
      </c>
      <c r="D27" s="351" t="s">
        <v>5333</v>
      </c>
      <c r="E27" s="838" t="s">
        <v>152</v>
      </c>
      <c r="F27" s="863"/>
      <c r="G27" s="863"/>
      <c r="H27" s="864"/>
      <c r="I27" s="864"/>
      <c r="J27" s="864"/>
      <c r="K27" s="864"/>
      <c r="L27" s="864"/>
      <c r="M27" s="864"/>
      <c r="N27" s="852">
        <v>8.6999999999999993</v>
      </c>
      <c r="O27" s="864" t="s">
        <v>5334</v>
      </c>
      <c r="P27" s="864"/>
      <c r="Q27" s="864"/>
      <c r="R27" s="864"/>
      <c r="S27" s="864"/>
      <c r="T27" s="864"/>
      <c r="U27" s="864"/>
      <c r="V27" s="945">
        <v>0.41199999999999998</v>
      </c>
      <c r="W27" s="945">
        <v>1.7090000000000001</v>
      </c>
      <c r="X27" s="945">
        <v>0.23799999999999999</v>
      </c>
      <c r="Y27" s="945">
        <v>0.4</v>
      </c>
      <c r="Z27" s="945">
        <v>4.3</v>
      </c>
      <c r="AA27" s="864"/>
      <c r="AB27" s="864"/>
      <c r="AC27" s="864"/>
      <c r="AD27" s="864"/>
      <c r="AE27" s="864"/>
      <c r="AF27" s="864"/>
      <c r="AG27" s="864"/>
      <c r="AH27" s="864"/>
      <c r="AI27" s="864"/>
      <c r="AJ27" s="864"/>
      <c r="AK27" s="864"/>
      <c r="AL27" s="864"/>
      <c r="AM27" s="864"/>
      <c r="AN27" s="864"/>
      <c r="AO27" s="864"/>
      <c r="AP27" s="864"/>
      <c r="AQ27" s="864"/>
      <c r="AR27" s="864"/>
      <c r="AS27" s="864"/>
      <c r="AT27" s="864"/>
      <c r="AU27" s="864"/>
      <c r="AV27" s="945">
        <v>0.502</v>
      </c>
      <c r="AW27" s="945">
        <f>AW31+AW34</f>
        <v>8.5730000000000004</v>
      </c>
      <c r="AX27" s="864"/>
      <c r="AY27" s="864"/>
      <c r="AZ27" s="864"/>
      <c r="BA27" s="852">
        <v>3.3</v>
      </c>
      <c r="BB27" s="946">
        <v>1.087</v>
      </c>
      <c r="BC27" s="945">
        <v>6.9249999999999998</v>
      </c>
      <c r="BD27" s="855">
        <v>2.339</v>
      </c>
      <c r="BE27" s="864"/>
      <c r="BF27" s="864"/>
      <c r="BG27" s="864"/>
      <c r="BH27" s="864"/>
      <c r="BI27" s="864"/>
      <c r="BJ27" s="864"/>
      <c r="BK27" s="864"/>
      <c r="BL27" s="864"/>
      <c r="BM27" s="864"/>
      <c r="BN27" s="864"/>
      <c r="BO27" s="864"/>
      <c r="BP27" s="864"/>
      <c r="BQ27" s="864"/>
      <c r="BR27" s="864"/>
      <c r="BS27" s="864"/>
      <c r="BT27" s="945">
        <v>1222.2470000000001</v>
      </c>
      <c r="BU27" s="945">
        <v>2.383</v>
      </c>
      <c r="BV27" s="945">
        <v>0.25600000000000001</v>
      </c>
      <c r="BW27" s="945">
        <v>0.84799999999999998</v>
      </c>
      <c r="BX27" s="864"/>
      <c r="BY27" s="864"/>
      <c r="BZ27" s="864"/>
      <c r="CA27" s="864"/>
      <c r="CB27" s="864"/>
      <c r="CC27" s="947">
        <v>161.19999999999999</v>
      </c>
      <c r="CD27" s="864"/>
      <c r="CE27" s="864"/>
      <c r="CF27" s="864"/>
      <c r="CG27" s="864"/>
      <c r="CH27" s="864"/>
      <c r="CI27" s="864"/>
      <c r="CJ27" s="864"/>
      <c r="CK27" s="945">
        <v>1.33805679</v>
      </c>
      <c r="CL27" s="945"/>
      <c r="CM27" s="864"/>
      <c r="CN27" s="864"/>
      <c r="CO27" s="864"/>
      <c r="CP27" s="864"/>
      <c r="CQ27" s="864"/>
      <c r="CR27" s="864"/>
      <c r="CS27" s="864"/>
      <c r="CT27" s="864"/>
      <c r="CU27" s="864"/>
      <c r="CV27" s="864"/>
      <c r="CW27" s="864"/>
      <c r="CX27" s="864"/>
      <c r="CY27" s="864"/>
      <c r="CZ27" s="864"/>
      <c r="DA27" s="864"/>
      <c r="DB27" s="864"/>
      <c r="DC27" s="864"/>
      <c r="DD27" s="864"/>
      <c r="DE27" s="864"/>
      <c r="DF27" s="945">
        <v>0.94</v>
      </c>
      <c r="DG27" s="864"/>
      <c r="DH27" s="945">
        <v>0.215</v>
      </c>
      <c r="DI27" s="945">
        <v>0.2</v>
      </c>
      <c r="DJ27" s="945">
        <v>0.2</v>
      </c>
      <c r="DK27" s="945">
        <v>0.2</v>
      </c>
      <c r="DL27" s="945">
        <v>0.26300000000000001</v>
      </c>
      <c r="DM27" s="945">
        <v>0.2</v>
      </c>
      <c r="DN27" s="864"/>
      <c r="DO27" s="864"/>
      <c r="DP27" s="948">
        <v>0.3</v>
      </c>
      <c r="DQ27" s="864"/>
      <c r="DR27" s="864"/>
      <c r="DS27" s="864"/>
      <c r="DT27" s="864"/>
      <c r="DU27" s="864"/>
      <c r="DV27" s="864"/>
      <c r="DW27" s="864"/>
      <c r="DX27" s="864"/>
      <c r="DY27" s="864"/>
      <c r="DZ27" s="864"/>
      <c r="EA27" s="864"/>
      <c r="EB27" s="864"/>
      <c r="EC27" s="864"/>
      <c r="ED27" s="864"/>
      <c r="EE27" s="864"/>
      <c r="EF27" s="945">
        <v>7.0999999999999994E-2</v>
      </c>
      <c r="EG27" s="945" t="s">
        <v>5335</v>
      </c>
      <c r="EH27" s="945">
        <v>1.9450000000000001</v>
      </c>
      <c r="EI27" s="855">
        <v>0.1</v>
      </c>
      <c r="EJ27" s="949">
        <v>0.72699999999999998</v>
      </c>
      <c r="EK27" s="949">
        <v>1582000</v>
      </c>
      <c r="EL27" s="949">
        <v>0.40600000000000003</v>
      </c>
      <c r="EM27" s="949">
        <v>0.872</v>
      </c>
      <c r="EN27" s="949">
        <v>2269.1</v>
      </c>
      <c r="EO27" s="949">
        <v>0.53400000000000003</v>
      </c>
      <c r="EP27" s="949">
        <v>0.23</v>
      </c>
      <c r="EQ27" s="949">
        <v>0.40300000000000002</v>
      </c>
      <c r="ER27" s="949">
        <v>2.1869999999999998</v>
      </c>
      <c r="ES27" s="949">
        <v>0.16300000000000001</v>
      </c>
      <c r="ET27" s="949">
        <v>0.85499999999999998</v>
      </c>
      <c r="EU27" s="864"/>
      <c r="EV27" s="864"/>
      <c r="EW27" s="945">
        <v>39.283000000000001</v>
      </c>
      <c r="EX27" s="864"/>
      <c r="EY27" s="864"/>
      <c r="EZ27" s="864"/>
      <c r="FA27" s="864"/>
      <c r="FB27" s="864"/>
      <c r="FC27" s="864"/>
      <c r="FD27" s="864"/>
      <c r="FE27" s="945">
        <v>11.814</v>
      </c>
      <c r="FF27" s="864"/>
      <c r="FG27" s="864"/>
      <c r="FH27" s="864"/>
      <c r="FI27" s="864"/>
      <c r="FJ27" s="864"/>
      <c r="FK27" s="943">
        <v>0.73741900000000005</v>
      </c>
      <c r="FL27" s="943">
        <v>1.01</v>
      </c>
      <c r="FM27" s="945">
        <v>2.4580000000000002</v>
      </c>
      <c r="FN27" s="945">
        <v>2.6360000000000001</v>
      </c>
      <c r="FO27" s="945">
        <v>2.4</v>
      </c>
      <c r="FP27" s="945">
        <v>5</v>
      </c>
      <c r="FQ27" s="945">
        <v>1.35</v>
      </c>
      <c r="FR27" s="864"/>
      <c r="FS27" s="864"/>
      <c r="FT27" s="864"/>
      <c r="FU27" s="864"/>
      <c r="FV27" s="864"/>
      <c r="FW27" s="864"/>
      <c r="FX27" s="864"/>
      <c r="FY27" s="864"/>
      <c r="FZ27" s="864"/>
      <c r="GA27" s="945">
        <v>2.39</v>
      </c>
      <c r="GB27" s="945">
        <v>1.228</v>
      </c>
      <c r="GC27" s="945"/>
      <c r="GD27" s="945">
        <v>1.1299999999999999</v>
      </c>
      <c r="GE27" s="945">
        <v>0.21429999999999999</v>
      </c>
      <c r="GF27" s="945">
        <v>12</v>
      </c>
      <c r="GG27" s="945">
        <v>18.436</v>
      </c>
      <c r="GH27" s="864"/>
      <c r="GI27" s="864"/>
      <c r="GJ27" s="864"/>
      <c r="GK27" s="864"/>
      <c r="GL27" s="864"/>
      <c r="GM27" s="864"/>
      <c r="GN27" s="864"/>
      <c r="GO27" s="950">
        <v>1.4550000000000001</v>
      </c>
      <c r="GP27" s="951">
        <v>1.7350000000000001</v>
      </c>
      <c r="GQ27" s="952">
        <v>7.22</v>
      </c>
      <c r="GR27" s="864"/>
      <c r="GS27" s="864"/>
      <c r="GT27" s="864"/>
      <c r="GU27" s="864"/>
      <c r="GV27" s="864"/>
      <c r="GW27" s="864"/>
      <c r="GX27" s="864"/>
      <c r="GY27" s="864"/>
      <c r="GZ27" s="864"/>
      <c r="HA27" s="864"/>
      <c r="HB27" s="864"/>
      <c r="HC27" s="864"/>
      <c r="HD27" s="864"/>
      <c r="HE27" s="946">
        <v>9.5</v>
      </c>
      <c r="HF27" s="943">
        <v>18.672999999999998</v>
      </c>
      <c r="HG27" s="864"/>
      <c r="HH27" s="949">
        <v>13.789</v>
      </c>
      <c r="HI27" s="945">
        <v>10.446999999999999</v>
      </c>
      <c r="HJ27" s="945">
        <v>0.29299999999999998</v>
      </c>
      <c r="HK27" s="949">
        <v>0.22500000000000001</v>
      </c>
      <c r="HL27" s="864"/>
      <c r="HM27" s="864"/>
      <c r="HN27" s="864"/>
      <c r="HO27" s="953">
        <v>0.40899999999999997</v>
      </c>
      <c r="HP27" s="943">
        <v>2</v>
      </c>
      <c r="HQ27" s="943">
        <v>3.6999999999999998E-2</v>
      </c>
      <c r="HR27" s="947">
        <v>4.3900000000000002E-2</v>
      </c>
      <c r="HS27" s="943">
        <v>0.996</v>
      </c>
      <c r="HT27" s="943">
        <v>9.5000000000000001E-2</v>
      </c>
      <c r="HU27" s="943">
        <v>2.5000000000000001E-2</v>
      </c>
      <c r="HV27" s="943">
        <v>0.1</v>
      </c>
      <c r="HW27" s="943">
        <v>0.02</v>
      </c>
      <c r="HX27" s="945">
        <v>0.3</v>
      </c>
      <c r="HY27" s="945">
        <v>0.2296</v>
      </c>
      <c r="HZ27" s="945">
        <v>0.3</v>
      </c>
      <c r="IA27" s="945">
        <v>0.24</v>
      </c>
      <c r="IB27" s="945">
        <v>0.5</v>
      </c>
      <c r="IC27" s="945">
        <v>0.27100000000000002</v>
      </c>
      <c r="ID27" s="945">
        <v>0.3</v>
      </c>
      <c r="IE27" s="945">
        <v>0.08</v>
      </c>
      <c r="IF27" s="943">
        <v>0.01</v>
      </c>
      <c r="IG27" s="947">
        <v>0.42099999999999999</v>
      </c>
      <c r="IH27" s="945">
        <v>0.35299999999999998</v>
      </c>
      <c r="II27" s="945">
        <v>1.093</v>
      </c>
      <c r="IJ27" s="947">
        <v>0.73899999999999999</v>
      </c>
      <c r="IK27" s="943">
        <v>7.0000000000000001E-3</v>
      </c>
      <c r="IL27" s="946">
        <v>23.556999999999999</v>
      </c>
      <c r="IM27" s="945">
        <v>0.159</v>
      </c>
      <c r="IN27" s="945">
        <v>0.4</v>
      </c>
      <c r="IO27" s="864"/>
      <c r="IP27" s="864"/>
      <c r="IQ27" s="864"/>
      <c r="IR27" s="947">
        <f>559.3/1000</f>
        <v>0.55929999999999991</v>
      </c>
      <c r="IS27" s="945">
        <v>0.92300000000000004</v>
      </c>
      <c r="IT27" s="945">
        <f>IT31+IT36</f>
        <v>60.167730030000001</v>
      </c>
      <c r="IU27" s="946">
        <v>3.9</v>
      </c>
      <c r="IV27" s="945">
        <f>IV31+IV34+IV45</f>
        <v>23.885000000000002</v>
      </c>
      <c r="IW27" s="954">
        <v>8.2899999999999991</v>
      </c>
      <c r="IX27" s="955">
        <v>16.760000000000002</v>
      </c>
      <c r="IY27" s="956">
        <v>9.25</v>
      </c>
      <c r="IZ27" s="957">
        <v>15</v>
      </c>
      <c r="JA27" s="945">
        <v>22.186</v>
      </c>
      <c r="JB27" s="945">
        <v>18.295000000000002</v>
      </c>
      <c r="JC27" s="945">
        <v>0.59</v>
      </c>
      <c r="JD27" s="945">
        <v>6.5750000000000002</v>
      </c>
      <c r="JE27" s="945">
        <f>52022.9/1000</f>
        <v>52.0229</v>
      </c>
      <c r="JF27" s="949">
        <v>35.408999999999999</v>
      </c>
      <c r="JG27" s="945">
        <v>3.4</v>
      </c>
      <c r="JH27" s="945">
        <v>1.4</v>
      </c>
      <c r="JI27" s="945">
        <v>3.2610000000000001</v>
      </c>
      <c r="JJ27" s="945">
        <v>4.6580000000000004</v>
      </c>
      <c r="JK27" s="945">
        <v>1.335</v>
      </c>
      <c r="JL27" s="945">
        <v>1.36</v>
      </c>
      <c r="JM27" s="945">
        <v>1.333</v>
      </c>
      <c r="JN27" s="945">
        <v>0.40100000000000002</v>
      </c>
      <c r="JO27" s="945">
        <v>0.25</v>
      </c>
      <c r="JP27" s="945">
        <v>1.3340000000000001</v>
      </c>
      <c r="JQ27" s="949">
        <v>0.5</v>
      </c>
      <c r="JR27" s="945"/>
      <c r="JS27" s="945">
        <v>0.70171300000000003</v>
      </c>
      <c r="JT27" s="945">
        <v>1.482</v>
      </c>
      <c r="JU27" s="945">
        <v>0.173348</v>
      </c>
      <c r="JV27" s="945">
        <v>0.12</v>
      </c>
      <c r="JW27" s="945">
        <v>3.3069639999999998</v>
      </c>
      <c r="JX27" s="945">
        <v>0.41</v>
      </c>
      <c r="JY27" s="945">
        <v>1.69</v>
      </c>
      <c r="JZ27" s="945">
        <v>2.3769999999999998</v>
      </c>
      <c r="KA27" s="945">
        <f>(5389242.09+63599.99)/1000000</f>
        <v>5.4528420799999999</v>
      </c>
      <c r="KB27" s="945">
        <v>18.276135</v>
      </c>
      <c r="KC27" s="945">
        <v>0.25</v>
      </c>
      <c r="KD27" s="945">
        <v>0.505</v>
      </c>
      <c r="KE27" s="947">
        <f>539.9/1000</f>
        <v>0.53989999999999994</v>
      </c>
      <c r="KF27" s="947">
        <v>1.4985599999999999</v>
      </c>
      <c r="KG27" s="947">
        <f>630.96/1000</f>
        <v>0.63096000000000008</v>
      </c>
      <c r="KH27" s="947">
        <f>300/1000</f>
        <v>0.3</v>
      </c>
      <c r="KI27" s="947">
        <f>151.1/1000</f>
        <v>0.15109999999999998</v>
      </c>
      <c r="KJ27" s="947">
        <f>303.56/1000</f>
        <v>0.30356</v>
      </c>
      <c r="KK27" s="947">
        <f>351.54/1000</f>
        <v>0.35154000000000002</v>
      </c>
      <c r="KL27" s="945">
        <v>1.8</v>
      </c>
      <c r="KM27" s="864"/>
      <c r="KN27" s="864"/>
      <c r="KO27" s="864"/>
      <c r="KP27" s="864"/>
      <c r="KQ27" s="864"/>
      <c r="KR27" s="945">
        <v>5.524</v>
      </c>
      <c r="KS27" s="864"/>
      <c r="KT27" s="957">
        <v>0.63</v>
      </c>
      <c r="KU27" s="864"/>
      <c r="KV27" s="945">
        <v>8.4269999999999996</v>
      </c>
      <c r="KW27" s="945">
        <v>12.387</v>
      </c>
      <c r="KX27" s="945">
        <v>8.7989999999999995</v>
      </c>
      <c r="KY27" s="858">
        <v>42.7</v>
      </c>
      <c r="KZ27" s="945">
        <v>12.372824</v>
      </c>
      <c r="LA27" s="945">
        <v>161.839</v>
      </c>
      <c r="LB27" s="945">
        <v>15.471</v>
      </c>
      <c r="LC27" s="945">
        <v>3.732993</v>
      </c>
      <c r="LD27" s="945">
        <v>0.52900000000000003</v>
      </c>
      <c r="LE27" s="945">
        <v>0.222</v>
      </c>
      <c r="LF27" s="949">
        <v>3.7440000000000002</v>
      </c>
      <c r="LG27" s="949">
        <v>0.151</v>
      </c>
      <c r="LH27" s="949">
        <v>0.19900000000000001</v>
      </c>
      <c r="LI27" s="949">
        <v>0.18024999999999999</v>
      </c>
      <c r="LJ27" s="949">
        <v>0.34279999999999999</v>
      </c>
      <c r="LK27" s="949">
        <v>0.19500000000000001</v>
      </c>
      <c r="LL27" s="949">
        <v>0.15</v>
      </c>
      <c r="LM27" s="949">
        <v>0.15</v>
      </c>
      <c r="LN27" s="949">
        <v>4.5042010000000001</v>
      </c>
      <c r="LO27" s="949">
        <v>9.9000000000000005E-2</v>
      </c>
      <c r="LP27" s="949">
        <v>3.2719999999999998</v>
      </c>
      <c r="LQ27" s="949">
        <v>2.85825</v>
      </c>
      <c r="LR27" s="949">
        <v>19.188423</v>
      </c>
      <c r="LS27" s="949">
        <v>1.5</v>
      </c>
      <c r="LT27" s="949">
        <v>0.5</v>
      </c>
      <c r="LU27" s="949">
        <v>1</v>
      </c>
      <c r="LV27" s="949">
        <v>0.5</v>
      </c>
      <c r="LW27" s="949">
        <v>0.93300000000000005</v>
      </c>
      <c r="LX27" s="949">
        <v>0.49275000000000002</v>
      </c>
      <c r="LY27" s="949">
        <v>0.497</v>
      </c>
    </row>
    <row r="28" spans="1:337" ht="16.5" thickBot="1" x14ac:dyDescent="0.3">
      <c r="A28" s="348"/>
      <c r="B28" s="352"/>
      <c r="C28" s="350"/>
      <c r="D28" s="351"/>
      <c r="E28" s="838"/>
      <c r="F28" s="863"/>
      <c r="G28" s="863"/>
      <c r="H28" s="864"/>
      <c r="I28" s="864"/>
      <c r="J28" s="864"/>
      <c r="K28" s="864"/>
      <c r="L28" s="864"/>
      <c r="M28" s="864"/>
      <c r="N28" s="852"/>
      <c r="O28" s="864"/>
      <c r="P28" s="864"/>
      <c r="Q28" s="864"/>
      <c r="R28" s="864"/>
      <c r="S28" s="864"/>
      <c r="T28" s="864"/>
      <c r="U28" s="864"/>
      <c r="V28" s="945"/>
      <c r="W28" s="945"/>
      <c r="X28" s="945"/>
      <c r="Y28" s="945"/>
      <c r="Z28" s="945"/>
      <c r="AA28" s="864"/>
      <c r="AB28" s="864"/>
      <c r="AC28" s="864"/>
      <c r="AD28" s="864"/>
      <c r="AE28" s="864"/>
      <c r="AF28" s="864"/>
      <c r="AG28" s="864"/>
      <c r="AH28" s="864"/>
      <c r="AI28" s="864"/>
      <c r="AJ28" s="864"/>
      <c r="AK28" s="864"/>
      <c r="AL28" s="864"/>
      <c r="AM28" s="864"/>
      <c r="AN28" s="864"/>
      <c r="AO28" s="864"/>
      <c r="AP28" s="864"/>
      <c r="AQ28" s="864"/>
      <c r="AR28" s="864"/>
      <c r="AS28" s="864"/>
      <c r="AT28" s="864"/>
      <c r="AU28" s="864"/>
      <c r="AV28" s="945"/>
      <c r="AW28" s="945"/>
      <c r="AX28" s="864"/>
      <c r="AY28" s="864"/>
      <c r="AZ28" s="864"/>
      <c r="BA28" s="852"/>
      <c r="BB28" s="946"/>
      <c r="BC28" s="945"/>
      <c r="BD28" s="855"/>
      <c r="BE28" s="864"/>
      <c r="BF28" s="864"/>
      <c r="BG28" s="864"/>
      <c r="BH28" s="864"/>
      <c r="BI28" s="864"/>
      <c r="BJ28" s="864"/>
      <c r="BK28" s="864"/>
      <c r="BL28" s="864"/>
      <c r="BM28" s="864"/>
      <c r="BN28" s="864"/>
      <c r="BO28" s="864"/>
      <c r="BP28" s="864"/>
      <c r="BQ28" s="864"/>
      <c r="BR28" s="864"/>
      <c r="BS28" s="864"/>
      <c r="BT28" s="945"/>
      <c r="BU28" s="945"/>
      <c r="BV28" s="945"/>
      <c r="BW28" s="945"/>
      <c r="BX28" s="864"/>
      <c r="BY28" s="864"/>
      <c r="BZ28" s="864"/>
      <c r="CA28" s="864"/>
      <c r="CB28" s="864"/>
      <c r="CC28" s="947"/>
      <c r="CD28" s="864"/>
      <c r="CE28" s="864"/>
      <c r="CF28" s="864"/>
      <c r="CG28" s="864"/>
      <c r="CH28" s="864"/>
      <c r="CI28" s="864"/>
      <c r="CJ28" s="864"/>
      <c r="CK28" s="945"/>
      <c r="CL28" s="945"/>
      <c r="CM28" s="864"/>
      <c r="CN28" s="864"/>
      <c r="CO28" s="864"/>
      <c r="CP28" s="864"/>
      <c r="CQ28" s="864"/>
      <c r="CR28" s="864"/>
      <c r="CS28" s="864"/>
      <c r="CT28" s="864"/>
      <c r="CU28" s="864"/>
      <c r="CV28" s="864"/>
      <c r="CW28" s="864"/>
      <c r="CX28" s="864"/>
      <c r="CY28" s="864"/>
      <c r="CZ28" s="864"/>
      <c r="DA28" s="864"/>
      <c r="DB28" s="864"/>
      <c r="DC28" s="864"/>
      <c r="DD28" s="864"/>
      <c r="DE28" s="864"/>
      <c r="DF28" s="945"/>
      <c r="DG28" s="864"/>
      <c r="DH28" s="945"/>
      <c r="DI28" s="945"/>
      <c r="DJ28" s="945"/>
      <c r="DK28" s="945"/>
      <c r="DL28" s="945"/>
      <c r="DM28" s="945"/>
      <c r="DN28" s="864"/>
      <c r="DO28" s="864"/>
      <c r="DP28" s="948"/>
      <c r="DQ28" s="864"/>
      <c r="DR28" s="864"/>
      <c r="DS28" s="864"/>
      <c r="DT28" s="864"/>
      <c r="DU28" s="864"/>
      <c r="DV28" s="864"/>
      <c r="DW28" s="864"/>
      <c r="DX28" s="864"/>
      <c r="DY28" s="864"/>
      <c r="DZ28" s="864"/>
      <c r="EA28" s="864"/>
      <c r="EB28" s="864"/>
      <c r="EC28" s="864"/>
      <c r="ED28" s="864"/>
      <c r="EE28" s="864"/>
      <c r="EF28" s="945"/>
      <c r="EG28" s="945"/>
      <c r="EH28" s="945"/>
      <c r="EI28" s="855"/>
      <c r="EJ28" s="949"/>
      <c r="EK28" s="949"/>
      <c r="EL28" s="949"/>
      <c r="EM28" s="949"/>
      <c r="EN28" s="949"/>
      <c r="EO28" s="949"/>
      <c r="EP28" s="949"/>
      <c r="EQ28" s="949"/>
      <c r="ER28" s="949"/>
      <c r="ES28" s="949"/>
      <c r="ET28" s="949"/>
      <c r="EU28" s="864"/>
      <c r="EV28" s="864"/>
      <c r="EW28" s="945"/>
      <c r="EX28" s="864"/>
      <c r="EY28" s="864"/>
      <c r="EZ28" s="864"/>
      <c r="FA28" s="864"/>
      <c r="FB28" s="864"/>
      <c r="FC28" s="864"/>
      <c r="FD28" s="864"/>
      <c r="FE28" s="945"/>
      <c r="FF28" s="864"/>
      <c r="FG28" s="864"/>
      <c r="FH28" s="864"/>
      <c r="FI28" s="864"/>
      <c r="FJ28" s="864"/>
      <c r="FK28" s="943"/>
      <c r="FL28" s="943"/>
      <c r="FM28" s="945"/>
      <c r="FN28" s="945"/>
      <c r="FO28" s="945"/>
      <c r="FP28" s="945"/>
      <c r="FQ28" s="945"/>
      <c r="FR28" s="864"/>
      <c r="FS28" s="864"/>
      <c r="FT28" s="864"/>
      <c r="FU28" s="864"/>
      <c r="FV28" s="864"/>
      <c r="FW28" s="864"/>
      <c r="FX28" s="864"/>
      <c r="FY28" s="864"/>
      <c r="FZ28" s="864"/>
      <c r="GA28" s="945"/>
      <c r="GB28" s="945"/>
      <c r="GC28" s="945"/>
      <c r="GD28" s="945"/>
      <c r="GE28" s="945"/>
      <c r="GF28" s="945"/>
      <c r="GG28" s="945"/>
      <c r="GH28" s="864"/>
      <c r="GI28" s="864"/>
      <c r="GJ28" s="864"/>
      <c r="GK28" s="864"/>
      <c r="GL28" s="864"/>
      <c r="GM28" s="864"/>
      <c r="GN28" s="864"/>
      <c r="GO28" s="950"/>
      <c r="GP28" s="951"/>
      <c r="GQ28" s="952"/>
      <c r="GR28" s="864"/>
      <c r="GS28" s="864"/>
      <c r="GT28" s="864"/>
      <c r="GU28" s="864"/>
      <c r="GV28" s="864"/>
      <c r="GW28" s="864"/>
      <c r="GX28" s="864"/>
      <c r="GY28" s="864"/>
      <c r="GZ28" s="864"/>
      <c r="HA28" s="864"/>
      <c r="HB28" s="864"/>
      <c r="HC28" s="864"/>
      <c r="HD28" s="864"/>
      <c r="HE28" s="946"/>
      <c r="HF28" s="943"/>
      <c r="HG28" s="864"/>
      <c r="HH28" s="949"/>
      <c r="HI28" s="945"/>
      <c r="HJ28" s="945"/>
      <c r="HK28" s="949"/>
      <c r="HL28" s="864"/>
      <c r="HM28" s="864"/>
      <c r="HN28" s="864"/>
      <c r="HO28" s="953"/>
      <c r="HP28" s="943"/>
      <c r="HQ28" s="943"/>
      <c r="HR28" s="947"/>
      <c r="HS28" s="943"/>
      <c r="HT28" s="943"/>
      <c r="HU28" s="943"/>
      <c r="HV28" s="943"/>
      <c r="HW28" s="943"/>
      <c r="HX28" s="945"/>
      <c r="HY28" s="945"/>
      <c r="HZ28" s="945"/>
      <c r="IA28" s="945"/>
      <c r="IB28" s="945"/>
      <c r="IC28" s="945"/>
      <c r="ID28" s="945"/>
      <c r="IE28" s="945"/>
      <c r="IF28" s="943"/>
      <c r="IG28" s="947"/>
      <c r="IH28" s="945"/>
      <c r="II28" s="945"/>
      <c r="IJ28" s="947"/>
      <c r="IK28" s="943"/>
      <c r="IL28" s="946"/>
      <c r="IM28" s="945"/>
      <c r="IN28" s="945"/>
      <c r="IO28" s="864"/>
      <c r="IP28" s="864"/>
      <c r="IQ28" s="864"/>
      <c r="IR28" s="947"/>
      <c r="IS28" s="945"/>
      <c r="IT28" s="945"/>
      <c r="IU28" s="946"/>
      <c r="IV28" s="945"/>
      <c r="IW28" s="954"/>
      <c r="IX28" s="955"/>
      <c r="IY28" s="956"/>
      <c r="IZ28" s="957"/>
      <c r="JA28" s="945"/>
      <c r="JB28" s="945"/>
      <c r="JC28" s="945"/>
      <c r="JD28" s="945"/>
      <c r="JE28" s="945"/>
      <c r="JF28" s="949"/>
      <c r="JG28" s="945"/>
      <c r="JH28" s="945"/>
      <c r="JI28" s="945"/>
      <c r="JJ28" s="945"/>
      <c r="JK28" s="945"/>
      <c r="JL28" s="945"/>
      <c r="JM28" s="945"/>
      <c r="JN28" s="945"/>
      <c r="JO28" s="945"/>
      <c r="JP28" s="945"/>
      <c r="JQ28" s="949"/>
      <c r="JR28" s="945"/>
      <c r="JS28" s="945"/>
      <c r="JT28" s="945"/>
      <c r="JU28" s="945"/>
      <c r="JV28" s="945"/>
      <c r="JW28" s="945"/>
      <c r="JX28" s="945"/>
      <c r="JY28" s="945"/>
      <c r="JZ28" s="945"/>
      <c r="KA28" s="945"/>
      <c r="KB28" s="945"/>
      <c r="KC28" s="945"/>
      <c r="KD28" s="945"/>
      <c r="KE28" s="947"/>
      <c r="KF28" s="947"/>
      <c r="KG28" s="947"/>
      <c r="KH28" s="947"/>
      <c r="KI28" s="947"/>
      <c r="KJ28" s="947"/>
      <c r="KK28" s="947"/>
      <c r="KL28" s="945"/>
      <c r="KM28" s="864"/>
      <c r="KN28" s="864"/>
      <c r="KO28" s="864"/>
      <c r="KP28" s="864"/>
      <c r="KQ28" s="864"/>
      <c r="KR28" s="945"/>
      <c r="KS28" s="864"/>
      <c r="KT28" s="957"/>
      <c r="KU28" s="864"/>
      <c r="KV28" s="945"/>
      <c r="KW28" s="945"/>
      <c r="KX28" s="945"/>
      <c r="KY28" s="858"/>
      <c r="KZ28" s="945"/>
      <c r="LA28" s="945"/>
      <c r="LB28" s="945"/>
      <c r="LC28" s="945"/>
      <c r="LD28" s="945"/>
      <c r="LE28" s="945"/>
      <c r="LF28" s="949"/>
      <c r="LG28" s="949"/>
      <c r="LH28" s="949"/>
      <c r="LI28" s="949"/>
      <c r="LJ28" s="949"/>
      <c r="LK28" s="949"/>
      <c r="LL28" s="949"/>
      <c r="LM28" s="949"/>
      <c r="LN28" s="949"/>
      <c r="LO28" s="949"/>
      <c r="LP28" s="949"/>
      <c r="LQ28" s="949"/>
      <c r="LR28" s="949"/>
      <c r="LS28" s="949"/>
      <c r="LT28" s="949"/>
      <c r="LU28" s="949"/>
      <c r="LV28" s="949"/>
      <c r="LW28" s="949"/>
      <c r="LX28" s="949"/>
      <c r="LY28" s="949"/>
    </row>
    <row r="29" spans="1:337" ht="16.5" thickBot="1" x14ac:dyDescent="0.3">
      <c r="A29" s="348"/>
      <c r="B29" s="352"/>
      <c r="C29" s="350"/>
      <c r="D29" s="351"/>
      <c r="E29" s="838"/>
      <c r="F29" s="863"/>
      <c r="G29" s="863"/>
      <c r="H29" s="864"/>
      <c r="I29" s="864"/>
      <c r="J29" s="864"/>
      <c r="K29" s="864"/>
      <c r="L29" s="864"/>
      <c r="M29" s="864"/>
      <c r="N29" s="852"/>
      <c r="O29" s="864"/>
      <c r="P29" s="864"/>
      <c r="Q29" s="864"/>
      <c r="R29" s="864"/>
      <c r="S29" s="864"/>
      <c r="T29" s="864"/>
      <c r="U29" s="864"/>
      <c r="V29" s="945"/>
      <c r="W29" s="945"/>
      <c r="X29" s="945"/>
      <c r="Y29" s="945"/>
      <c r="Z29" s="945"/>
      <c r="AA29" s="864"/>
      <c r="AB29" s="864"/>
      <c r="AC29" s="864"/>
      <c r="AD29" s="864"/>
      <c r="AE29" s="864"/>
      <c r="AF29" s="864"/>
      <c r="AG29" s="864"/>
      <c r="AH29" s="864"/>
      <c r="AI29" s="864"/>
      <c r="AJ29" s="864"/>
      <c r="AK29" s="864"/>
      <c r="AL29" s="864"/>
      <c r="AM29" s="864"/>
      <c r="AN29" s="864"/>
      <c r="AO29" s="864"/>
      <c r="AP29" s="864"/>
      <c r="AQ29" s="864"/>
      <c r="AR29" s="864"/>
      <c r="AS29" s="864"/>
      <c r="AT29" s="864"/>
      <c r="AU29" s="864"/>
      <c r="AV29" s="945"/>
      <c r="AW29" s="945"/>
      <c r="AX29" s="864"/>
      <c r="AY29" s="864"/>
      <c r="AZ29" s="864"/>
      <c r="BA29" s="852"/>
      <c r="BB29" s="946"/>
      <c r="BC29" s="945"/>
      <c r="BD29" s="855"/>
      <c r="BE29" s="864"/>
      <c r="BF29" s="864"/>
      <c r="BG29" s="864"/>
      <c r="BH29" s="864"/>
      <c r="BI29" s="864"/>
      <c r="BJ29" s="864"/>
      <c r="BK29" s="864"/>
      <c r="BL29" s="864"/>
      <c r="BM29" s="864"/>
      <c r="BN29" s="864"/>
      <c r="BO29" s="864"/>
      <c r="BP29" s="864"/>
      <c r="BQ29" s="864"/>
      <c r="BR29" s="864"/>
      <c r="BS29" s="864"/>
      <c r="BT29" s="945"/>
      <c r="BU29" s="945"/>
      <c r="BV29" s="945"/>
      <c r="BW29" s="945"/>
      <c r="BX29" s="864"/>
      <c r="BY29" s="864"/>
      <c r="BZ29" s="864"/>
      <c r="CA29" s="864"/>
      <c r="CB29" s="864"/>
      <c r="CC29" s="947"/>
      <c r="CD29" s="864"/>
      <c r="CE29" s="864"/>
      <c r="CF29" s="864"/>
      <c r="CG29" s="864"/>
      <c r="CH29" s="864"/>
      <c r="CI29" s="864"/>
      <c r="CJ29" s="864"/>
      <c r="CK29" s="945"/>
      <c r="CL29" s="945"/>
      <c r="CM29" s="864"/>
      <c r="CN29" s="864"/>
      <c r="CO29" s="864"/>
      <c r="CP29" s="864"/>
      <c r="CQ29" s="864"/>
      <c r="CR29" s="864"/>
      <c r="CS29" s="864"/>
      <c r="CT29" s="864"/>
      <c r="CU29" s="864"/>
      <c r="CV29" s="864"/>
      <c r="CW29" s="864"/>
      <c r="CX29" s="864"/>
      <c r="CY29" s="864"/>
      <c r="CZ29" s="864"/>
      <c r="DA29" s="864"/>
      <c r="DB29" s="864"/>
      <c r="DC29" s="864"/>
      <c r="DD29" s="864"/>
      <c r="DE29" s="864"/>
      <c r="DF29" s="945"/>
      <c r="DG29" s="864"/>
      <c r="DH29" s="945"/>
      <c r="DI29" s="945"/>
      <c r="DJ29" s="945"/>
      <c r="DK29" s="945"/>
      <c r="DL29" s="945"/>
      <c r="DM29" s="945"/>
      <c r="DN29" s="864"/>
      <c r="DO29" s="864"/>
      <c r="DP29" s="948"/>
      <c r="DQ29" s="864"/>
      <c r="DR29" s="864"/>
      <c r="DS29" s="864"/>
      <c r="DT29" s="864"/>
      <c r="DU29" s="864"/>
      <c r="DV29" s="864"/>
      <c r="DW29" s="864"/>
      <c r="DX29" s="864"/>
      <c r="DY29" s="864"/>
      <c r="DZ29" s="864"/>
      <c r="EA29" s="864"/>
      <c r="EB29" s="864"/>
      <c r="EC29" s="864"/>
      <c r="ED29" s="864"/>
      <c r="EE29" s="864"/>
      <c r="EF29" s="945"/>
      <c r="EG29" s="945"/>
      <c r="EH29" s="945"/>
      <c r="EI29" s="855"/>
      <c r="EJ29" s="949"/>
      <c r="EK29" s="949"/>
      <c r="EL29" s="949"/>
      <c r="EM29" s="949"/>
      <c r="EN29" s="949"/>
      <c r="EO29" s="949"/>
      <c r="EP29" s="949"/>
      <c r="EQ29" s="949"/>
      <c r="ER29" s="949"/>
      <c r="ES29" s="949"/>
      <c r="ET29" s="949"/>
      <c r="EU29" s="864"/>
      <c r="EV29" s="864"/>
      <c r="EW29" s="945"/>
      <c r="EX29" s="864"/>
      <c r="EY29" s="864"/>
      <c r="EZ29" s="864"/>
      <c r="FA29" s="864"/>
      <c r="FB29" s="864"/>
      <c r="FC29" s="864"/>
      <c r="FD29" s="864"/>
      <c r="FE29" s="945"/>
      <c r="FF29" s="864"/>
      <c r="FG29" s="864"/>
      <c r="FH29" s="864"/>
      <c r="FI29" s="864"/>
      <c r="FJ29" s="864"/>
      <c r="FK29" s="943"/>
      <c r="FL29" s="943"/>
      <c r="FM29" s="945"/>
      <c r="FN29" s="945"/>
      <c r="FO29" s="945"/>
      <c r="FP29" s="945"/>
      <c r="FQ29" s="945"/>
      <c r="FR29" s="864"/>
      <c r="FS29" s="864"/>
      <c r="FT29" s="864"/>
      <c r="FU29" s="864"/>
      <c r="FV29" s="864"/>
      <c r="FW29" s="864"/>
      <c r="FX29" s="864"/>
      <c r="FY29" s="864"/>
      <c r="FZ29" s="864"/>
      <c r="GA29" s="945"/>
      <c r="GB29" s="945"/>
      <c r="GC29" s="945"/>
      <c r="GD29" s="945"/>
      <c r="GE29" s="945"/>
      <c r="GF29" s="945"/>
      <c r="GG29" s="945"/>
      <c r="GH29" s="864"/>
      <c r="GI29" s="864"/>
      <c r="GJ29" s="864"/>
      <c r="GK29" s="864"/>
      <c r="GL29" s="864"/>
      <c r="GM29" s="864"/>
      <c r="GN29" s="864"/>
      <c r="GO29" s="950"/>
      <c r="GP29" s="951"/>
      <c r="GQ29" s="952"/>
      <c r="GR29" s="864"/>
      <c r="GS29" s="864"/>
      <c r="GT29" s="864"/>
      <c r="GU29" s="864"/>
      <c r="GV29" s="864"/>
      <c r="GW29" s="864"/>
      <c r="GX29" s="864"/>
      <c r="GY29" s="864"/>
      <c r="GZ29" s="864"/>
      <c r="HA29" s="864"/>
      <c r="HB29" s="864"/>
      <c r="HC29" s="864"/>
      <c r="HD29" s="864"/>
      <c r="HE29" s="946"/>
      <c r="HF29" s="943"/>
      <c r="HG29" s="864"/>
      <c r="HH29" s="949"/>
      <c r="HI29" s="945"/>
      <c r="HJ29" s="945"/>
      <c r="HK29" s="949"/>
      <c r="HL29" s="864"/>
      <c r="HM29" s="864"/>
      <c r="HN29" s="864"/>
      <c r="HO29" s="953"/>
      <c r="HP29" s="943"/>
      <c r="HQ29" s="943"/>
      <c r="HR29" s="947"/>
      <c r="HS29" s="943"/>
      <c r="HT29" s="943"/>
      <c r="HU29" s="943"/>
      <c r="HV29" s="943"/>
      <c r="HW29" s="943"/>
      <c r="HX29" s="945"/>
      <c r="HY29" s="945"/>
      <c r="HZ29" s="945"/>
      <c r="IA29" s="945"/>
      <c r="IB29" s="945"/>
      <c r="IC29" s="945"/>
      <c r="ID29" s="945"/>
      <c r="IE29" s="945"/>
      <c r="IF29" s="943"/>
      <c r="IG29" s="947"/>
      <c r="IH29" s="945"/>
      <c r="II29" s="945"/>
      <c r="IJ29" s="947"/>
      <c r="IK29" s="943"/>
      <c r="IL29" s="946"/>
      <c r="IM29" s="945"/>
      <c r="IN29" s="945"/>
      <c r="IO29" s="864"/>
      <c r="IP29" s="864"/>
      <c r="IQ29" s="864"/>
      <c r="IR29" s="947"/>
      <c r="IS29" s="945"/>
      <c r="IT29" s="945"/>
      <c r="IU29" s="946"/>
      <c r="IV29" s="945"/>
      <c r="IW29" s="954"/>
      <c r="IX29" s="955"/>
      <c r="IY29" s="956"/>
      <c r="IZ29" s="957"/>
      <c r="JA29" s="945"/>
      <c r="JB29" s="945"/>
      <c r="JC29" s="945"/>
      <c r="JD29" s="945"/>
      <c r="JE29" s="945"/>
      <c r="JF29" s="949"/>
      <c r="JG29" s="945"/>
      <c r="JH29" s="945"/>
      <c r="JI29" s="945"/>
      <c r="JJ29" s="945"/>
      <c r="JK29" s="945"/>
      <c r="JL29" s="945"/>
      <c r="JM29" s="945"/>
      <c r="JN29" s="945"/>
      <c r="JO29" s="945"/>
      <c r="JP29" s="945"/>
      <c r="JQ29" s="949"/>
      <c r="JR29" s="945"/>
      <c r="JS29" s="945"/>
      <c r="JT29" s="945"/>
      <c r="JU29" s="945"/>
      <c r="JV29" s="945"/>
      <c r="JW29" s="945"/>
      <c r="JX29" s="945"/>
      <c r="JY29" s="945"/>
      <c r="JZ29" s="945"/>
      <c r="KA29" s="945"/>
      <c r="KB29" s="945"/>
      <c r="KC29" s="945"/>
      <c r="KD29" s="945"/>
      <c r="KE29" s="947"/>
      <c r="KF29" s="947"/>
      <c r="KG29" s="947"/>
      <c r="KH29" s="947"/>
      <c r="KI29" s="947"/>
      <c r="KJ29" s="947"/>
      <c r="KK29" s="947"/>
      <c r="KL29" s="945"/>
      <c r="KM29" s="864"/>
      <c r="KN29" s="864"/>
      <c r="KO29" s="864"/>
      <c r="KP29" s="864"/>
      <c r="KQ29" s="864"/>
      <c r="KR29" s="945"/>
      <c r="KS29" s="864"/>
      <c r="KT29" s="957"/>
      <c r="KU29" s="864"/>
      <c r="KV29" s="945"/>
      <c r="KW29" s="945"/>
      <c r="KX29" s="945"/>
      <c r="KY29" s="858"/>
      <c r="KZ29" s="945"/>
      <c r="LA29" s="945"/>
      <c r="LB29" s="945"/>
      <c r="LC29" s="945"/>
      <c r="LD29" s="945"/>
      <c r="LE29" s="945"/>
      <c r="LF29" s="949"/>
      <c r="LG29" s="949"/>
      <c r="LH29" s="949"/>
      <c r="LI29" s="949"/>
      <c r="LJ29" s="949"/>
      <c r="LK29" s="949"/>
      <c r="LL29" s="949"/>
      <c r="LM29" s="949"/>
      <c r="LN29" s="949"/>
      <c r="LO29" s="949"/>
      <c r="LP29" s="949"/>
      <c r="LQ29" s="949"/>
      <c r="LR29" s="949"/>
      <c r="LS29" s="949"/>
      <c r="LT29" s="949"/>
      <c r="LU29" s="949"/>
      <c r="LV29" s="949"/>
      <c r="LW29" s="949"/>
      <c r="LX29" s="949"/>
      <c r="LY29" s="949"/>
    </row>
    <row r="30" spans="1:337" ht="16.5" thickBot="1" x14ac:dyDescent="0.3">
      <c r="A30" s="348"/>
      <c r="B30" s="352"/>
      <c r="C30" s="350"/>
      <c r="D30" s="351"/>
      <c r="E30" s="838"/>
      <c r="F30" s="863"/>
      <c r="G30" s="863"/>
      <c r="H30" s="864"/>
      <c r="I30" s="864"/>
      <c r="J30" s="864"/>
      <c r="K30" s="864"/>
      <c r="L30" s="864"/>
      <c r="M30" s="864"/>
      <c r="N30" s="852"/>
      <c r="O30" s="864"/>
      <c r="P30" s="864"/>
      <c r="Q30" s="864"/>
      <c r="R30" s="864"/>
      <c r="S30" s="864"/>
      <c r="T30" s="864"/>
      <c r="U30" s="864"/>
      <c r="V30" s="945"/>
      <c r="W30" s="945"/>
      <c r="X30" s="945"/>
      <c r="Y30" s="945"/>
      <c r="Z30" s="945"/>
      <c r="AA30" s="864"/>
      <c r="AB30" s="864"/>
      <c r="AC30" s="864"/>
      <c r="AD30" s="864"/>
      <c r="AE30" s="864"/>
      <c r="AF30" s="864"/>
      <c r="AG30" s="864"/>
      <c r="AH30" s="864"/>
      <c r="AI30" s="864"/>
      <c r="AJ30" s="864"/>
      <c r="AK30" s="864"/>
      <c r="AL30" s="864"/>
      <c r="AM30" s="864"/>
      <c r="AN30" s="864"/>
      <c r="AO30" s="864"/>
      <c r="AP30" s="864"/>
      <c r="AQ30" s="864"/>
      <c r="AR30" s="864"/>
      <c r="AS30" s="864"/>
      <c r="AT30" s="864"/>
      <c r="AU30" s="864"/>
      <c r="AV30" s="945"/>
      <c r="AW30" s="945"/>
      <c r="AX30" s="864"/>
      <c r="AY30" s="864"/>
      <c r="AZ30" s="864"/>
      <c r="BA30" s="852"/>
      <c r="BB30" s="946"/>
      <c r="BC30" s="945"/>
      <c r="BD30" s="855"/>
      <c r="BE30" s="864"/>
      <c r="BF30" s="864"/>
      <c r="BG30" s="864"/>
      <c r="BH30" s="864"/>
      <c r="BI30" s="864"/>
      <c r="BJ30" s="864"/>
      <c r="BK30" s="864"/>
      <c r="BL30" s="864"/>
      <c r="BM30" s="864"/>
      <c r="BN30" s="864"/>
      <c r="BO30" s="864"/>
      <c r="BP30" s="864"/>
      <c r="BQ30" s="864"/>
      <c r="BR30" s="864"/>
      <c r="BS30" s="864"/>
      <c r="BT30" s="945"/>
      <c r="BU30" s="945"/>
      <c r="BV30" s="945"/>
      <c r="BW30" s="945"/>
      <c r="BX30" s="864"/>
      <c r="BY30" s="864"/>
      <c r="BZ30" s="864"/>
      <c r="CA30" s="864"/>
      <c r="CB30" s="864"/>
      <c r="CC30" s="947"/>
      <c r="CD30" s="864"/>
      <c r="CE30" s="864"/>
      <c r="CF30" s="864"/>
      <c r="CG30" s="864"/>
      <c r="CH30" s="864"/>
      <c r="CI30" s="864"/>
      <c r="CJ30" s="864"/>
      <c r="CK30" s="945"/>
      <c r="CL30" s="945"/>
      <c r="CM30" s="864"/>
      <c r="CN30" s="864"/>
      <c r="CO30" s="864"/>
      <c r="CP30" s="864"/>
      <c r="CQ30" s="864"/>
      <c r="CR30" s="864"/>
      <c r="CS30" s="864"/>
      <c r="CT30" s="864"/>
      <c r="CU30" s="864"/>
      <c r="CV30" s="864"/>
      <c r="CW30" s="864"/>
      <c r="CX30" s="864"/>
      <c r="CY30" s="864"/>
      <c r="CZ30" s="864"/>
      <c r="DA30" s="864"/>
      <c r="DB30" s="864"/>
      <c r="DC30" s="864"/>
      <c r="DD30" s="864"/>
      <c r="DE30" s="864"/>
      <c r="DF30" s="945"/>
      <c r="DG30" s="864"/>
      <c r="DH30" s="945"/>
      <c r="DI30" s="945"/>
      <c r="DJ30" s="945"/>
      <c r="DK30" s="945"/>
      <c r="DL30" s="945"/>
      <c r="DM30" s="945"/>
      <c r="DN30" s="864"/>
      <c r="DO30" s="864"/>
      <c r="DP30" s="948"/>
      <c r="DQ30" s="864"/>
      <c r="DR30" s="864"/>
      <c r="DS30" s="864"/>
      <c r="DT30" s="864"/>
      <c r="DU30" s="864"/>
      <c r="DV30" s="864"/>
      <c r="DW30" s="864"/>
      <c r="DX30" s="864"/>
      <c r="DY30" s="864"/>
      <c r="DZ30" s="864"/>
      <c r="EA30" s="864"/>
      <c r="EB30" s="864"/>
      <c r="EC30" s="864"/>
      <c r="ED30" s="864"/>
      <c r="EE30" s="864"/>
      <c r="EF30" s="945"/>
      <c r="EG30" s="945"/>
      <c r="EH30" s="945"/>
      <c r="EI30" s="855"/>
      <c r="EJ30" s="949"/>
      <c r="EK30" s="949"/>
      <c r="EL30" s="949"/>
      <c r="EM30" s="949"/>
      <c r="EN30" s="949"/>
      <c r="EO30" s="949"/>
      <c r="EP30" s="949"/>
      <c r="EQ30" s="949"/>
      <c r="ER30" s="949"/>
      <c r="ES30" s="949"/>
      <c r="ET30" s="949"/>
      <c r="EU30" s="864"/>
      <c r="EV30" s="864"/>
      <c r="EW30" s="945"/>
      <c r="EX30" s="864"/>
      <c r="EY30" s="864"/>
      <c r="EZ30" s="864"/>
      <c r="FA30" s="864"/>
      <c r="FB30" s="864"/>
      <c r="FC30" s="864"/>
      <c r="FD30" s="864"/>
      <c r="FE30" s="945"/>
      <c r="FF30" s="864"/>
      <c r="FG30" s="864"/>
      <c r="FH30" s="864"/>
      <c r="FI30" s="864"/>
      <c r="FJ30" s="864"/>
      <c r="FK30" s="943"/>
      <c r="FL30" s="943"/>
      <c r="FM30" s="945"/>
      <c r="FN30" s="945"/>
      <c r="FO30" s="945"/>
      <c r="FP30" s="945"/>
      <c r="FQ30" s="945"/>
      <c r="FR30" s="864"/>
      <c r="FS30" s="864"/>
      <c r="FT30" s="864"/>
      <c r="FU30" s="864"/>
      <c r="FV30" s="864"/>
      <c r="FW30" s="864"/>
      <c r="FX30" s="864"/>
      <c r="FY30" s="864"/>
      <c r="FZ30" s="864"/>
      <c r="GA30" s="945"/>
      <c r="GB30" s="945"/>
      <c r="GC30" s="945"/>
      <c r="GD30" s="945"/>
      <c r="GE30" s="945"/>
      <c r="GF30" s="945"/>
      <c r="GG30" s="945"/>
      <c r="GH30" s="864"/>
      <c r="GI30" s="864"/>
      <c r="GJ30" s="864"/>
      <c r="GK30" s="864"/>
      <c r="GL30" s="864"/>
      <c r="GM30" s="864"/>
      <c r="GN30" s="864"/>
      <c r="GO30" s="950"/>
      <c r="GP30" s="951"/>
      <c r="GQ30" s="952"/>
      <c r="GR30" s="864"/>
      <c r="GS30" s="864"/>
      <c r="GT30" s="864"/>
      <c r="GU30" s="864"/>
      <c r="GV30" s="864"/>
      <c r="GW30" s="864"/>
      <c r="GX30" s="864"/>
      <c r="GY30" s="864"/>
      <c r="GZ30" s="864"/>
      <c r="HA30" s="864"/>
      <c r="HB30" s="864"/>
      <c r="HC30" s="864"/>
      <c r="HD30" s="864"/>
      <c r="HE30" s="946"/>
      <c r="HF30" s="943"/>
      <c r="HG30" s="864"/>
      <c r="HH30" s="949"/>
      <c r="HI30" s="945"/>
      <c r="HJ30" s="945"/>
      <c r="HK30" s="949"/>
      <c r="HL30" s="864"/>
      <c r="HM30" s="864"/>
      <c r="HN30" s="864"/>
      <c r="HO30" s="953"/>
      <c r="HP30" s="943"/>
      <c r="HQ30" s="943"/>
      <c r="HR30" s="947"/>
      <c r="HS30" s="943"/>
      <c r="HT30" s="943"/>
      <c r="HU30" s="943"/>
      <c r="HV30" s="943"/>
      <c r="HW30" s="943"/>
      <c r="HX30" s="945"/>
      <c r="HY30" s="945"/>
      <c r="HZ30" s="945"/>
      <c r="IA30" s="945"/>
      <c r="IB30" s="945"/>
      <c r="IC30" s="945"/>
      <c r="ID30" s="945"/>
      <c r="IE30" s="945"/>
      <c r="IF30" s="943"/>
      <c r="IG30" s="947"/>
      <c r="IH30" s="945"/>
      <c r="II30" s="945"/>
      <c r="IJ30" s="947"/>
      <c r="IK30" s="943"/>
      <c r="IL30" s="946"/>
      <c r="IM30" s="945"/>
      <c r="IN30" s="945"/>
      <c r="IO30" s="864"/>
      <c r="IP30" s="864"/>
      <c r="IQ30" s="864"/>
      <c r="IR30" s="947"/>
      <c r="IS30" s="945"/>
      <c r="IT30" s="945"/>
      <c r="IU30" s="946"/>
      <c r="IV30" s="945"/>
      <c r="IW30" s="954"/>
      <c r="IX30" s="955"/>
      <c r="IY30" s="956"/>
      <c r="IZ30" s="957"/>
      <c r="JA30" s="945"/>
      <c r="JB30" s="945"/>
      <c r="JC30" s="945"/>
      <c r="JD30" s="945"/>
      <c r="JE30" s="945"/>
      <c r="JF30" s="949"/>
      <c r="JG30" s="945"/>
      <c r="JH30" s="945"/>
      <c r="JI30" s="945"/>
      <c r="JJ30" s="945"/>
      <c r="JK30" s="945"/>
      <c r="JL30" s="945"/>
      <c r="JM30" s="945"/>
      <c r="JN30" s="945"/>
      <c r="JO30" s="945"/>
      <c r="JP30" s="945"/>
      <c r="JQ30" s="949"/>
      <c r="JR30" s="945"/>
      <c r="JS30" s="945"/>
      <c r="JT30" s="945"/>
      <c r="JU30" s="945"/>
      <c r="JV30" s="945"/>
      <c r="JW30" s="945"/>
      <c r="JX30" s="945"/>
      <c r="JY30" s="945"/>
      <c r="JZ30" s="945"/>
      <c r="KA30" s="945"/>
      <c r="KB30" s="945"/>
      <c r="KC30" s="945"/>
      <c r="KD30" s="945"/>
      <c r="KE30" s="947"/>
      <c r="KF30" s="947"/>
      <c r="KG30" s="947"/>
      <c r="KH30" s="947"/>
      <c r="KI30" s="947"/>
      <c r="KJ30" s="947"/>
      <c r="KK30" s="947"/>
      <c r="KL30" s="945"/>
      <c r="KM30" s="864"/>
      <c r="KN30" s="864"/>
      <c r="KO30" s="864"/>
      <c r="KP30" s="864"/>
      <c r="KQ30" s="864"/>
      <c r="KR30" s="945"/>
      <c r="KS30" s="864"/>
      <c r="KT30" s="957"/>
      <c r="KU30" s="864"/>
      <c r="KV30" s="945"/>
      <c r="KW30" s="945"/>
      <c r="KX30" s="945"/>
      <c r="KY30" s="858"/>
      <c r="KZ30" s="945"/>
      <c r="LA30" s="945"/>
      <c r="LB30" s="945"/>
      <c r="LC30" s="945"/>
      <c r="LD30" s="945"/>
      <c r="LE30" s="945"/>
      <c r="LF30" s="949"/>
      <c r="LG30" s="949"/>
      <c r="LH30" s="949"/>
      <c r="LI30" s="949"/>
      <c r="LJ30" s="949"/>
      <c r="LK30" s="949"/>
      <c r="LL30" s="949"/>
      <c r="LM30" s="949"/>
      <c r="LN30" s="949"/>
      <c r="LO30" s="949"/>
      <c r="LP30" s="949"/>
      <c r="LQ30" s="949"/>
      <c r="LR30" s="949"/>
      <c r="LS30" s="949"/>
      <c r="LT30" s="949"/>
      <c r="LU30" s="949"/>
      <c r="LV30" s="949"/>
      <c r="LW30" s="949"/>
      <c r="LX30" s="949"/>
      <c r="LY30" s="949"/>
    </row>
    <row r="31" spans="1:337" ht="45.75" customHeight="1" x14ac:dyDescent="0.25">
      <c r="A31" s="1583" t="s">
        <v>85</v>
      </c>
      <c r="B31" s="1586" t="s">
        <v>5336</v>
      </c>
      <c r="C31" s="331" t="s">
        <v>93</v>
      </c>
      <c r="D31" s="332" t="s">
        <v>5337</v>
      </c>
      <c r="E31" s="839" t="s">
        <v>152</v>
      </c>
      <c r="F31" s="863"/>
      <c r="G31" s="863"/>
      <c r="H31" s="864"/>
      <c r="I31" s="864"/>
      <c r="J31" s="864"/>
      <c r="K31" s="864"/>
      <c r="L31" s="864"/>
      <c r="M31" s="864"/>
      <c r="N31" s="852">
        <v>8.6999999999999993</v>
      </c>
      <c r="O31" s="864"/>
      <c r="P31" s="864"/>
      <c r="Q31" s="864"/>
      <c r="R31" s="864"/>
      <c r="S31" s="864"/>
      <c r="T31" s="864"/>
      <c r="U31" s="864"/>
      <c r="V31" s="945">
        <v>0.376</v>
      </c>
      <c r="W31" s="945">
        <v>1.236</v>
      </c>
      <c r="X31" s="945">
        <v>0.218</v>
      </c>
      <c r="Y31" s="945">
        <v>0.245</v>
      </c>
      <c r="Z31" s="945">
        <v>2.8</v>
      </c>
      <c r="AA31" s="864"/>
      <c r="AB31" s="864"/>
      <c r="AC31" s="864"/>
      <c r="AD31" s="864"/>
      <c r="AE31" s="864"/>
      <c r="AF31" s="864"/>
      <c r="AG31" s="864"/>
      <c r="AH31" s="864"/>
      <c r="AI31" s="864"/>
      <c r="AJ31" s="864"/>
      <c r="AK31" s="864"/>
      <c r="AL31" s="864"/>
      <c r="AM31" s="864"/>
      <c r="AN31" s="864"/>
      <c r="AO31" s="864"/>
      <c r="AP31" s="864"/>
      <c r="AQ31" s="864"/>
      <c r="AR31" s="864"/>
      <c r="AS31" s="864"/>
      <c r="AT31" s="864"/>
      <c r="AU31" s="864"/>
      <c r="AV31" s="945">
        <v>0.48499999999999999</v>
      </c>
      <c r="AW31" s="945">
        <v>7.4359999999999999</v>
      </c>
      <c r="AX31" s="864"/>
      <c r="AY31" s="864"/>
      <c r="AZ31" s="864"/>
      <c r="BA31" s="852">
        <v>2.9</v>
      </c>
      <c r="BB31" s="946">
        <v>0.96699999999999997</v>
      </c>
      <c r="BC31" s="945">
        <v>3.4249999999999998</v>
      </c>
      <c r="BD31" s="945">
        <v>2.1579999999999999</v>
      </c>
      <c r="BE31" s="864"/>
      <c r="BF31" s="864"/>
      <c r="BG31" s="864"/>
      <c r="BH31" s="864"/>
      <c r="BI31" s="864"/>
      <c r="BJ31" s="864"/>
      <c r="BK31" s="864"/>
      <c r="BL31" s="864"/>
      <c r="BM31" s="864"/>
      <c r="BN31" s="864"/>
      <c r="BO31" s="864"/>
      <c r="BP31" s="864"/>
      <c r="BQ31" s="864"/>
      <c r="BR31" s="864"/>
      <c r="BS31" s="864"/>
      <c r="BT31" s="945">
        <f>54.462+174+305.209+13.59+269.012+62.365+3.833+70.986</f>
        <v>953.45700000000011</v>
      </c>
      <c r="BU31" s="945">
        <v>7.0000000000000007E-2</v>
      </c>
      <c r="BV31" s="945">
        <v>0.25600000000000001</v>
      </c>
      <c r="BW31" s="945">
        <v>0.44800000000000001</v>
      </c>
      <c r="BX31" s="864"/>
      <c r="BY31" s="864"/>
      <c r="BZ31" s="864"/>
      <c r="CA31" s="864"/>
      <c r="CB31" s="864"/>
      <c r="CC31" s="947">
        <v>4.5</v>
      </c>
      <c r="CD31" s="864"/>
      <c r="CE31" s="864"/>
      <c r="CF31" s="864"/>
      <c r="CG31" s="864"/>
      <c r="CH31" s="864"/>
      <c r="CI31" s="864"/>
      <c r="CJ31" s="864"/>
      <c r="CK31" s="945">
        <v>1.2979150863</v>
      </c>
      <c r="CL31" s="945"/>
      <c r="CM31" s="864"/>
      <c r="CN31" s="864"/>
      <c r="CO31" s="864"/>
      <c r="CP31" s="864"/>
      <c r="CQ31" s="864"/>
      <c r="CR31" s="864"/>
      <c r="CS31" s="864"/>
      <c r="CT31" s="864"/>
      <c r="CU31" s="864"/>
      <c r="CV31" s="864"/>
      <c r="CW31" s="864"/>
      <c r="CX31" s="864"/>
      <c r="CY31" s="864"/>
      <c r="CZ31" s="864"/>
      <c r="DA31" s="864"/>
      <c r="DB31" s="864"/>
      <c r="DC31" s="864"/>
      <c r="DD31" s="864"/>
      <c r="DE31" s="864"/>
      <c r="DF31" s="945">
        <v>0.44</v>
      </c>
      <c r="DG31" s="864"/>
      <c r="DH31" s="945">
        <v>0.1</v>
      </c>
      <c r="DI31" s="945">
        <v>0.1</v>
      </c>
      <c r="DJ31" s="945">
        <v>0.1</v>
      </c>
      <c r="DK31" s="945">
        <v>0.1</v>
      </c>
      <c r="DL31" s="945">
        <v>0.16300000000000001</v>
      </c>
      <c r="DM31" s="945">
        <v>0.1</v>
      </c>
      <c r="DN31" s="864"/>
      <c r="DO31" s="864"/>
      <c r="DP31" s="948">
        <v>0.2</v>
      </c>
      <c r="DQ31" s="864"/>
      <c r="DR31" s="864"/>
      <c r="DS31" s="864"/>
      <c r="DT31" s="864"/>
      <c r="DU31" s="864"/>
      <c r="DV31" s="864"/>
      <c r="DW31" s="864"/>
      <c r="DX31" s="864"/>
      <c r="DY31" s="864"/>
      <c r="DZ31" s="864"/>
      <c r="EA31" s="864"/>
      <c r="EB31" s="864"/>
      <c r="EC31" s="864"/>
      <c r="ED31" s="864"/>
      <c r="EE31" s="864"/>
      <c r="EF31" s="945">
        <v>6.4000000000000001E-2</v>
      </c>
      <c r="EG31" s="945" t="s">
        <v>5338</v>
      </c>
      <c r="EH31" s="945">
        <v>1.847</v>
      </c>
      <c r="EI31" s="855">
        <v>0.1</v>
      </c>
      <c r="EJ31" s="949">
        <v>0.68700000000000006</v>
      </c>
      <c r="EK31" s="949">
        <v>1146400</v>
      </c>
      <c r="EL31" s="949">
        <v>0.247</v>
      </c>
      <c r="EM31" s="949">
        <v>0.71599999999999997</v>
      </c>
      <c r="EN31" s="949">
        <v>0.5</v>
      </c>
      <c r="EO31" s="949">
        <v>0.45100000000000001</v>
      </c>
      <c r="EP31" s="949">
        <v>0.17</v>
      </c>
      <c r="EQ31" s="949">
        <v>0.36199999999999999</v>
      </c>
      <c r="ER31" s="949">
        <v>1.641</v>
      </c>
      <c r="ES31" s="949">
        <v>0.16300000000000001</v>
      </c>
      <c r="ET31" s="949">
        <v>0.80300000000000005</v>
      </c>
      <c r="EU31" s="864"/>
      <c r="EV31" s="864"/>
      <c r="EW31" s="945">
        <v>17.997</v>
      </c>
      <c r="EX31" s="864"/>
      <c r="EY31" s="864"/>
      <c r="EZ31" s="864"/>
      <c r="FA31" s="864"/>
      <c r="FB31" s="864"/>
      <c r="FC31" s="864"/>
      <c r="FD31" s="864"/>
      <c r="FE31" s="945"/>
      <c r="FF31" s="864"/>
      <c r="FG31" s="864"/>
      <c r="FH31" s="864"/>
      <c r="FI31" s="864"/>
      <c r="FJ31" s="864"/>
      <c r="FK31" s="943">
        <v>0.3</v>
      </c>
      <c r="FL31" s="943">
        <v>1.01</v>
      </c>
      <c r="FM31" s="945">
        <v>2.4</v>
      </c>
      <c r="FN31" s="945">
        <v>2.6360000000000001</v>
      </c>
      <c r="FO31" s="945">
        <v>2.4</v>
      </c>
      <c r="FP31" s="945">
        <v>5</v>
      </c>
      <c r="FQ31" s="945">
        <v>1.35</v>
      </c>
      <c r="FR31" s="864"/>
      <c r="FS31" s="864"/>
      <c r="FT31" s="864"/>
      <c r="FU31" s="864"/>
      <c r="FV31" s="864"/>
      <c r="FW31" s="864"/>
      <c r="FX31" s="864"/>
      <c r="FY31" s="864"/>
      <c r="FZ31" s="864"/>
      <c r="GA31" s="945">
        <v>1.99</v>
      </c>
      <c r="GB31" s="945">
        <v>1.1659999999999999</v>
      </c>
      <c r="GC31" s="945"/>
      <c r="GD31" s="945">
        <v>1.0169999999999999</v>
      </c>
      <c r="GE31" s="945">
        <v>0.21429999999999999</v>
      </c>
      <c r="GF31" s="945">
        <v>12</v>
      </c>
      <c r="GG31" s="945">
        <v>9.3179999999999996</v>
      </c>
      <c r="GH31" s="864"/>
      <c r="GI31" s="864"/>
      <c r="GJ31" s="864"/>
      <c r="GK31" s="864"/>
      <c r="GL31" s="864"/>
      <c r="GM31" s="864"/>
      <c r="GN31" s="864"/>
      <c r="GO31" s="950">
        <v>6</v>
      </c>
      <c r="GP31" s="951">
        <v>1.38</v>
      </c>
      <c r="GQ31" s="952">
        <v>5.5460000000000003</v>
      </c>
      <c r="GR31" s="864"/>
      <c r="GS31" s="864"/>
      <c r="GT31" s="864"/>
      <c r="GU31" s="864"/>
      <c r="GV31" s="864"/>
      <c r="GW31" s="864"/>
      <c r="GX31" s="864"/>
      <c r="GY31" s="864"/>
      <c r="GZ31" s="864"/>
      <c r="HA31" s="864"/>
      <c r="HB31" s="864"/>
      <c r="HC31" s="864"/>
      <c r="HD31" s="864"/>
      <c r="HE31" s="946">
        <v>9.5</v>
      </c>
      <c r="HF31" s="943">
        <v>18.672999999999998</v>
      </c>
      <c r="HG31" s="864"/>
      <c r="HH31" s="949">
        <v>11.72</v>
      </c>
      <c r="HI31" s="945">
        <f>4.844+0.76</f>
        <v>5.6040000000000001</v>
      </c>
      <c r="HJ31" s="945">
        <v>0.23699999999999999</v>
      </c>
      <c r="HK31" s="949">
        <v>0.1125</v>
      </c>
      <c r="HL31" s="864"/>
      <c r="HM31" s="864"/>
      <c r="HN31" s="864"/>
      <c r="HO31" s="953">
        <v>0.40899999999999997</v>
      </c>
      <c r="HP31" s="945">
        <v>2</v>
      </c>
      <c r="HQ31" s="943">
        <v>3.6999999999999998E-2</v>
      </c>
      <c r="HR31" s="947">
        <v>4.3900000000000002E-2</v>
      </c>
      <c r="HS31" s="943">
        <v>0.996</v>
      </c>
      <c r="HT31" s="943">
        <v>9.5000000000000001E-2</v>
      </c>
      <c r="HU31" s="943">
        <v>2.5000000000000001E-2</v>
      </c>
      <c r="HV31" s="943">
        <v>0.1</v>
      </c>
      <c r="HW31" s="943">
        <v>0.02</v>
      </c>
      <c r="HX31" s="945">
        <v>0.3</v>
      </c>
      <c r="HY31" s="945">
        <v>0.23</v>
      </c>
      <c r="HZ31" s="945">
        <v>0.3</v>
      </c>
      <c r="IA31" s="945">
        <v>0.24</v>
      </c>
      <c r="IB31" s="945">
        <v>0.5</v>
      </c>
      <c r="IC31" s="945">
        <v>0.27100000000000002</v>
      </c>
      <c r="ID31" s="945">
        <v>0.3</v>
      </c>
      <c r="IE31" s="945">
        <v>0.08</v>
      </c>
      <c r="IF31" s="943">
        <v>0.01</v>
      </c>
      <c r="IG31" s="947">
        <v>0.42099999999999999</v>
      </c>
      <c r="IH31" s="945">
        <v>0.35299999999999998</v>
      </c>
      <c r="II31" s="945">
        <v>1</v>
      </c>
      <c r="IJ31" s="947">
        <v>0.71899999999999997</v>
      </c>
      <c r="IK31" s="943">
        <v>7.0000000000000001E-3</v>
      </c>
      <c r="IL31" s="946">
        <v>23.556999999999999</v>
      </c>
      <c r="IM31" s="945">
        <v>0.114</v>
      </c>
      <c r="IN31" s="945">
        <v>0.4</v>
      </c>
      <c r="IO31" s="864"/>
      <c r="IP31" s="864"/>
      <c r="IQ31" s="864"/>
      <c r="IR31" s="947">
        <f>559.3/1000</f>
        <v>0.55929999999999991</v>
      </c>
      <c r="IS31" s="945">
        <v>0.5</v>
      </c>
      <c r="IT31" s="945">
        <v>3.1239475699999999</v>
      </c>
      <c r="IU31" s="945">
        <v>3.851</v>
      </c>
      <c r="IV31" s="945">
        <f>23.561-IV34</f>
        <v>23.530999999999999</v>
      </c>
      <c r="IW31" s="954">
        <v>6.97</v>
      </c>
      <c r="IX31" s="955">
        <v>10.31</v>
      </c>
      <c r="IY31" s="956">
        <v>9</v>
      </c>
      <c r="IZ31" s="945">
        <v>6.4</v>
      </c>
      <c r="JA31" s="945">
        <v>21.681000000000001</v>
      </c>
      <c r="JB31" s="945">
        <v>16.803000000000001</v>
      </c>
      <c r="JC31" s="945">
        <v>0.5</v>
      </c>
      <c r="JD31" s="945">
        <v>5.6630000000000003</v>
      </c>
      <c r="JE31" s="945">
        <f>28.8127+16.9166</f>
        <v>45.729299999999995</v>
      </c>
      <c r="JF31" s="949">
        <v>27.254999999999999</v>
      </c>
      <c r="JG31" s="945">
        <v>3.2</v>
      </c>
      <c r="JH31" s="945">
        <v>1.343</v>
      </c>
      <c r="JI31" s="945">
        <v>3</v>
      </c>
      <c r="JJ31" s="945">
        <v>3.9489999999999998</v>
      </c>
      <c r="JK31" s="945">
        <v>1.2</v>
      </c>
      <c r="JL31" s="945">
        <v>1.2</v>
      </c>
      <c r="JM31" s="945">
        <v>1.2</v>
      </c>
      <c r="JN31" s="945">
        <v>0.29759999999999998</v>
      </c>
      <c r="JO31" s="945">
        <v>0.22500000000000001</v>
      </c>
      <c r="JP31" s="945">
        <v>1.2</v>
      </c>
      <c r="JQ31" s="949">
        <v>0.45</v>
      </c>
      <c r="JR31" s="945"/>
      <c r="JS31" s="945">
        <v>0.69971300000000003</v>
      </c>
      <c r="JT31" s="945">
        <v>0.996</v>
      </c>
      <c r="JU31" s="945">
        <v>0.13</v>
      </c>
      <c r="JV31" s="945">
        <v>0.12</v>
      </c>
      <c r="JW31" s="945">
        <v>3.2269640000000002</v>
      </c>
      <c r="JX31" s="945">
        <v>0.24</v>
      </c>
      <c r="JY31" s="945">
        <v>0.47499999999999998</v>
      </c>
      <c r="JZ31" s="945">
        <v>2.0459999999999998</v>
      </c>
      <c r="KA31" s="945">
        <v>4.4820000000000002</v>
      </c>
      <c r="KB31" s="945">
        <f>(2299664.4+15000000+94442.31)/1000000</f>
        <v>17.394106709999996</v>
      </c>
      <c r="KC31" s="945">
        <v>0.24</v>
      </c>
      <c r="KD31" s="945">
        <v>0.5</v>
      </c>
      <c r="KE31" s="947">
        <f>539.9/1000</f>
        <v>0.53989999999999994</v>
      </c>
      <c r="KF31" s="947">
        <f>1.42363</f>
        <v>1.42363</v>
      </c>
      <c r="KG31" s="947">
        <f>567.76/1000</f>
        <v>0.56776000000000004</v>
      </c>
      <c r="KH31" s="947">
        <f>(123.1+156.9)/1000</f>
        <v>0.28000000000000003</v>
      </c>
      <c r="KI31" s="947">
        <f>151.1/1000</f>
        <v>0.15109999999999998</v>
      </c>
      <c r="KJ31" s="947">
        <f>KJ27</f>
        <v>0.30356</v>
      </c>
      <c r="KK31" s="947">
        <f>(140.42+176.02)/1000</f>
        <v>0.31644</v>
      </c>
      <c r="KL31" s="945">
        <v>1.8</v>
      </c>
      <c r="KM31" s="864"/>
      <c r="KN31" s="864"/>
      <c r="KO31" s="864"/>
      <c r="KP31" s="864"/>
      <c r="KQ31" s="864"/>
      <c r="KR31" s="945">
        <v>4.49</v>
      </c>
      <c r="KS31" s="864"/>
      <c r="KT31" s="957">
        <v>0.5</v>
      </c>
      <c r="KU31" s="864"/>
      <c r="KV31" s="945">
        <v>8.4269999999999996</v>
      </c>
      <c r="KW31" s="945">
        <v>12.003</v>
      </c>
      <c r="KX31" s="945">
        <f>3.979+4.8</f>
        <v>8.7789999999999999</v>
      </c>
      <c r="KY31" s="858">
        <v>42.4</v>
      </c>
      <c r="KZ31" s="945">
        <v>11.5942405</v>
      </c>
      <c r="LA31" s="945">
        <v>154.83500000000001</v>
      </c>
      <c r="LB31" s="945">
        <v>15.471</v>
      </c>
      <c r="LC31" s="945">
        <v>3.732993</v>
      </c>
      <c r="LD31" s="945">
        <v>0.52900000000000003</v>
      </c>
      <c r="LE31" s="945">
        <v>0.222</v>
      </c>
      <c r="LF31" s="949">
        <v>3.7120000000000002</v>
      </c>
      <c r="LG31" s="949">
        <v>0.151</v>
      </c>
      <c r="LH31" s="949">
        <v>0.19900000000000001</v>
      </c>
      <c r="LI31" s="949">
        <v>0.17499999999999999</v>
      </c>
      <c r="LJ31" s="949">
        <v>0.33200000000000002</v>
      </c>
      <c r="LK31" s="949">
        <v>0.19400000000000001</v>
      </c>
      <c r="LL31" s="949">
        <v>0.15</v>
      </c>
      <c r="LM31" s="949">
        <v>0.15</v>
      </c>
      <c r="LN31" s="949">
        <v>4.3846001000000001</v>
      </c>
      <c r="LO31" s="949">
        <v>9.6000000000000002E-2</v>
      </c>
      <c r="LP31" s="949">
        <v>3.2719999999999998</v>
      </c>
      <c r="LQ31" s="949">
        <v>2.85825</v>
      </c>
      <c r="LR31" s="949">
        <v>18.855</v>
      </c>
      <c r="LS31" s="949">
        <v>1.4850000000000001</v>
      </c>
      <c r="LT31" s="949">
        <v>0.5</v>
      </c>
      <c r="LU31" s="949">
        <v>1</v>
      </c>
      <c r="LV31" s="949">
        <v>0.5</v>
      </c>
      <c r="LW31" s="949">
        <v>0.88300000000000001</v>
      </c>
      <c r="LX31" s="949">
        <v>0.49275000000000002</v>
      </c>
      <c r="LY31" s="949">
        <v>0.497</v>
      </c>
    </row>
    <row r="32" spans="1:337" ht="26.25" customHeight="1" x14ac:dyDescent="0.25">
      <c r="A32" s="1584"/>
      <c r="B32" s="1587"/>
      <c r="C32" s="353" t="s">
        <v>94</v>
      </c>
      <c r="D32" s="354" t="s">
        <v>231</v>
      </c>
      <c r="E32" s="840" t="s">
        <v>52</v>
      </c>
      <c r="F32" s="863"/>
      <c r="G32" s="863"/>
      <c r="H32" s="864"/>
      <c r="I32" s="864"/>
      <c r="J32" s="864"/>
      <c r="K32" s="864"/>
      <c r="L32" s="864"/>
      <c r="M32" s="864"/>
      <c r="N32" s="852">
        <v>1</v>
      </c>
      <c r="O32" s="864"/>
      <c r="P32" s="864"/>
      <c r="Q32" s="864"/>
      <c r="R32" s="864"/>
      <c r="S32" s="864"/>
      <c r="T32" s="864"/>
      <c r="U32" s="864"/>
      <c r="V32" s="958">
        <v>0.91259999999999997</v>
      </c>
      <c r="W32" s="958">
        <v>0.72319999999999995</v>
      </c>
      <c r="X32" s="958">
        <v>0.91600000000000004</v>
      </c>
      <c r="Y32" s="958">
        <v>0.61250000000000004</v>
      </c>
      <c r="Z32" s="958">
        <v>0.6512</v>
      </c>
      <c r="AA32" s="864"/>
      <c r="AB32" s="864"/>
      <c r="AC32" s="864"/>
      <c r="AD32" s="864"/>
      <c r="AE32" s="864"/>
      <c r="AF32" s="864"/>
      <c r="AG32" s="864"/>
      <c r="AH32" s="864"/>
      <c r="AI32" s="864"/>
      <c r="AJ32" s="864"/>
      <c r="AK32" s="864"/>
      <c r="AL32" s="864"/>
      <c r="AM32" s="864"/>
      <c r="AN32" s="864"/>
      <c r="AO32" s="864"/>
      <c r="AP32" s="864"/>
      <c r="AQ32" s="864"/>
      <c r="AR32" s="864"/>
      <c r="AS32" s="864"/>
      <c r="AT32" s="864"/>
      <c r="AU32" s="864"/>
      <c r="AV32" s="958">
        <f>AV31/AV27</f>
        <v>0.9661354581673306</v>
      </c>
      <c r="AW32" s="958">
        <f>AW31/AW27</f>
        <v>0.86737431470896997</v>
      </c>
      <c r="AX32" s="864"/>
      <c r="AY32" s="864"/>
      <c r="AZ32" s="864"/>
      <c r="BA32" s="852">
        <v>0.879</v>
      </c>
      <c r="BB32" s="946">
        <v>88.96</v>
      </c>
      <c r="BC32" s="958">
        <v>0.49459999999999998</v>
      </c>
      <c r="BD32" s="957">
        <v>92.26</v>
      </c>
      <c r="BE32" s="864"/>
      <c r="BF32" s="864"/>
      <c r="BG32" s="864"/>
      <c r="BH32" s="864"/>
      <c r="BI32" s="864"/>
      <c r="BJ32" s="864"/>
      <c r="BK32" s="864"/>
      <c r="BL32" s="864"/>
      <c r="BM32" s="864"/>
      <c r="BN32" s="864"/>
      <c r="BO32" s="864"/>
      <c r="BP32" s="864"/>
      <c r="BQ32" s="864"/>
      <c r="BR32" s="864"/>
      <c r="BS32" s="864"/>
      <c r="BT32" s="958">
        <f>BT31/BT27</f>
        <v>0.78008536736027989</v>
      </c>
      <c r="BU32" s="958">
        <v>1.7999999999999999E-2</v>
      </c>
      <c r="BV32" s="958">
        <v>0.88</v>
      </c>
      <c r="BW32" s="958">
        <v>0.52829999999999999</v>
      </c>
      <c r="BX32" s="864"/>
      <c r="BY32" s="864"/>
      <c r="BZ32" s="864"/>
      <c r="CA32" s="864"/>
      <c r="CB32" s="864"/>
      <c r="CC32" s="959">
        <v>2.7E-2</v>
      </c>
      <c r="CD32" s="864"/>
      <c r="CE32" s="864"/>
      <c r="CF32" s="864"/>
      <c r="CG32" s="864"/>
      <c r="CH32" s="864"/>
      <c r="CI32" s="864"/>
      <c r="CJ32" s="864"/>
      <c r="CK32" s="958">
        <v>0.97</v>
      </c>
      <c r="CL32" s="958"/>
      <c r="CM32" s="864"/>
      <c r="CN32" s="864"/>
      <c r="CO32" s="864"/>
      <c r="CP32" s="864"/>
      <c r="CQ32" s="864"/>
      <c r="CR32" s="864"/>
      <c r="CS32" s="864"/>
      <c r="CT32" s="864"/>
      <c r="CU32" s="864"/>
      <c r="CV32" s="864"/>
      <c r="CW32" s="864"/>
      <c r="CX32" s="864"/>
      <c r="CY32" s="864"/>
      <c r="CZ32" s="864"/>
      <c r="DA32" s="864"/>
      <c r="DB32" s="864"/>
      <c r="DC32" s="864"/>
      <c r="DD32" s="864"/>
      <c r="DE32" s="864"/>
      <c r="DF32" s="958">
        <v>0.46810000000000002</v>
      </c>
      <c r="DG32" s="864"/>
      <c r="DH32" s="958">
        <f>DH31/DH27</f>
        <v>0.46511627906976749</v>
      </c>
      <c r="DI32" s="958">
        <f>DI31/DI27</f>
        <v>0.5</v>
      </c>
      <c r="DJ32" s="958">
        <f>DJ31/DJ27</f>
        <v>0.5</v>
      </c>
      <c r="DK32" s="958">
        <v>0.5</v>
      </c>
      <c r="DL32" s="958">
        <v>0.62</v>
      </c>
      <c r="DM32" s="958">
        <f>DM31/DM27</f>
        <v>0.5</v>
      </c>
      <c r="DN32" s="864"/>
      <c r="DO32" s="864"/>
      <c r="DP32" s="960">
        <v>0.66700000000000004</v>
      </c>
      <c r="DQ32" s="864"/>
      <c r="DR32" s="864"/>
      <c r="DS32" s="864"/>
      <c r="DT32" s="864"/>
      <c r="DU32" s="864"/>
      <c r="DV32" s="864"/>
      <c r="DW32" s="864"/>
      <c r="DX32" s="864"/>
      <c r="DY32" s="864"/>
      <c r="DZ32" s="864"/>
      <c r="EA32" s="864"/>
      <c r="EB32" s="864"/>
      <c r="EC32" s="864"/>
      <c r="ED32" s="864"/>
      <c r="EE32" s="864"/>
      <c r="EF32" s="958">
        <v>0.91</v>
      </c>
      <c r="EG32" s="958" t="s">
        <v>3008</v>
      </c>
      <c r="EH32" s="958">
        <v>0.95</v>
      </c>
      <c r="EI32" s="855">
        <v>1</v>
      </c>
      <c r="EJ32" s="961">
        <v>0.94499999999999995</v>
      </c>
      <c r="EK32" s="961">
        <v>0.72399999999999998</v>
      </c>
      <c r="EL32" s="961">
        <v>0.60840000000000005</v>
      </c>
      <c r="EM32" s="961">
        <v>0.82120000000000004</v>
      </c>
      <c r="EN32" s="961">
        <v>0.217</v>
      </c>
      <c r="EO32" s="961">
        <f>EO31/EO27</f>
        <v>0.84456928838951306</v>
      </c>
      <c r="EP32" s="961">
        <v>0.74</v>
      </c>
      <c r="EQ32" s="961">
        <v>0.89800000000000002</v>
      </c>
      <c r="ER32" s="961">
        <v>0.75</v>
      </c>
      <c r="ES32" s="961">
        <v>0.11899999999999999</v>
      </c>
      <c r="ET32" s="961">
        <v>0.93920000000000003</v>
      </c>
      <c r="EU32" s="864"/>
      <c r="EV32" s="864"/>
      <c r="EW32" s="958">
        <v>0.46</v>
      </c>
      <c r="EX32" s="864"/>
      <c r="EY32" s="864"/>
      <c r="EZ32" s="864"/>
      <c r="FA32" s="864"/>
      <c r="FB32" s="864"/>
      <c r="FC32" s="864"/>
      <c r="FD32" s="864"/>
      <c r="FE32" s="958"/>
      <c r="FF32" s="864"/>
      <c r="FG32" s="864"/>
      <c r="FH32" s="864"/>
      <c r="FI32" s="864"/>
      <c r="FJ32" s="864"/>
      <c r="FK32" s="962">
        <v>0.40682000000000001</v>
      </c>
      <c r="FL32" s="958">
        <v>1</v>
      </c>
      <c r="FM32" s="958">
        <v>1</v>
      </c>
      <c r="FN32" s="958">
        <v>1</v>
      </c>
      <c r="FO32" s="958">
        <v>1</v>
      </c>
      <c r="FP32" s="958">
        <v>1</v>
      </c>
      <c r="FQ32" s="958">
        <v>1</v>
      </c>
      <c r="FR32" s="864"/>
      <c r="FS32" s="864"/>
      <c r="FT32" s="864"/>
      <c r="FU32" s="864"/>
      <c r="FV32" s="864"/>
      <c r="FW32" s="864"/>
      <c r="FX32" s="864"/>
      <c r="FY32" s="864"/>
      <c r="FZ32" s="864"/>
      <c r="GA32" s="958">
        <f>GA31/GA27</f>
        <v>0.83263598326359833</v>
      </c>
      <c r="GB32" s="958">
        <v>0.95</v>
      </c>
      <c r="GC32" s="958"/>
      <c r="GD32" s="958">
        <f>GD31/GD27</f>
        <v>0.9</v>
      </c>
      <c r="GE32" s="958">
        <v>1</v>
      </c>
      <c r="GF32" s="958">
        <v>1</v>
      </c>
      <c r="GG32" s="958">
        <f>GG31/GG27</f>
        <v>0.50542417010197438</v>
      </c>
      <c r="GH32" s="864"/>
      <c r="GI32" s="864"/>
      <c r="GJ32" s="864"/>
      <c r="GK32" s="864"/>
      <c r="GL32" s="864"/>
      <c r="GM32" s="864"/>
      <c r="GN32" s="864"/>
      <c r="GO32" s="963">
        <v>1</v>
      </c>
      <c r="GP32" s="964">
        <v>0.79500000000000004</v>
      </c>
      <c r="GQ32" s="965">
        <v>0.76814000000000004</v>
      </c>
      <c r="GR32" s="864"/>
      <c r="GS32" s="864"/>
      <c r="GT32" s="864"/>
      <c r="GU32" s="864"/>
      <c r="GV32" s="864"/>
      <c r="GW32" s="864"/>
      <c r="GX32" s="864"/>
      <c r="GY32" s="864"/>
      <c r="GZ32" s="864"/>
      <c r="HA32" s="864"/>
      <c r="HB32" s="864"/>
      <c r="HC32" s="864"/>
      <c r="HD32" s="864"/>
      <c r="HE32" s="966">
        <v>1</v>
      </c>
      <c r="HF32" s="967">
        <v>1</v>
      </c>
      <c r="HG32" s="864"/>
      <c r="HH32" s="961">
        <v>0.85</v>
      </c>
      <c r="HI32" s="958">
        <f>HI31/HI27</f>
        <v>0.53642193931272142</v>
      </c>
      <c r="HJ32" s="958">
        <v>0.81</v>
      </c>
      <c r="HK32" s="961">
        <v>0.5</v>
      </c>
      <c r="HL32" s="864"/>
      <c r="HM32" s="864"/>
      <c r="HN32" s="864"/>
      <c r="HO32" s="968">
        <v>1</v>
      </c>
      <c r="HP32" s="958">
        <v>1</v>
      </c>
      <c r="HQ32" s="958">
        <v>1</v>
      </c>
      <c r="HR32" s="959">
        <v>1</v>
      </c>
      <c r="HS32" s="958">
        <v>1</v>
      </c>
      <c r="HT32" s="958">
        <v>1</v>
      </c>
      <c r="HU32" s="958">
        <v>1</v>
      </c>
      <c r="HV32" s="962">
        <v>1</v>
      </c>
      <c r="HW32" s="958">
        <v>1</v>
      </c>
      <c r="HX32" s="958">
        <v>1</v>
      </c>
      <c r="HY32" s="958">
        <v>1</v>
      </c>
      <c r="HZ32" s="958">
        <v>1</v>
      </c>
      <c r="IA32" s="958">
        <v>1</v>
      </c>
      <c r="IB32" s="958" t="s">
        <v>52</v>
      </c>
      <c r="IC32" s="958"/>
      <c r="ID32" s="958">
        <v>1</v>
      </c>
      <c r="IE32" s="958">
        <v>1</v>
      </c>
      <c r="IF32" s="958">
        <v>1</v>
      </c>
      <c r="IG32" s="959">
        <v>1</v>
      </c>
      <c r="IH32" s="958">
        <v>1</v>
      </c>
      <c r="II32" s="958">
        <v>0.91500000000000004</v>
      </c>
      <c r="IJ32" s="959">
        <v>0.97299999999999998</v>
      </c>
      <c r="IK32" s="958">
        <v>1</v>
      </c>
      <c r="IL32" s="969">
        <v>0.95499999999999996</v>
      </c>
      <c r="IM32" s="958">
        <f>IM31/IM27</f>
        <v>0.71698113207547176</v>
      </c>
      <c r="IN32" s="958">
        <v>1</v>
      </c>
      <c r="IO32" s="864"/>
      <c r="IP32" s="864"/>
      <c r="IQ32" s="864"/>
      <c r="IR32" s="959">
        <f>IR31/IR27</f>
        <v>1</v>
      </c>
      <c r="IS32" s="958">
        <v>0.54200000000000004</v>
      </c>
      <c r="IT32" s="958">
        <f>IT31/IT27</f>
        <v>5.1920648634116336E-2</v>
      </c>
      <c r="IU32" s="966">
        <v>0.98</v>
      </c>
      <c r="IV32" s="958">
        <f>IV31/IV27</f>
        <v>0.98517898262507841</v>
      </c>
      <c r="IW32" s="954">
        <f>(IW31/IW27)*100</f>
        <v>84.077201447527145</v>
      </c>
      <c r="IX32" s="955">
        <v>61</v>
      </c>
      <c r="IY32" s="870">
        <v>97.29</v>
      </c>
      <c r="IZ32" s="969">
        <f>IZ31/IZ27</f>
        <v>0.42666666666666669</v>
      </c>
      <c r="JA32" s="958">
        <v>0.97719999999999996</v>
      </c>
      <c r="JB32" s="958">
        <v>0.91800000000000004</v>
      </c>
      <c r="JC32" s="958">
        <v>0.84750000000000003</v>
      </c>
      <c r="JD32" s="958">
        <v>0.86129999999999995</v>
      </c>
      <c r="JE32" s="958">
        <f>JE31/JE27</f>
        <v>0.87902250739578136</v>
      </c>
      <c r="JF32" s="961">
        <f>JF31/JF27</f>
        <v>0.76971956282301113</v>
      </c>
      <c r="JG32" s="958">
        <v>0.9</v>
      </c>
      <c r="JH32" s="958">
        <v>0.95899999999999996</v>
      </c>
      <c r="JI32" s="958">
        <v>0.94</v>
      </c>
      <c r="JJ32" s="958">
        <v>0.8478</v>
      </c>
      <c r="JK32" s="958">
        <f>JK31/JK27</f>
        <v>0.898876404494382</v>
      </c>
      <c r="JL32" s="958">
        <f>((JL31/JL27)/100)*100</f>
        <v>0.88235294117647045</v>
      </c>
      <c r="JM32" s="958">
        <f>JM31/JM27</f>
        <v>0.90022505626406601</v>
      </c>
      <c r="JN32" s="958">
        <v>0.74309999999999998</v>
      </c>
      <c r="JO32" s="958">
        <f>JO31/JO27</f>
        <v>0.9</v>
      </c>
      <c r="JP32" s="958">
        <f>JP31/JP27</f>
        <v>0.89955022488755609</v>
      </c>
      <c r="JQ32" s="961">
        <f>JQ31/JQ27</f>
        <v>0.9</v>
      </c>
      <c r="JR32" s="958"/>
      <c r="JS32" s="958">
        <v>0.99709999999999999</v>
      </c>
      <c r="JT32" s="958">
        <f>JT31/JT27</f>
        <v>0.67206477732793524</v>
      </c>
      <c r="JU32" s="958">
        <v>0.75</v>
      </c>
      <c r="JV32" s="958"/>
      <c r="JW32" s="958">
        <f>JW31/JW27</f>
        <v>0.97580862688556647</v>
      </c>
      <c r="JX32" s="958">
        <v>0.58499999999999996</v>
      </c>
      <c r="JY32" s="958">
        <v>0.28000000000000003</v>
      </c>
      <c r="JZ32" s="958">
        <v>0.86099999999999999</v>
      </c>
      <c r="KA32" s="958">
        <f>KA31/KA27</f>
        <v>0.8219566850173663</v>
      </c>
      <c r="KB32" s="958">
        <f>KB31/KB27</f>
        <v>0.95173879542912088</v>
      </c>
      <c r="KC32" s="958">
        <v>0.96</v>
      </c>
      <c r="KD32" s="958">
        <v>0.99</v>
      </c>
      <c r="KE32" s="959">
        <v>1</v>
      </c>
      <c r="KF32" s="959">
        <f t="shared" ref="KF32:KK32" si="0">KF31/KF27</f>
        <v>0.94999866538543676</v>
      </c>
      <c r="KG32" s="970">
        <f t="shared" si="0"/>
        <v>0.89983517180169892</v>
      </c>
      <c r="KH32" s="959">
        <f t="shared" si="0"/>
        <v>0.93333333333333346</v>
      </c>
      <c r="KI32" s="959">
        <f t="shared" si="0"/>
        <v>1</v>
      </c>
      <c r="KJ32" s="959">
        <f t="shared" si="0"/>
        <v>1</v>
      </c>
      <c r="KK32" s="971">
        <f t="shared" si="0"/>
        <v>0.9001536098310291</v>
      </c>
      <c r="KL32" s="958">
        <v>1</v>
      </c>
      <c r="KM32" s="864"/>
      <c r="KN32" s="864"/>
      <c r="KO32" s="864"/>
      <c r="KP32" s="864"/>
      <c r="KQ32" s="864"/>
      <c r="KR32" s="958">
        <f>KR31/KR27</f>
        <v>0.81281679942070961</v>
      </c>
      <c r="KS32" s="863" t="s">
        <v>5339</v>
      </c>
      <c r="KT32" s="958">
        <v>0.8</v>
      </c>
      <c r="KU32" s="864"/>
      <c r="KV32" s="958">
        <v>1</v>
      </c>
      <c r="KW32" s="958">
        <v>0.96899975781060788</v>
      </c>
      <c r="KX32" s="958">
        <v>1</v>
      </c>
      <c r="KY32" s="972">
        <v>0.99</v>
      </c>
      <c r="KZ32" s="958">
        <f>KZ31/KZ27</f>
        <v>0.93707309665117677</v>
      </c>
      <c r="LA32" s="958">
        <f>LA31/LA27</f>
        <v>0.95672242166597676</v>
      </c>
      <c r="LB32" s="958">
        <v>1</v>
      </c>
      <c r="LC32" s="958">
        <v>1</v>
      </c>
      <c r="LD32" s="958">
        <v>1</v>
      </c>
      <c r="LE32" s="958">
        <v>1</v>
      </c>
      <c r="LF32" s="961">
        <f>LF31/LF27</f>
        <v>0.99145299145299148</v>
      </c>
      <c r="LG32" s="961">
        <v>1</v>
      </c>
      <c r="LH32" s="961">
        <v>1</v>
      </c>
      <c r="LI32" s="961">
        <f>LI31/LI27</f>
        <v>0.970873786407767</v>
      </c>
      <c r="LJ32" s="961">
        <f>LJ31/LJ27</f>
        <v>0.96849474912485423</v>
      </c>
      <c r="LK32" s="961">
        <v>0.995</v>
      </c>
      <c r="LL32" s="961">
        <v>1</v>
      </c>
      <c r="LM32" s="961">
        <v>1</v>
      </c>
      <c r="LN32" s="961">
        <f>LN31/LN27</f>
        <v>0.97344681109923825</v>
      </c>
      <c r="LO32" s="972">
        <v>0.97</v>
      </c>
      <c r="LP32" s="961">
        <v>1</v>
      </c>
      <c r="LQ32" s="961">
        <v>1</v>
      </c>
      <c r="LR32" s="961">
        <f>LR31/LR27</f>
        <v>0.98262374140907771</v>
      </c>
      <c r="LS32" s="961">
        <f>LS31/LS27</f>
        <v>0.9900000000000001</v>
      </c>
      <c r="LT32" s="961">
        <f>LT31/LT27</f>
        <v>1</v>
      </c>
      <c r="LU32" s="961">
        <v>1</v>
      </c>
      <c r="LV32" s="961">
        <v>1</v>
      </c>
      <c r="LW32" s="961">
        <v>0.94640943193997851</v>
      </c>
      <c r="LX32" s="961">
        <v>1</v>
      </c>
      <c r="LY32" s="961">
        <v>1</v>
      </c>
    </row>
    <row r="33" spans="1:337" ht="42" customHeight="1" thickBot="1" x14ac:dyDescent="0.3">
      <c r="A33" s="1593"/>
      <c r="B33" s="1588"/>
      <c r="C33" s="344" t="s">
        <v>2552</v>
      </c>
      <c r="D33" s="355" t="s">
        <v>2553</v>
      </c>
      <c r="E33" s="841" t="s">
        <v>52</v>
      </c>
      <c r="F33" s="863"/>
      <c r="G33" s="863"/>
      <c r="H33" s="864"/>
      <c r="I33" s="864"/>
      <c r="J33" s="864"/>
      <c r="K33" s="864"/>
      <c r="L33" s="864"/>
      <c r="M33" s="864"/>
      <c r="N33" s="852">
        <v>6.9999999999999999E-4</v>
      </c>
      <c r="O33" s="864"/>
      <c r="P33" s="864"/>
      <c r="Q33" s="864"/>
      <c r="R33" s="864"/>
      <c r="S33" s="864"/>
      <c r="T33" s="864"/>
      <c r="U33" s="864"/>
      <c r="V33" s="958">
        <v>5.0000000000000001E-4</v>
      </c>
      <c r="W33" s="958">
        <v>8.0000000000000004E-4</v>
      </c>
      <c r="X33" s="958">
        <v>2.0000000000000001E-4</v>
      </c>
      <c r="Y33" s="973">
        <v>2.9999999999999997E-4</v>
      </c>
      <c r="Z33" s="958">
        <v>2E-3</v>
      </c>
      <c r="AA33" s="864"/>
      <c r="AB33" s="864"/>
      <c r="AC33" s="864"/>
      <c r="AD33" s="864"/>
      <c r="AE33" s="864"/>
      <c r="AF33" s="864"/>
      <c r="AG33" s="864"/>
      <c r="AH33" s="864"/>
      <c r="AI33" s="864"/>
      <c r="AJ33" s="864"/>
      <c r="AK33" s="864"/>
      <c r="AL33" s="864"/>
      <c r="AM33" s="864"/>
      <c r="AN33" s="864"/>
      <c r="AO33" s="864"/>
      <c r="AP33" s="864"/>
      <c r="AQ33" s="864"/>
      <c r="AR33" s="864"/>
      <c r="AS33" s="864"/>
      <c r="AT33" s="864"/>
      <c r="AU33" s="864"/>
      <c r="AV33" s="958">
        <v>5.9999999999999995E-4</v>
      </c>
      <c r="AW33" s="958"/>
      <c r="AX33" s="864"/>
      <c r="AY33" s="864"/>
      <c r="AZ33" s="864"/>
      <c r="BA33" s="852">
        <v>2.0000000000000001E-4</v>
      </c>
      <c r="BB33" s="946" t="s">
        <v>2776</v>
      </c>
      <c r="BC33" s="958">
        <v>6.4999999999999997E-3</v>
      </c>
      <c r="BD33" s="958">
        <v>8.9999999999999998E-4</v>
      </c>
      <c r="BE33" s="864"/>
      <c r="BF33" s="864"/>
      <c r="BG33" s="864"/>
      <c r="BH33" s="864"/>
      <c r="BI33" s="864"/>
      <c r="BJ33" s="864"/>
      <c r="BK33" s="864"/>
      <c r="BL33" s="864"/>
      <c r="BM33" s="864"/>
      <c r="BN33" s="864"/>
      <c r="BO33" s="864"/>
      <c r="BP33" s="864"/>
      <c r="BQ33" s="864"/>
      <c r="BR33" s="864"/>
      <c r="BS33" s="864"/>
      <c r="BT33" s="958">
        <v>9.5500000000000002E-2</v>
      </c>
      <c r="BU33" s="958">
        <v>1E-3</v>
      </c>
      <c r="BV33" s="958">
        <v>0.88</v>
      </c>
      <c r="BW33" s="958">
        <v>8.0000000000000004E-4</v>
      </c>
      <c r="BX33" s="864"/>
      <c r="BY33" s="864"/>
      <c r="BZ33" s="864"/>
      <c r="CA33" s="864"/>
      <c r="CB33" s="864"/>
      <c r="CC33" s="959">
        <v>2E-3</v>
      </c>
      <c r="CD33" s="864"/>
      <c r="CE33" s="864"/>
      <c r="CF33" s="864"/>
      <c r="CG33" s="864"/>
      <c r="CH33" s="864"/>
      <c r="CI33" s="864"/>
      <c r="CJ33" s="864"/>
      <c r="CK33" s="958"/>
      <c r="CL33" s="958"/>
      <c r="CM33" s="864"/>
      <c r="CN33" s="864"/>
      <c r="CO33" s="864"/>
      <c r="CP33" s="864"/>
      <c r="CQ33" s="864"/>
      <c r="CR33" s="864"/>
      <c r="CS33" s="864"/>
      <c r="CT33" s="864"/>
      <c r="CU33" s="864"/>
      <c r="CV33" s="864"/>
      <c r="CW33" s="864"/>
      <c r="CX33" s="864"/>
      <c r="CY33" s="864"/>
      <c r="CZ33" s="864"/>
      <c r="DA33" s="864"/>
      <c r="DB33" s="864"/>
      <c r="DC33" s="864"/>
      <c r="DD33" s="864"/>
      <c r="DE33" s="864"/>
      <c r="DF33" s="958">
        <v>5.0000000000000001E-4</v>
      </c>
      <c r="DG33" s="864"/>
      <c r="DH33" s="958">
        <f>DH27/1960.3</f>
        <v>1.0967709024128959E-4</v>
      </c>
      <c r="DI33" s="958">
        <v>2.9999999999999997E-4</v>
      </c>
      <c r="DJ33" s="958">
        <f>DJ31/258.808</f>
        <v>3.8638681957281078E-4</v>
      </c>
      <c r="DK33" s="958">
        <f>DK31/645.994</f>
        <v>1.5480019938265681E-4</v>
      </c>
      <c r="DL33" s="958">
        <v>5.0000000000000001E-4</v>
      </c>
      <c r="DM33" s="958">
        <v>2.0000000000000001E-4</v>
      </c>
      <c r="DN33" s="864"/>
      <c r="DO33" s="864"/>
      <c r="DP33" s="960">
        <v>3.0000000000000001E-3</v>
      </c>
      <c r="DQ33" s="864"/>
      <c r="DR33" s="864"/>
      <c r="DS33" s="864"/>
      <c r="DT33" s="864"/>
      <c r="DU33" s="864"/>
      <c r="DV33" s="864"/>
      <c r="DW33" s="864"/>
      <c r="DX33" s="864"/>
      <c r="DY33" s="864"/>
      <c r="DZ33" s="864"/>
      <c r="EA33" s="864"/>
      <c r="EB33" s="864"/>
      <c r="EC33" s="864"/>
      <c r="ED33" s="864"/>
      <c r="EE33" s="864"/>
      <c r="EF33" s="958">
        <v>9.0000000000000006E-5</v>
      </c>
      <c r="EG33" s="958" t="s">
        <v>3009</v>
      </c>
      <c r="EH33" s="958">
        <v>8.9999999999999998E-4</v>
      </c>
      <c r="EI33" s="855">
        <v>6.0000000000000002E-5</v>
      </c>
      <c r="EJ33" s="961">
        <v>6.9999999999999999E-4</v>
      </c>
      <c r="EK33" s="961">
        <v>2.1999999999999999E-2</v>
      </c>
      <c r="EL33" s="961">
        <v>5.2999999999999998E-4</v>
      </c>
      <c r="EM33" s="961">
        <v>1.24E-2</v>
      </c>
      <c r="EN33" s="961">
        <v>1E-3</v>
      </c>
      <c r="EO33" s="961">
        <f>EO31/64.135</f>
        <v>7.0320417868558506E-3</v>
      </c>
      <c r="EP33" s="961">
        <v>1.7999999999999999E-2</v>
      </c>
      <c r="EQ33" s="961">
        <v>4.0000000000000002E-4</v>
      </c>
      <c r="ER33" s="961">
        <v>5.0000000000000001E-4</v>
      </c>
      <c r="ES33" s="974">
        <v>2.4E-2</v>
      </c>
      <c r="ET33" s="961">
        <v>2.3599999999999999E-2</v>
      </c>
      <c r="EU33" s="864"/>
      <c r="EV33" s="864"/>
      <c r="EW33" s="958">
        <v>1.1000000000000001E-3</v>
      </c>
      <c r="EX33" s="864"/>
      <c r="EY33" s="864"/>
      <c r="EZ33" s="864"/>
      <c r="FA33" s="864"/>
      <c r="FB33" s="864"/>
      <c r="FC33" s="864"/>
      <c r="FD33" s="864"/>
      <c r="FE33" s="958"/>
      <c r="FF33" s="864"/>
      <c r="FG33" s="864"/>
      <c r="FH33" s="864"/>
      <c r="FI33" s="864"/>
      <c r="FJ33" s="864"/>
      <c r="FK33" s="962">
        <v>5.0000000000000002E-5</v>
      </c>
      <c r="FL33" s="958">
        <v>1E-3</v>
      </c>
      <c r="FM33" s="958">
        <v>1.1900000000000001E-2</v>
      </c>
      <c r="FN33" s="958">
        <v>7.4000000000000003E-3</v>
      </c>
      <c r="FO33" s="958">
        <v>1.09E-2</v>
      </c>
      <c r="FP33" s="958">
        <v>2.3E-2</v>
      </c>
      <c r="FQ33" s="958">
        <v>8.9999999999999993E-3</v>
      </c>
      <c r="FR33" s="864"/>
      <c r="FS33" s="864"/>
      <c r="FT33" s="864"/>
      <c r="FU33" s="864"/>
      <c r="FV33" s="864"/>
      <c r="FW33" s="864"/>
      <c r="FX33" s="864"/>
      <c r="FY33" s="864"/>
      <c r="FZ33" s="864"/>
      <c r="GA33" s="958">
        <v>1.1999999999999999E-3</v>
      </c>
      <c r="GB33" s="958">
        <v>5.0000000000000001E-4</v>
      </c>
      <c r="GC33" s="958"/>
      <c r="GD33" s="975">
        <v>1.6000000000000001E-4</v>
      </c>
      <c r="GE33" s="958">
        <v>1</v>
      </c>
      <c r="GF33" s="958">
        <v>1</v>
      </c>
      <c r="GG33" s="958">
        <v>2.0000000000000001E-4</v>
      </c>
      <c r="GH33" s="864"/>
      <c r="GI33" s="864"/>
      <c r="GJ33" s="864"/>
      <c r="GK33" s="864"/>
      <c r="GL33" s="864"/>
      <c r="GM33" s="864"/>
      <c r="GN33" s="864"/>
      <c r="GO33" s="963">
        <f>6000000/4570694478.68</f>
        <v>1.3127107987608872E-3</v>
      </c>
      <c r="GP33" s="964">
        <v>1.6000000000000001E-3</v>
      </c>
      <c r="GQ33" s="965">
        <v>5.7999999999999996E-3</v>
      </c>
      <c r="GR33" s="864"/>
      <c r="GS33" s="864"/>
      <c r="GT33" s="864"/>
      <c r="GU33" s="864"/>
      <c r="GV33" s="864"/>
      <c r="GW33" s="864"/>
      <c r="GX33" s="864"/>
      <c r="GY33" s="864"/>
      <c r="GZ33" s="864"/>
      <c r="HA33" s="864"/>
      <c r="HB33" s="864"/>
      <c r="HC33" s="864"/>
      <c r="HD33" s="864"/>
      <c r="HE33" s="958">
        <v>2.9999999999999997E-4</v>
      </c>
      <c r="HF33" s="958">
        <v>6.1999999999999998E-3</v>
      </c>
      <c r="HG33" s="864"/>
      <c r="HH33" s="961">
        <v>1.2E-2</v>
      </c>
      <c r="HI33" s="958">
        <v>2.0999999999999999E-3</v>
      </c>
      <c r="HJ33" s="958">
        <v>3.8000000000000002E-4</v>
      </c>
      <c r="HK33" s="961">
        <v>1E-4</v>
      </c>
      <c r="HL33" s="864"/>
      <c r="HM33" s="864"/>
      <c r="HN33" s="864"/>
      <c r="HO33" s="968">
        <v>2.5600000000000001E-2</v>
      </c>
      <c r="HP33" s="958">
        <v>5.5E-2</v>
      </c>
      <c r="HQ33" s="958">
        <v>1E-4</v>
      </c>
      <c r="HR33" s="959">
        <v>1E-4</v>
      </c>
      <c r="HS33" s="958">
        <v>1E-4</v>
      </c>
      <c r="HT33" s="958">
        <v>1E-4</v>
      </c>
      <c r="HU33" s="958">
        <v>1E-4</v>
      </c>
      <c r="HV33" s="962">
        <f>0.1/156.7*100</f>
        <v>6.381620931716657E-2</v>
      </c>
      <c r="HW33" s="958">
        <v>1E-4</v>
      </c>
      <c r="HX33" s="958">
        <v>3.6499999999999998E-2</v>
      </c>
      <c r="HY33" s="958">
        <v>2.4E-2</v>
      </c>
      <c r="HZ33" s="958">
        <v>1E-4</v>
      </c>
      <c r="IA33" s="958">
        <v>5.0000000000000001E-3</v>
      </c>
      <c r="IB33" s="957">
        <v>0.06</v>
      </c>
      <c r="IC33" s="958">
        <v>1E-3</v>
      </c>
      <c r="ID33" s="958">
        <v>1</v>
      </c>
      <c r="IE33" s="958">
        <v>2.4000000000000001E-4</v>
      </c>
      <c r="IF33" s="958">
        <v>1E-4</v>
      </c>
      <c r="IG33" s="970">
        <v>1.7999999999999999E-2</v>
      </c>
      <c r="IH33" s="958">
        <v>6.9999999999999999E-4</v>
      </c>
      <c r="II33" s="958">
        <v>1.2999999999999999E-3</v>
      </c>
      <c r="IJ33" s="959">
        <v>1.0999999999999999E-2</v>
      </c>
      <c r="IK33" s="958">
        <v>1E-4</v>
      </c>
      <c r="IL33" s="969">
        <v>4.0000000000000001E-3</v>
      </c>
      <c r="IM33" s="976">
        <v>5.6999999999999996E-6</v>
      </c>
      <c r="IN33" s="958">
        <v>9.0000000000000006E-5</v>
      </c>
      <c r="IO33" s="864"/>
      <c r="IP33" s="864"/>
      <c r="IQ33" s="864"/>
      <c r="IR33" s="959">
        <f>IR27/3650.273</f>
        <v>1.532214165899372E-4</v>
      </c>
      <c r="IS33" s="958">
        <v>2.8000000000000001E-2</v>
      </c>
      <c r="IT33" s="958">
        <f>IT31/3751.7956</f>
        <v>8.326539883995813E-4</v>
      </c>
      <c r="IU33" s="969">
        <v>2E-3</v>
      </c>
      <c r="IV33" s="958">
        <v>8.0000000000000004E-4</v>
      </c>
      <c r="IW33" s="954">
        <f>IW27/3169.4*100</f>
        <v>0.26156370290906794</v>
      </c>
      <c r="IX33" s="955">
        <v>0.22</v>
      </c>
      <c r="IY33" s="855">
        <v>0.17</v>
      </c>
      <c r="IZ33" s="958">
        <f>14.95/11657.9</f>
        <v>1.2823921975655993E-3</v>
      </c>
      <c r="JA33" s="958">
        <v>3.8E-3</v>
      </c>
      <c r="JB33" s="958">
        <v>6.9999999999999999E-4</v>
      </c>
      <c r="JC33" s="958">
        <v>2.9999999999999997E-4</v>
      </c>
      <c r="JD33" s="958">
        <v>8.9999999999999998E-4</v>
      </c>
      <c r="JE33" s="958">
        <f>45.729/3101.2</f>
        <v>1.4745582355217337E-2</v>
      </c>
      <c r="JF33" s="961">
        <v>4.0000000000000001E-3</v>
      </c>
      <c r="JG33" s="958">
        <v>3.5000000000000003E-2</v>
      </c>
      <c r="JH33" s="958"/>
      <c r="JI33" s="958">
        <v>8.9999999999999998E-4</v>
      </c>
      <c r="JJ33" s="958">
        <v>5.9999999999999995E-4</v>
      </c>
      <c r="JK33" s="958">
        <f>JK27/75.247</f>
        <v>1.7741571092535251E-2</v>
      </c>
      <c r="JL33" s="958">
        <f>JL27/42517*100</f>
        <v>3.1987205117952819E-3</v>
      </c>
      <c r="JM33" s="958">
        <f>JM27/60.457</f>
        <v>2.2048728848603139E-2</v>
      </c>
      <c r="JN33" s="958">
        <f>JN27/40.546</f>
        <v>9.8900014798007207E-3</v>
      </c>
      <c r="JO33" s="958">
        <f>JO27/41.662</f>
        <v>6.0006720752724309E-3</v>
      </c>
      <c r="JP33" s="958"/>
      <c r="JQ33" s="961">
        <v>1</v>
      </c>
      <c r="JR33" s="958"/>
      <c r="JS33" s="958">
        <v>1.04E-2</v>
      </c>
      <c r="JT33" s="958">
        <f>JT31/61.297</f>
        <v>1.6248756056576996E-2</v>
      </c>
      <c r="JU33" s="958">
        <v>1</v>
      </c>
      <c r="JV33" s="958"/>
      <c r="JW33" s="958"/>
      <c r="JX33" s="958">
        <v>0.58499999999999996</v>
      </c>
      <c r="JY33" s="958">
        <v>8.0999999999999996E-3</v>
      </c>
      <c r="JZ33" s="958">
        <v>3.0099999999999998E-2</v>
      </c>
      <c r="KA33" s="958">
        <f>KA27/210.848</f>
        <v>2.5861483533161329E-2</v>
      </c>
      <c r="KB33" s="958">
        <f>KB27/5421.1</f>
        <v>3.3712964158565603E-3</v>
      </c>
      <c r="KC33" s="958">
        <v>9.0000000000000006E-5</v>
      </c>
      <c r="KD33" s="958">
        <v>6.9999999999999994E-5</v>
      </c>
      <c r="KE33" s="959">
        <f>KE31/216.773</f>
        <v>2.4906238323038382E-3</v>
      </c>
      <c r="KF33" s="959">
        <f>KF31/29.847</f>
        <v>4.7697591047676478E-2</v>
      </c>
      <c r="KG33" s="959">
        <f>KG31/59.778612</f>
        <v>9.4977113219022226E-3</v>
      </c>
      <c r="KH33" s="959">
        <f>KH31/27.391</f>
        <v>1.0222335803731154E-2</v>
      </c>
      <c r="KI33" s="959">
        <f>KI31/29.416156</f>
        <v>5.1366330801346028E-3</v>
      </c>
      <c r="KJ33" s="959">
        <f>KJ31/23.154731</f>
        <v>1.3110063770552981E-2</v>
      </c>
      <c r="KK33" s="959">
        <f>KK31/39.586888</f>
        <v>7.993555846067011E-3</v>
      </c>
      <c r="KL33" s="958">
        <v>1E-4</v>
      </c>
      <c r="KM33" s="864"/>
      <c r="KN33" s="864"/>
      <c r="KO33" s="864"/>
      <c r="KP33" s="864"/>
      <c r="KQ33" s="864"/>
      <c r="KR33" s="958">
        <v>4.0000000000000002E-4</v>
      </c>
      <c r="KS33" s="863" t="s">
        <v>5340</v>
      </c>
      <c r="KT33" s="958">
        <v>2.0000000000000001E-4</v>
      </c>
      <c r="KU33" s="864"/>
      <c r="KV33" s="958">
        <v>8.0000000000000004E-4</v>
      </c>
      <c r="KW33" s="958">
        <v>1.7406206894151469E-3</v>
      </c>
      <c r="KX33" s="958"/>
      <c r="KY33" s="961">
        <v>4.0000000000000001E-3</v>
      </c>
      <c r="KZ33" s="958">
        <f>11594240.5/6744606282</f>
        <v>1.7190388905194806E-3</v>
      </c>
      <c r="LA33" s="958">
        <v>2.47E-2</v>
      </c>
      <c r="LB33" s="958">
        <f>10.237/10562.582787</f>
        <v>9.691758357245054E-4</v>
      </c>
      <c r="LC33" s="958">
        <f>3.733/1073.515777</f>
        <v>3.4773592340040663E-3</v>
      </c>
      <c r="LD33" s="958">
        <v>9.1000000000000004E-3</v>
      </c>
      <c r="LE33" s="958">
        <v>4.3600000000000002E-3</v>
      </c>
      <c r="LF33" s="961">
        <v>2.9999999999999997E-4</v>
      </c>
      <c r="LG33" s="961">
        <v>5.0000000000000001E-3</v>
      </c>
      <c r="LH33" s="961">
        <v>2E-3</v>
      </c>
      <c r="LI33" s="961">
        <v>6.3E-3</v>
      </c>
      <c r="LJ33" s="961">
        <v>8.0000000000000004E-4</v>
      </c>
      <c r="LK33" s="961">
        <v>2.5000000000000001E-3</v>
      </c>
      <c r="LL33" s="961">
        <v>5.0000000000000001E-3</v>
      </c>
      <c r="LM33" s="961">
        <v>2.5000000000000001E-3</v>
      </c>
      <c r="LN33" s="961">
        <v>7.5000000000000002E-4</v>
      </c>
      <c r="LO33" s="972">
        <v>8.0000000000000004E-4</v>
      </c>
      <c r="LP33" s="961">
        <v>4.0000000000000002E-4</v>
      </c>
      <c r="LQ33" s="961">
        <v>2.0000000000000001E-4</v>
      </c>
      <c r="LR33" s="961">
        <f>LR31/13209.83</f>
        <v>1.4273461505560632E-3</v>
      </c>
      <c r="LS33" s="961">
        <f>LS31/586.9628</f>
        <v>2.5299729386598266E-3</v>
      </c>
      <c r="LT33" s="961">
        <f>LT31/124.843</f>
        <v>4.0050303180795077E-3</v>
      </c>
      <c r="LU33" s="961">
        <f>1/260.5</f>
        <v>3.838771593090211E-3</v>
      </c>
      <c r="LV33" s="977">
        <v>1.7498678368569518E-3</v>
      </c>
      <c r="LW33" s="961">
        <f>LW31/454</f>
        <v>1.9449339207048457E-3</v>
      </c>
      <c r="LX33" s="961">
        <f>LX31/60.39</f>
        <v>8.1594634873323399E-3</v>
      </c>
      <c r="LY33" s="961">
        <f>LY31/65.262</f>
        <v>7.6154576936042408E-3</v>
      </c>
    </row>
    <row r="34" spans="1:337" ht="31.5" customHeight="1" x14ac:dyDescent="0.25">
      <c r="A34" s="1583" t="s">
        <v>86</v>
      </c>
      <c r="B34" s="1589" t="s">
        <v>266</v>
      </c>
      <c r="C34" s="331" t="s">
        <v>95</v>
      </c>
      <c r="D34" s="332" t="s">
        <v>267</v>
      </c>
      <c r="E34" s="839" t="s">
        <v>152</v>
      </c>
      <c r="F34" s="863"/>
      <c r="G34" s="863"/>
      <c r="H34" s="864"/>
      <c r="I34" s="864"/>
      <c r="J34" s="864"/>
      <c r="K34" s="864"/>
      <c r="L34" s="864"/>
      <c r="M34" s="864"/>
      <c r="N34" s="852"/>
      <c r="O34" s="864"/>
      <c r="P34" s="864"/>
      <c r="Q34" s="864"/>
      <c r="R34" s="864"/>
      <c r="S34" s="864"/>
      <c r="T34" s="864"/>
      <c r="U34" s="864"/>
      <c r="V34" s="945">
        <v>0.02</v>
      </c>
      <c r="W34" s="945">
        <v>0.32700000000000001</v>
      </c>
      <c r="X34" s="945">
        <v>0.01</v>
      </c>
      <c r="Y34" s="945">
        <v>5.5E-2</v>
      </c>
      <c r="Z34" s="945">
        <v>1</v>
      </c>
      <c r="AA34" s="864"/>
      <c r="AB34" s="864"/>
      <c r="AC34" s="864"/>
      <c r="AD34" s="864"/>
      <c r="AE34" s="864"/>
      <c r="AF34" s="864"/>
      <c r="AG34" s="864"/>
      <c r="AH34" s="864"/>
      <c r="AI34" s="864"/>
      <c r="AJ34" s="864"/>
      <c r="AK34" s="864"/>
      <c r="AL34" s="864"/>
      <c r="AM34" s="864"/>
      <c r="AN34" s="864"/>
      <c r="AO34" s="864"/>
      <c r="AP34" s="864"/>
      <c r="AQ34" s="864"/>
      <c r="AR34" s="864"/>
      <c r="AS34" s="864"/>
      <c r="AT34" s="864"/>
      <c r="AU34" s="864"/>
      <c r="AV34" s="945">
        <v>1.7000000000000001E-2</v>
      </c>
      <c r="AW34" s="945">
        <v>1.137</v>
      </c>
      <c r="AX34" s="864"/>
      <c r="AY34" s="864"/>
      <c r="AZ34" s="864"/>
      <c r="BA34" s="852">
        <v>0.4</v>
      </c>
      <c r="BB34" s="946" t="s">
        <v>2777</v>
      </c>
      <c r="BC34" s="945">
        <v>3.5</v>
      </c>
      <c r="BD34" s="978">
        <v>0.13200000000000001</v>
      </c>
      <c r="BE34" s="864"/>
      <c r="BF34" s="864"/>
      <c r="BG34" s="864"/>
      <c r="BH34" s="864"/>
      <c r="BI34" s="864"/>
      <c r="BJ34" s="864"/>
      <c r="BK34" s="864"/>
      <c r="BL34" s="864"/>
      <c r="BM34" s="864"/>
      <c r="BN34" s="864"/>
      <c r="BO34" s="864"/>
      <c r="BP34" s="864"/>
      <c r="BQ34" s="864"/>
      <c r="BR34" s="864"/>
      <c r="BS34" s="864"/>
      <c r="BT34" s="945">
        <f>23.4739+0.046+1.818+0.02</f>
        <v>25.357900000000001</v>
      </c>
      <c r="BU34" s="945">
        <v>2.3130000000000002</v>
      </c>
      <c r="BV34" s="945"/>
      <c r="BW34" s="945">
        <v>0.4</v>
      </c>
      <c r="BX34" s="864"/>
      <c r="BY34" s="864"/>
      <c r="BZ34" s="864"/>
      <c r="CA34" s="864"/>
      <c r="CB34" s="864"/>
      <c r="CC34" s="947">
        <v>1.1000000000000001</v>
      </c>
      <c r="CD34" s="864"/>
      <c r="CE34" s="864"/>
      <c r="CF34" s="864"/>
      <c r="CG34" s="864"/>
      <c r="CH34" s="864"/>
      <c r="CI34" s="864"/>
      <c r="CJ34" s="864"/>
      <c r="CK34" s="945">
        <v>4.0141700000000002E-2</v>
      </c>
      <c r="CL34" s="945"/>
      <c r="CM34" s="864"/>
      <c r="CN34" s="864"/>
      <c r="CO34" s="864"/>
      <c r="CP34" s="864"/>
      <c r="CQ34" s="864"/>
      <c r="CR34" s="864"/>
      <c r="CS34" s="864"/>
      <c r="CT34" s="864"/>
      <c r="CU34" s="864"/>
      <c r="CV34" s="864"/>
      <c r="CW34" s="864"/>
      <c r="CX34" s="864"/>
      <c r="CY34" s="864"/>
      <c r="CZ34" s="864"/>
      <c r="DA34" s="864"/>
      <c r="DB34" s="864"/>
      <c r="DC34" s="864"/>
      <c r="DD34" s="864"/>
      <c r="DE34" s="864"/>
      <c r="DF34" s="945">
        <v>0.5</v>
      </c>
      <c r="DG34" s="864"/>
      <c r="DH34" s="945"/>
      <c r="DI34" s="945"/>
      <c r="DJ34" s="945"/>
      <c r="DK34" s="945"/>
      <c r="DL34" s="945"/>
      <c r="DM34" s="945"/>
      <c r="DN34" s="864"/>
      <c r="DO34" s="864"/>
      <c r="DP34" s="979">
        <v>0.02</v>
      </c>
      <c r="DQ34" s="864"/>
      <c r="DR34" s="864"/>
      <c r="DS34" s="864"/>
      <c r="DT34" s="864"/>
      <c r="DU34" s="864"/>
      <c r="DV34" s="864"/>
      <c r="DW34" s="864"/>
      <c r="DX34" s="864"/>
      <c r="DY34" s="864"/>
      <c r="DZ34" s="864"/>
      <c r="EA34" s="864"/>
      <c r="EB34" s="864"/>
      <c r="EC34" s="864"/>
      <c r="ED34" s="864"/>
      <c r="EE34" s="864"/>
      <c r="EF34" s="945">
        <v>7.0000000000000001E-3</v>
      </c>
      <c r="EG34" s="945" t="s">
        <v>5341</v>
      </c>
      <c r="EH34" s="945">
        <v>9.7299999999999998E-2</v>
      </c>
      <c r="EI34" s="855">
        <v>5.0000000000000001E-3</v>
      </c>
      <c r="EJ34" s="949">
        <v>0.04</v>
      </c>
      <c r="EK34" s="949">
        <v>0.313</v>
      </c>
      <c r="EL34" s="949">
        <v>2.9000000000000001E-2</v>
      </c>
      <c r="EM34" s="949">
        <v>3.1E-2</v>
      </c>
      <c r="EN34" s="949">
        <v>0.3</v>
      </c>
      <c r="EO34" s="949">
        <v>2.3E-2</v>
      </c>
      <c r="EP34" s="949">
        <v>1.4999999999999999E-2</v>
      </c>
      <c r="EQ34" s="949">
        <v>0.03</v>
      </c>
      <c r="ER34" s="949">
        <v>9.4E-2</v>
      </c>
      <c r="ES34" s="949"/>
      <c r="ET34" s="949">
        <v>4.7E-2</v>
      </c>
      <c r="EU34" s="864"/>
      <c r="EV34" s="864"/>
      <c r="EW34" s="945">
        <v>21.286000000000001</v>
      </c>
      <c r="EX34" s="864"/>
      <c r="EY34" s="864"/>
      <c r="EZ34" s="864"/>
      <c r="FA34" s="864"/>
      <c r="FB34" s="864"/>
      <c r="FC34" s="864"/>
      <c r="FD34" s="864"/>
      <c r="FE34" s="945">
        <v>2.2128000000000001</v>
      </c>
      <c r="FF34" s="864"/>
      <c r="FG34" s="864"/>
      <c r="FH34" s="864"/>
      <c r="FI34" s="864"/>
      <c r="FJ34" s="864"/>
      <c r="FK34" s="962"/>
      <c r="FL34" s="943"/>
      <c r="FM34" s="945">
        <v>5.8000000000000003E-2</v>
      </c>
      <c r="FN34" s="945"/>
      <c r="FO34" s="945">
        <v>0</v>
      </c>
      <c r="FP34" s="958"/>
      <c r="FQ34" s="945">
        <v>0</v>
      </c>
      <c r="FR34" s="864"/>
      <c r="FS34" s="864"/>
      <c r="FT34" s="864"/>
      <c r="FU34" s="864"/>
      <c r="FV34" s="864"/>
      <c r="FW34" s="864"/>
      <c r="FX34" s="864"/>
      <c r="FY34" s="864"/>
      <c r="FZ34" s="864"/>
      <c r="GA34" s="945">
        <v>0.126</v>
      </c>
      <c r="GB34" s="945">
        <v>6.0999999999999999E-2</v>
      </c>
      <c r="GC34" s="945"/>
      <c r="GD34" s="945">
        <v>0.113</v>
      </c>
      <c r="GE34" s="945">
        <v>0</v>
      </c>
      <c r="GF34" s="945"/>
      <c r="GG34" s="945">
        <v>2.1259999999999999</v>
      </c>
      <c r="GH34" s="864"/>
      <c r="GI34" s="864"/>
      <c r="GJ34" s="864"/>
      <c r="GK34" s="864"/>
      <c r="GL34" s="864"/>
      <c r="GM34" s="864"/>
      <c r="GN34" s="864"/>
      <c r="GO34" s="950"/>
      <c r="GP34" s="951">
        <v>8.4000000000000005E-2</v>
      </c>
      <c r="GQ34" s="952">
        <v>1.6739999999999999</v>
      </c>
      <c r="GR34" s="864"/>
      <c r="GS34" s="864"/>
      <c r="GT34" s="864"/>
      <c r="GU34" s="864"/>
      <c r="GV34" s="864"/>
      <c r="GW34" s="864"/>
      <c r="GX34" s="864"/>
      <c r="GY34" s="864"/>
      <c r="GZ34" s="864"/>
      <c r="HA34" s="864"/>
      <c r="HB34" s="864"/>
      <c r="HC34" s="864"/>
      <c r="HD34" s="864"/>
      <c r="HE34" s="980"/>
      <c r="HF34" s="945"/>
      <c r="HG34" s="864"/>
      <c r="HH34" s="949">
        <v>1.522</v>
      </c>
      <c r="HI34" s="945">
        <v>4.8319999999999999</v>
      </c>
      <c r="HJ34" s="945">
        <v>5.6000000000000001E-2</v>
      </c>
      <c r="HK34" s="949">
        <v>0.10249999999999999</v>
      </c>
      <c r="HL34" s="864"/>
      <c r="HM34" s="864"/>
      <c r="HN34" s="864"/>
      <c r="HO34" s="953">
        <v>0</v>
      </c>
      <c r="HP34" s="945"/>
      <c r="HQ34" s="945"/>
      <c r="HR34" s="947"/>
      <c r="HS34" s="945">
        <v>0</v>
      </c>
      <c r="HT34" s="945"/>
      <c r="HU34" s="945">
        <v>0</v>
      </c>
      <c r="HV34" s="943"/>
      <c r="HW34" s="945">
        <v>0</v>
      </c>
      <c r="HX34" s="945">
        <v>0</v>
      </c>
      <c r="HY34" s="945"/>
      <c r="HZ34" s="945"/>
      <c r="IA34" s="945"/>
      <c r="IB34" s="945"/>
      <c r="IC34" s="945"/>
      <c r="ID34" s="945" t="s">
        <v>504</v>
      </c>
      <c r="IE34" s="945"/>
      <c r="IF34" s="945"/>
      <c r="IG34" s="947"/>
      <c r="IH34" s="945"/>
      <c r="II34" s="945">
        <v>9.2999999999999999E-2</v>
      </c>
      <c r="IJ34" s="947">
        <v>0.02</v>
      </c>
      <c r="IK34" s="945"/>
      <c r="IL34" s="980"/>
      <c r="IM34" s="945">
        <v>4.48E-2</v>
      </c>
      <c r="IN34" s="945"/>
      <c r="IO34" s="864"/>
      <c r="IP34" s="864"/>
      <c r="IQ34" s="864"/>
      <c r="IR34" s="947"/>
      <c r="IS34" s="945">
        <v>0.92279999999999995</v>
      </c>
      <c r="IT34" s="945"/>
      <c r="IU34" s="945">
        <v>7.8E-2</v>
      </c>
      <c r="IV34" s="945">
        <v>0.03</v>
      </c>
      <c r="IW34" s="954">
        <v>0.76597000000000004</v>
      </c>
      <c r="IX34" s="955">
        <v>0.6</v>
      </c>
      <c r="IY34" s="956">
        <v>0.25</v>
      </c>
      <c r="IZ34" s="945">
        <v>8.6</v>
      </c>
      <c r="JA34" s="854">
        <v>0.29399999999999998</v>
      </c>
      <c r="JB34" s="945">
        <v>1.492</v>
      </c>
      <c r="JC34" s="945">
        <v>0.09</v>
      </c>
      <c r="JD34" s="945">
        <v>0.75700000000000001</v>
      </c>
      <c r="JE34" s="945">
        <f>15.2/1000</f>
        <v>1.52E-2</v>
      </c>
      <c r="JF34" s="949">
        <v>1.028</v>
      </c>
      <c r="JG34" s="945">
        <v>0.2</v>
      </c>
      <c r="JH34" s="945">
        <v>6.4000000000000001E-2</v>
      </c>
      <c r="JI34" s="945">
        <v>0.26100000000000001</v>
      </c>
      <c r="JJ34" s="945">
        <v>0.29099999999999998</v>
      </c>
      <c r="JK34" s="945">
        <v>7.5999999999999998E-2</v>
      </c>
      <c r="JL34" s="945">
        <v>0.157</v>
      </c>
      <c r="JM34" s="945">
        <v>1.0999999999999999E-2</v>
      </c>
      <c r="JN34" s="945">
        <v>0.10299999999999999</v>
      </c>
      <c r="JO34" s="945">
        <v>2.5000000000000001E-2</v>
      </c>
      <c r="JP34" s="945">
        <v>9.9000000000000005E-2</v>
      </c>
      <c r="JQ34" s="949">
        <v>4.4999999999999998E-2</v>
      </c>
      <c r="JR34" s="945"/>
      <c r="JS34" s="945"/>
      <c r="JT34" s="945"/>
      <c r="JU34" s="945"/>
      <c r="JV34" s="945"/>
      <c r="JW34" s="945">
        <v>0.08</v>
      </c>
      <c r="JX34" s="945"/>
      <c r="JY34" s="945">
        <v>0</v>
      </c>
      <c r="JZ34" s="945">
        <v>1.2E-2</v>
      </c>
      <c r="KA34" s="945">
        <v>1.2999999999999999E-2</v>
      </c>
      <c r="KB34" s="945"/>
      <c r="KC34" s="945">
        <v>0.01</v>
      </c>
      <c r="KD34" s="945">
        <v>5.0000000000000001E-3</v>
      </c>
      <c r="KE34" s="981">
        <v>6.0299999999999999E-2</v>
      </c>
      <c r="KF34" s="947">
        <f>74.93/1000</f>
        <v>7.493000000000001E-2</v>
      </c>
      <c r="KG34" s="947">
        <f>(29.74+33.46)/1000</f>
        <v>6.3200000000000006E-2</v>
      </c>
      <c r="KH34" s="947">
        <f>30/1000</f>
        <v>0.03</v>
      </c>
      <c r="KI34" s="947"/>
      <c r="KJ34" s="947"/>
      <c r="KK34" s="947">
        <f>35.1/1000</f>
        <v>3.5099999999999999E-2</v>
      </c>
      <c r="KL34" s="945"/>
      <c r="KM34" s="864"/>
      <c r="KN34" s="864"/>
      <c r="KO34" s="864"/>
      <c r="KP34" s="864"/>
      <c r="KQ34" s="864"/>
      <c r="KR34" s="945">
        <v>1.034</v>
      </c>
      <c r="KS34" s="863"/>
      <c r="KT34" s="957">
        <v>0.125</v>
      </c>
      <c r="KU34" s="864"/>
      <c r="KV34" s="945"/>
      <c r="KW34" s="945">
        <v>0.38400000000000001</v>
      </c>
      <c r="KX34" s="945"/>
      <c r="KY34" s="858"/>
      <c r="KZ34" s="945"/>
      <c r="LA34" s="945"/>
      <c r="LB34" s="945"/>
      <c r="LC34" s="945"/>
      <c r="LD34" s="945"/>
      <c r="LE34" s="945"/>
      <c r="LF34" s="949">
        <v>3.2000000000000001E-2</v>
      </c>
      <c r="LG34" s="949"/>
      <c r="LH34" s="949"/>
      <c r="LI34" s="949">
        <v>5.2500000000000003E-3</v>
      </c>
      <c r="LJ34" s="949">
        <v>1.0800000000000001E-2</v>
      </c>
      <c r="LK34" s="949">
        <v>1E-3</v>
      </c>
      <c r="LL34" s="949"/>
      <c r="LM34" s="949"/>
      <c r="LN34" s="949">
        <v>0.1196</v>
      </c>
      <c r="LO34" s="949">
        <v>3.0000000000000001E-3</v>
      </c>
      <c r="LP34" s="949"/>
      <c r="LQ34" s="949"/>
      <c r="LR34" s="949">
        <v>0.02</v>
      </c>
      <c r="LS34" s="949">
        <v>1.4999999999999999E-2</v>
      </c>
      <c r="LT34" s="949"/>
      <c r="LU34" s="949"/>
      <c r="LV34" s="949"/>
      <c r="LW34" s="949">
        <v>0.05</v>
      </c>
      <c r="LX34" s="949"/>
      <c r="LY34" s="949"/>
    </row>
    <row r="35" spans="1:337" ht="30.75" customHeight="1" thickBot="1" x14ac:dyDescent="0.3">
      <c r="A35" s="1585"/>
      <c r="B35" s="1591"/>
      <c r="C35" s="335" t="s">
        <v>96</v>
      </c>
      <c r="D35" s="336" t="s">
        <v>231</v>
      </c>
      <c r="E35" s="836" t="s">
        <v>52</v>
      </c>
      <c r="F35" s="863"/>
      <c r="G35" s="863"/>
      <c r="H35" s="864"/>
      <c r="I35" s="864"/>
      <c r="J35" s="864"/>
      <c r="K35" s="864"/>
      <c r="L35" s="864"/>
      <c r="M35" s="864"/>
      <c r="N35" s="852"/>
      <c r="O35" s="864"/>
      <c r="P35" s="864"/>
      <c r="Q35" s="864"/>
      <c r="R35" s="864"/>
      <c r="S35" s="864"/>
      <c r="T35" s="864"/>
      <c r="U35" s="864"/>
      <c r="V35" s="958">
        <v>4.8500000000000001E-2</v>
      </c>
      <c r="W35" s="958">
        <v>0.19139999999999999</v>
      </c>
      <c r="X35" s="958">
        <v>4.2000000000000003E-2</v>
      </c>
      <c r="Y35" s="958">
        <v>0.13750000000000001</v>
      </c>
      <c r="Z35" s="958">
        <v>0.23250000000000001</v>
      </c>
      <c r="AA35" s="864"/>
      <c r="AB35" s="864"/>
      <c r="AC35" s="864"/>
      <c r="AD35" s="864"/>
      <c r="AE35" s="864"/>
      <c r="AF35" s="864"/>
      <c r="AG35" s="864"/>
      <c r="AH35" s="864"/>
      <c r="AI35" s="864"/>
      <c r="AJ35" s="864"/>
      <c r="AK35" s="864"/>
      <c r="AL35" s="864"/>
      <c r="AM35" s="864"/>
      <c r="AN35" s="864"/>
      <c r="AO35" s="864"/>
      <c r="AP35" s="864"/>
      <c r="AQ35" s="864"/>
      <c r="AR35" s="864"/>
      <c r="AS35" s="864"/>
      <c r="AT35" s="864"/>
      <c r="AU35" s="864"/>
      <c r="AV35" s="958">
        <v>3.39E-2</v>
      </c>
      <c r="AW35" s="958">
        <f>AW34/AW27</f>
        <v>0.13262568529102997</v>
      </c>
      <c r="AX35" s="864"/>
      <c r="AY35" s="864"/>
      <c r="AZ35" s="864"/>
      <c r="BA35" s="852">
        <v>0.121</v>
      </c>
      <c r="BB35" s="946" t="s">
        <v>2778</v>
      </c>
      <c r="BC35" s="958">
        <v>0.50539999999999996</v>
      </c>
      <c r="BD35" s="957">
        <v>5.64</v>
      </c>
      <c r="BE35" s="864"/>
      <c r="BF35" s="864"/>
      <c r="BG35" s="864"/>
      <c r="BH35" s="864"/>
      <c r="BI35" s="864"/>
      <c r="BJ35" s="864"/>
      <c r="BK35" s="864"/>
      <c r="BL35" s="864"/>
      <c r="BM35" s="864"/>
      <c r="BN35" s="864"/>
      <c r="BO35" s="864"/>
      <c r="BP35" s="864"/>
      <c r="BQ35" s="864"/>
      <c r="BR35" s="864"/>
      <c r="BS35" s="864"/>
      <c r="BT35" s="958">
        <f>BT34/BT27</f>
        <v>2.0746952129970457E-2</v>
      </c>
      <c r="BU35" s="958">
        <v>0.61799999999999999</v>
      </c>
      <c r="BV35" s="958"/>
      <c r="BW35" s="958">
        <v>0.47170000000000001</v>
      </c>
      <c r="BX35" s="864"/>
      <c r="BY35" s="864"/>
      <c r="BZ35" s="864"/>
      <c r="CA35" s="864"/>
      <c r="CB35" s="864"/>
      <c r="CC35" s="959">
        <v>7.0000000000000001E-3</v>
      </c>
      <c r="CD35" s="864"/>
      <c r="CE35" s="864"/>
      <c r="CF35" s="864"/>
      <c r="CG35" s="864"/>
      <c r="CH35" s="864"/>
      <c r="CI35" s="864"/>
      <c r="CJ35" s="864"/>
      <c r="CK35" s="958">
        <v>0.03</v>
      </c>
      <c r="CL35" s="958"/>
      <c r="CM35" s="864"/>
      <c r="CN35" s="864"/>
      <c r="CO35" s="864"/>
      <c r="CP35" s="864"/>
      <c r="CQ35" s="864"/>
      <c r="CR35" s="864"/>
      <c r="CS35" s="864"/>
      <c r="CT35" s="864"/>
      <c r="CU35" s="864"/>
      <c r="CV35" s="864"/>
      <c r="CW35" s="864"/>
      <c r="CX35" s="864"/>
      <c r="CY35" s="864"/>
      <c r="CZ35" s="864"/>
      <c r="DA35" s="864"/>
      <c r="DB35" s="864"/>
      <c r="DC35" s="864"/>
      <c r="DD35" s="864"/>
      <c r="DE35" s="864"/>
      <c r="DF35" s="958">
        <v>0.53190000000000004</v>
      </c>
      <c r="DG35" s="864"/>
      <c r="DH35" s="958"/>
      <c r="DI35" s="958"/>
      <c r="DJ35" s="958"/>
      <c r="DK35" s="958"/>
      <c r="DL35" s="958"/>
      <c r="DM35" s="958"/>
      <c r="DN35" s="864"/>
      <c r="DO35" s="864"/>
      <c r="DP35" s="982">
        <v>7.2999999999999995E-2</v>
      </c>
      <c r="DQ35" s="864"/>
      <c r="DR35" s="864"/>
      <c r="DS35" s="864"/>
      <c r="DT35" s="864"/>
      <c r="DU35" s="864"/>
      <c r="DV35" s="864"/>
      <c r="DW35" s="864"/>
      <c r="DX35" s="864"/>
      <c r="DY35" s="864"/>
      <c r="DZ35" s="864"/>
      <c r="EA35" s="864"/>
      <c r="EB35" s="864"/>
      <c r="EC35" s="864"/>
      <c r="ED35" s="864"/>
      <c r="EE35" s="864"/>
      <c r="EF35" s="958">
        <v>0.09</v>
      </c>
      <c r="EG35" s="958" t="s">
        <v>3010</v>
      </c>
      <c r="EH35" s="958">
        <v>2.5000000000000001E-2</v>
      </c>
      <c r="EI35" s="855">
        <v>0.05</v>
      </c>
      <c r="EJ35" s="961">
        <v>5.5E-2</v>
      </c>
      <c r="EK35" s="961">
        <v>0.19</v>
      </c>
      <c r="EL35" s="961">
        <v>7.3700000000000002E-2</v>
      </c>
      <c r="EM35" s="961">
        <v>3.5700000000000003E-2</v>
      </c>
      <c r="EN35" s="961">
        <v>0.13800000000000001</v>
      </c>
      <c r="EO35" s="961">
        <f>EO34/EO27</f>
        <v>4.3071161048689133E-2</v>
      </c>
      <c r="EP35" s="961">
        <v>6.5000000000000002E-2</v>
      </c>
      <c r="EQ35" s="961">
        <v>7.3999999999999996E-2</v>
      </c>
      <c r="ER35" s="961">
        <v>4.3200000000000002E-2</v>
      </c>
      <c r="ES35" s="961"/>
      <c r="ET35" s="961">
        <v>5.5E-2</v>
      </c>
      <c r="EU35" s="864"/>
      <c r="EV35" s="864"/>
      <c r="EW35" s="958">
        <v>0.54</v>
      </c>
      <c r="EX35" s="864"/>
      <c r="EY35" s="864"/>
      <c r="EZ35" s="864"/>
      <c r="FA35" s="864"/>
      <c r="FB35" s="864"/>
      <c r="FC35" s="864"/>
      <c r="FD35" s="864"/>
      <c r="FE35" s="958">
        <f>FE34/FE27*100%</f>
        <v>0.1873031995937024</v>
      </c>
      <c r="FF35" s="864"/>
      <c r="FG35" s="864"/>
      <c r="FH35" s="864"/>
      <c r="FI35" s="864"/>
      <c r="FJ35" s="864"/>
      <c r="FK35" s="962"/>
      <c r="FL35" s="958"/>
      <c r="FM35" s="958">
        <v>2.4199999999999999E-2</v>
      </c>
      <c r="FN35" s="958"/>
      <c r="FO35" s="958">
        <v>0</v>
      </c>
      <c r="FP35" s="945"/>
      <c r="FQ35" s="958">
        <v>0</v>
      </c>
      <c r="FR35" s="864"/>
      <c r="FS35" s="864"/>
      <c r="FT35" s="864"/>
      <c r="FU35" s="864"/>
      <c r="FV35" s="864"/>
      <c r="FW35" s="864"/>
      <c r="FX35" s="864"/>
      <c r="FY35" s="864"/>
      <c r="FZ35" s="864"/>
      <c r="GA35" s="958">
        <f>GA34/GA27</f>
        <v>5.2719665271966525E-2</v>
      </c>
      <c r="GB35" s="958">
        <v>0.05</v>
      </c>
      <c r="GC35" s="958"/>
      <c r="GD35" s="958">
        <f>GD34/GD27</f>
        <v>0.1</v>
      </c>
      <c r="GE35" s="958">
        <v>0</v>
      </c>
      <c r="GF35" s="958"/>
      <c r="GG35" s="958">
        <f>GG34/GG27</f>
        <v>0.11531785636797569</v>
      </c>
      <c r="GH35" s="864"/>
      <c r="GI35" s="864"/>
      <c r="GJ35" s="864"/>
      <c r="GK35" s="864"/>
      <c r="GL35" s="864"/>
      <c r="GM35" s="864"/>
      <c r="GN35" s="864"/>
      <c r="GO35" s="963"/>
      <c r="GP35" s="964">
        <v>4.8500000000000001E-2</v>
      </c>
      <c r="GQ35" s="965">
        <v>0.2281</v>
      </c>
      <c r="GR35" s="864"/>
      <c r="GS35" s="864"/>
      <c r="GT35" s="864"/>
      <c r="GU35" s="864"/>
      <c r="GV35" s="864"/>
      <c r="GW35" s="864"/>
      <c r="GX35" s="864"/>
      <c r="GY35" s="864"/>
      <c r="GZ35" s="864"/>
      <c r="HA35" s="864"/>
      <c r="HB35" s="864"/>
      <c r="HC35" s="864"/>
      <c r="HD35" s="864"/>
      <c r="HE35" s="966"/>
      <c r="HF35" s="958"/>
      <c r="HG35" s="864"/>
      <c r="HH35" s="961">
        <v>0.1104</v>
      </c>
      <c r="HI35" s="958">
        <f>HI34/HI27</f>
        <v>0.4625251268306691</v>
      </c>
      <c r="HJ35" s="958">
        <v>0.19</v>
      </c>
      <c r="HK35" s="961">
        <v>0.4556</v>
      </c>
      <c r="HL35" s="864"/>
      <c r="HM35" s="864"/>
      <c r="HN35" s="864"/>
      <c r="HO35" s="968">
        <v>0</v>
      </c>
      <c r="HP35" s="958"/>
      <c r="HQ35" s="958"/>
      <c r="HR35" s="959"/>
      <c r="HS35" s="958"/>
      <c r="HT35" s="958"/>
      <c r="HU35" s="958"/>
      <c r="HV35" s="962"/>
      <c r="HW35" s="958"/>
      <c r="HX35" s="958"/>
      <c r="HY35" s="958"/>
      <c r="HZ35" s="958"/>
      <c r="IA35" s="958"/>
      <c r="IB35" s="958"/>
      <c r="IC35" s="958"/>
      <c r="ID35" s="958"/>
      <c r="IE35" s="958"/>
      <c r="IF35" s="958"/>
      <c r="IG35" s="959"/>
      <c r="IH35" s="958"/>
      <c r="II35" s="958">
        <v>8.5000000000000006E-2</v>
      </c>
      <c r="IJ35" s="959">
        <v>2.7E-2</v>
      </c>
      <c r="IK35" s="958"/>
      <c r="IL35" s="969"/>
      <c r="IM35" s="958">
        <f>IM34/IM27</f>
        <v>0.28176100628930817</v>
      </c>
      <c r="IN35" s="958"/>
      <c r="IO35" s="864"/>
      <c r="IP35" s="864"/>
      <c r="IQ35" s="864"/>
      <c r="IR35" s="959"/>
      <c r="IS35" s="958">
        <v>0.01</v>
      </c>
      <c r="IT35" s="958"/>
      <c r="IU35" s="966">
        <v>0.02</v>
      </c>
      <c r="IV35" s="958">
        <f>IV34/IV27</f>
        <v>1.2560184216035167E-3</v>
      </c>
      <c r="IW35" s="954">
        <v>9.2899999999999991</v>
      </c>
      <c r="IX35" s="955">
        <v>3.6</v>
      </c>
      <c r="IY35" s="870">
        <v>3</v>
      </c>
      <c r="IZ35" s="969">
        <f>IZ34/IZ27</f>
        <v>0.57333333333333336</v>
      </c>
      <c r="JA35" s="958">
        <v>1.32E-2</v>
      </c>
      <c r="JB35" s="958">
        <v>8.2000000000000003E-2</v>
      </c>
      <c r="JC35" s="958">
        <v>0.1525</v>
      </c>
      <c r="JD35" s="958">
        <v>0.11509999999999999</v>
      </c>
      <c r="JE35" s="958">
        <f>JE34/JE27</f>
        <v>2.9217902116183449E-4</v>
      </c>
      <c r="JF35" s="961">
        <f>JF34/JF27</f>
        <v>2.9032166963201447E-2</v>
      </c>
      <c r="JG35" s="958">
        <v>0.1</v>
      </c>
      <c r="JH35" s="958">
        <v>4.1000000000000002E-2</v>
      </c>
      <c r="JI35" s="958">
        <v>5.5E-2</v>
      </c>
      <c r="JJ35" s="958">
        <v>6.25E-2</v>
      </c>
      <c r="JK35" s="958">
        <f t="shared" ref="JK35:JQ35" si="1">JK34/JK27</f>
        <v>5.6928838951310859E-2</v>
      </c>
      <c r="JL35" s="958">
        <f t="shared" si="1"/>
        <v>0.11544117647058823</v>
      </c>
      <c r="JM35" s="958">
        <f t="shared" si="1"/>
        <v>8.2520630157539385E-3</v>
      </c>
      <c r="JN35" s="958">
        <f t="shared" si="1"/>
        <v>0.256857855361596</v>
      </c>
      <c r="JO35" s="958">
        <f t="shared" si="1"/>
        <v>0.1</v>
      </c>
      <c r="JP35" s="958">
        <f t="shared" si="1"/>
        <v>7.4212893553223386E-2</v>
      </c>
      <c r="JQ35" s="961">
        <f t="shared" si="1"/>
        <v>0.09</v>
      </c>
      <c r="JR35" s="958"/>
      <c r="JS35" s="958"/>
      <c r="JT35" s="958"/>
      <c r="JU35" s="958"/>
      <c r="JV35" s="958"/>
      <c r="JW35" s="958">
        <f>JW34/JW27</f>
        <v>2.4191373114433663E-2</v>
      </c>
      <c r="JX35" s="958"/>
      <c r="JY35" s="958">
        <v>0</v>
      </c>
      <c r="JZ35" s="958">
        <v>5.0499999999999998E-3</v>
      </c>
      <c r="KA35" s="958">
        <f>KA34/KA27</f>
        <v>2.3840778458781259E-3</v>
      </c>
      <c r="KB35" s="958"/>
      <c r="KC35" s="958">
        <v>0.04</v>
      </c>
      <c r="KD35" s="958">
        <v>0.01</v>
      </c>
      <c r="KE35" s="983">
        <v>0.1116</v>
      </c>
      <c r="KF35" s="959">
        <f>KF34/KF27</f>
        <v>5.0001334614563325E-2</v>
      </c>
      <c r="KG35" s="970">
        <f>KG34/KG27</f>
        <v>0.100164828198301</v>
      </c>
      <c r="KH35" s="959">
        <f>KH34/KH27</f>
        <v>0.1</v>
      </c>
      <c r="KI35" s="959"/>
      <c r="KJ35" s="959"/>
      <c r="KK35" s="959">
        <f>KK34/KK27</f>
        <v>9.9846390168970803E-2</v>
      </c>
      <c r="KL35" s="958"/>
      <c r="KM35" s="864"/>
      <c r="KN35" s="864"/>
      <c r="KO35" s="864"/>
      <c r="KP35" s="864"/>
      <c r="KQ35" s="864"/>
      <c r="KR35" s="958">
        <f>KR34/KR27</f>
        <v>0.18718320057929039</v>
      </c>
      <c r="KS35" s="863" t="s">
        <v>5342</v>
      </c>
      <c r="KT35" s="958">
        <v>0.2</v>
      </c>
      <c r="KU35" s="864"/>
      <c r="KV35" s="958"/>
      <c r="KW35" s="958">
        <v>3.1000242189392103E-2</v>
      </c>
      <c r="KX35" s="958"/>
      <c r="KY35" s="858"/>
      <c r="KZ35" s="958"/>
      <c r="LA35" s="945"/>
      <c r="LB35" s="958"/>
      <c r="LC35" s="958"/>
      <c r="LD35" s="958"/>
      <c r="LE35" s="958"/>
      <c r="LF35" s="961">
        <f>LF34/LF27</f>
        <v>8.5470085470085461E-3</v>
      </c>
      <c r="LG35" s="961"/>
      <c r="LH35" s="961"/>
      <c r="LI35" s="961">
        <f>LI34/LI27</f>
        <v>2.9126213592233014E-2</v>
      </c>
      <c r="LJ35" s="961">
        <f>LJ34/LJ27</f>
        <v>3.1505250875145857E-2</v>
      </c>
      <c r="LK35" s="961">
        <v>5.0000000000000001E-3</v>
      </c>
      <c r="LL35" s="961"/>
      <c r="LM35" s="961"/>
      <c r="LN35" s="961">
        <f>LN34/LN27</f>
        <v>2.6552989087298723E-2</v>
      </c>
      <c r="LO35" s="972">
        <v>0.03</v>
      </c>
      <c r="LP35" s="961"/>
      <c r="LQ35" s="961"/>
      <c r="LR35" s="961">
        <f>LR34/LR27</f>
        <v>1.0422951380631958E-3</v>
      </c>
      <c r="LS35" s="961">
        <f>LS34/LS27</f>
        <v>0.01</v>
      </c>
      <c r="LT35" s="961"/>
      <c r="LU35" s="961"/>
      <c r="LV35" s="961"/>
      <c r="LW35" s="961">
        <v>5.3590568060021437E-2</v>
      </c>
      <c r="LX35" s="961"/>
      <c r="LY35" s="961"/>
    </row>
    <row r="36" spans="1:337" ht="267.75" x14ac:dyDescent="0.25">
      <c r="A36" s="1583" t="s">
        <v>87</v>
      </c>
      <c r="B36" s="1589" t="s">
        <v>5343</v>
      </c>
      <c r="C36" s="331" t="s">
        <v>97</v>
      </c>
      <c r="D36" s="332" t="s">
        <v>269</v>
      </c>
      <c r="E36" s="839" t="s">
        <v>152</v>
      </c>
      <c r="F36" s="863"/>
      <c r="G36" s="863"/>
      <c r="H36" s="864"/>
      <c r="I36" s="864"/>
      <c r="J36" s="864"/>
      <c r="K36" s="864"/>
      <c r="L36" s="864"/>
      <c r="M36" s="864"/>
      <c r="N36" s="852"/>
      <c r="O36" s="864"/>
      <c r="P36" s="864"/>
      <c r="Q36" s="864"/>
      <c r="R36" s="864"/>
      <c r="S36" s="864"/>
      <c r="T36" s="864"/>
      <c r="U36" s="864"/>
      <c r="V36" s="945">
        <v>1.6E-2</v>
      </c>
      <c r="W36" s="945">
        <v>0.14599999999999999</v>
      </c>
      <c r="X36" s="945">
        <v>0.01</v>
      </c>
      <c r="Y36" s="945">
        <v>0.1</v>
      </c>
      <c r="Z36" s="945">
        <v>0.1</v>
      </c>
      <c r="AA36" s="864"/>
      <c r="AB36" s="864"/>
      <c r="AC36" s="864"/>
      <c r="AD36" s="864"/>
      <c r="AE36" s="864"/>
      <c r="AF36" s="864"/>
      <c r="AG36" s="864"/>
      <c r="AH36" s="864"/>
      <c r="AI36" s="864"/>
      <c r="AJ36" s="864"/>
      <c r="AK36" s="864"/>
      <c r="AL36" s="864"/>
      <c r="AM36" s="864"/>
      <c r="AN36" s="864"/>
      <c r="AO36" s="864"/>
      <c r="AP36" s="864"/>
      <c r="AQ36" s="864"/>
      <c r="AR36" s="864"/>
      <c r="AS36" s="864"/>
      <c r="AT36" s="864"/>
      <c r="AU36" s="864"/>
      <c r="AV36" s="945"/>
      <c r="AW36" s="945"/>
      <c r="AX36" s="864"/>
      <c r="AY36" s="864"/>
      <c r="AZ36" s="864"/>
      <c r="BA36" s="852"/>
      <c r="BB36" s="946" t="s">
        <v>2777</v>
      </c>
      <c r="BC36" s="945"/>
      <c r="BD36" s="978">
        <v>4.9000000000000002E-2</v>
      </c>
      <c r="BE36" s="864"/>
      <c r="BF36" s="864"/>
      <c r="BG36" s="864"/>
      <c r="BH36" s="864"/>
      <c r="BI36" s="864"/>
      <c r="BJ36" s="864"/>
      <c r="BK36" s="864"/>
      <c r="BL36" s="864"/>
      <c r="BM36" s="864"/>
      <c r="BN36" s="864"/>
      <c r="BO36" s="864"/>
      <c r="BP36" s="864"/>
      <c r="BQ36" s="864"/>
      <c r="BR36" s="864"/>
      <c r="BS36" s="864"/>
      <c r="BT36" s="945">
        <f>51.5825+13.013+65.806+88.472+0.459+5.73</f>
        <v>225.06249999999997</v>
      </c>
      <c r="BU36" s="945"/>
      <c r="BV36" s="945">
        <v>5.6000000000000001E-2</v>
      </c>
      <c r="BW36" s="945"/>
      <c r="BX36" s="864"/>
      <c r="BY36" s="864"/>
      <c r="BZ36" s="864"/>
      <c r="CA36" s="864"/>
      <c r="CB36" s="864"/>
      <c r="CC36" s="947">
        <v>0.2</v>
      </c>
      <c r="CD36" s="864"/>
      <c r="CE36" s="864"/>
      <c r="CF36" s="864"/>
      <c r="CG36" s="864"/>
      <c r="CH36" s="864"/>
      <c r="CI36" s="864"/>
      <c r="CJ36" s="864"/>
      <c r="CK36" s="945"/>
      <c r="CL36" s="945"/>
      <c r="CM36" s="864"/>
      <c r="CN36" s="864"/>
      <c r="CO36" s="864"/>
      <c r="CP36" s="864"/>
      <c r="CQ36" s="864"/>
      <c r="CR36" s="864"/>
      <c r="CS36" s="864"/>
      <c r="CT36" s="864"/>
      <c r="CU36" s="864"/>
      <c r="CV36" s="864"/>
      <c r="CW36" s="864"/>
      <c r="CX36" s="864"/>
      <c r="CY36" s="864"/>
      <c r="CZ36" s="864"/>
      <c r="DA36" s="864"/>
      <c r="DB36" s="864"/>
      <c r="DC36" s="864"/>
      <c r="DD36" s="864"/>
      <c r="DE36" s="864"/>
      <c r="DF36" s="945"/>
      <c r="DG36" s="864"/>
      <c r="DH36" s="945">
        <v>1.4999999999999999E-2</v>
      </c>
      <c r="DI36" s="945"/>
      <c r="DJ36" s="945"/>
      <c r="DK36" s="945"/>
      <c r="DL36" s="945"/>
      <c r="DM36" s="945"/>
      <c r="DN36" s="864"/>
      <c r="DO36" s="864"/>
      <c r="DP36" s="948">
        <v>0.1</v>
      </c>
      <c r="DQ36" s="864"/>
      <c r="DR36" s="864"/>
      <c r="DS36" s="864"/>
      <c r="DT36" s="864"/>
      <c r="DU36" s="864"/>
      <c r="DV36" s="864"/>
      <c r="DW36" s="864"/>
      <c r="DX36" s="864"/>
      <c r="DY36" s="864"/>
      <c r="DZ36" s="864"/>
      <c r="EA36" s="864"/>
      <c r="EB36" s="864"/>
      <c r="EC36" s="864"/>
      <c r="ED36" s="864"/>
      <c r="EE36" s="864"/>
      <c r="EF36" s="945">
        <v>0</v>
      </c>
      <c r="EG36" s="945" t="s">
        <v>3011</v>
      </c>
      <c r="EH36" s="945">
        <v>4.5999999999999999E-2</v>
      </c>
      <c r="EI36" s="855"/>
      <c r="EJ36" s="949"/>
      <c r="EK36" s="949"/>
      <c r="EL36" s="949">
        <v>5.0999999999999997E-2</v>
      </c>
      <c r="EM36" s="949">
        <v>0.125</v>
      </c>
      <c r="EN36" s="949"/>
      <c r="EO36" s="949">
        <v>1.4E-2</v>
      </c>
      <c r="EP36" s="949">
        <v>4.4999999999999998E-2</v>
      </c>
      <c r="EQ36" s="949">
        <v>7.0000000000000001E-3</v>
      </c>
      <c r="ER36" s="949"/>
      <c r="ES36" s="949"/>
      <c r="ET36" s="949">
        <v>5.0000000000000001E-3</v>
      </c>
      <c r="EU36" s="864"/>
      <c r="EV36" s="864"/>
      <c r="EW36" s="945">
        <v>0</v>
      </c>
      <c r="EX36" s="864"/>
      <c r="EY36" s="864"/>
      <c r="EZ36" s="864"/>
      <c r="FA36" s="864"/>
      <c r="FB36" s="864"/>
      <c r="FC36" s="864"/>
      <c r="FD36" s="864"/>
      <c r="FE36" s="945">
        <v>9.6010000000000009</v>
      </c>
      <c r="FF36" s="900" t="s">
        <v>5344</v>
      </c>
      <c r="FG36" s="864"/>
      <c r="FH36" s="864"/>
      <c r="FI36" s="864"/>
      <c r="FJ36" s="864"/>
      <c r="FK36" s="943"/>
      <c r="FL36" s="945"/>
      <c r="FM36" s="945"/>
      <c r="FN36" s="945"/>
      <c r="FO36" s="945">
        <v>2.4</v>
      </c>
      <c r="FP36" s="958"/>
      <c r="FQ36" s="945">
        <v>0</v>
      </c>
      <c r="FR36" s="864"/>
      <c r="FS36" s="864"/>
      <c r="FT36" s="864"/>
      <c r="FU36" s="864"/>
      <c r="FV36" s="864"/>
      <c r="FW36" s="864"/>
      <c r="FX36" s="864"/>
      <c r="FY36" s="864"/>
      <c r="FZ36" s="864"/>
      <c r="GA36" s="945">
        <v>0.27400000000000002</v>
      </c>
      <c r="GB36" s="945"/>
      <c r="GC36" s="945"/>
      <c r="GD36" s="945" t="s">
        <v>504</v>
      </c>
      <c r="GE36" s="945">
        <v>0</v>
      </c>
      <c r="GF36" s="945"/>
      <c r="GG36" s="945">
        <v>6.992</v>
      </c>
      <c r="GH36" s="864"/>
      <c r="GI36" s="864"/>
      <c r="GJ36" s="864"/>
      <c r="GK36" s="864"/>
      <c r="GL36" s="864"/>
      <c r="GM36" s="864"/>
      <c r="GN36" s="864"/>
      <c r="GO36" s="950"/>
      <c r="GP36" s="951">
        <v>0.27200000000000002</v>
      </c>
      <c r="GQ36" s="952" t="s">
        <v>504</v>
      </c>
      <c r="GR36" s="864"/>
      <c r="GS36" s="864"/>
      <c r="GT36" s="864"/>
      <c r="GU36" s="864"/>
      <c r="GV36" s="864"/>
      <c r="GW36" s="864"/>
      <c r="GX36" s="864"/>
      <c r="GY36" s="864"/>
      <c r="GZ36" s="864"/>
      <c r="HA36" s="864"/>
      <c r="HB36" s="864"/>
      <c r="HC36" s="864"/>
      <c r="HD36" s="864"/>
      <c r="HE36" s="980"/>
      <c r="HF36" s="945"/>
      <c r="HG36" s="864"/>
      <c r="HH36" s="949">
        <v>0.54600000000000004</v>
      </c>
      <c r="HI36" s="945">
        <v>0.01</v>
      </c>
      <c r="HJ36" s="945"/>
      <c r="HK36" s="949">
        <v>0.01</v>
      </c>
      <c r="HL36" s="864"/>
      <c r="HM36" s="864"/>
      <c r="HN36" s="864"/>
      <c r="HO36" s="953">
        <v>0</v>
      </c>
      <c r="HP36" s="945"/>
      <c r="HQ36" s="945"/>
      <c r="HR36" s="947"/>
      <c r="HS36" s="945">
        <v>0</v>
      </c>
      <c r="HT36" s="945"/>
      <c r="HU36" s="945">
        <v>0</v>
      </c>
      <c r="HV36" s="943"/>
      <c r="HW36" s="945">
        <v>0</v>
      </c>
      <c r="HX36" s="945">
        <v>0</v>
      </c>
      <c r="HY36" s="945"/>
      <c r="HZ36" s="945"/>
      <c r="IA36" s="945"/>
      <c r="IB36" s="945"/>
      <c r="IC36" s="945"/>
      <c r="ID36" s="945" t="s">
        <v>504</v>
      </c>
      <c r="IE36" s="945"/>
      <c r="IF36" s="945"/>
      <c r="IG36" s="947"/>
      <c r="IH36" s="945"/>
      <c r="II36" s="945"/>
      <c r="IJ36" s="947"/>
      <c r="IK36" s="945"/>
      <c r="IL36" s="945" t="s">
        <v>504</v>
      </c>
      <c r="IM36" s="945"/>
      <c r="IN36" s="945"/>
      <c r="IO36" s="864"/>
      <c r="IP36" s="864"/>
      <c r="IQ36" s="864"/>
      <c r="IR36" s="947"/>
      <c r="IS36" s="945"/>
      <c r="IT36" s="945">
        <v>57.043782460000003</v>
      </c>
      <c r="IU36" s="945"/>
      <c r="IV36" s="945" t="s">
        <v>465</v>
      </c>
      <c r="IW36" s="954">
        <v>0.55049999999999999</v>
      </c>
      <c r="IX36" s="955">
        <v>0.26500000000000001</v>
      </c>
      <c r="IY36" s="945"/>
      <c r="IZ36" s="945"/>
      <c r="JA36" s="945">
        <v>1.081332</v>
      </c>
      <c r="JB36" s="945"/>
      <c r="JC36" s="945">
        <v>0</v>
      </c>
      <c r="JD36" s="945">
        <v>0.155</v>
      </c>
      <c r="JE36" s="945">
        <v>0</v>
      </c>
      <c r="JF36" s="949">
        <v>0.223</v>
      </c>
      <c r="JG36" s="945" t="s">
        <v>5345</v>
      </c>
      <c r="JH36" s="945"/>
      <c r="JI36" s="945"/>
      <c r="JJ36" s="945">
        <v>0.41799999999999998</v>
      </c>
      <c r="JK36" s="945">
        <v>0.06</v>
      </c>
      <c r="JL36" s="945">
        <v>3.0000000000000001E-3</v>
      </c>
      <c r="JM36" s="945">
        <v>0.122</v>
      </c>
      <c r="JN36" s="945">
        <v>0</v>
      </c>
      <c r="JO36" s="945">
        <v>0</v>
      </c>
      <c r="JP36" s="945">
        <v>3.5000000000000003E-2</v>
      </c>
      <c r="JQ36" s="949">
        <v>5.0000000000000001E-3</v>
      </c>
      <c r="JR36" s="945"/>
      <c r="JS36" s="945"/>
      <c r="JT36" s="945">
        <v>0.48599999999999999</v>
      </c>
      <c r="JU36" s="984">
        <v>0.43347999999999998</v>
      </c>
      <c r="JV36" s="945"/>
      <c r="JW36" s="945"/>
      <c r="JX36" s="945"/>
      <c r="JY36" s="945">
        <v>0.94599999999999995</v>
      </c>
      <c r="JZ36" s="945">
        <v>0.31900000000000001</v>
      </c>
      <c r="KA36" s="945">
        <v>0.05</v>
      </c>
      <c r="KB36" s="945"/>
      <c r="KC36" s="945"/>
      <c r="KD36" s="945"/>
      <c r="KE36" s="981"/>
      <c r="KF36" s="947"/>
      <c r="KG36" s="947"/>
      <c r="KH36" s="947"/>
      <c r="KI36" s="947"/>
      <c r="KJ36" s="947"/>
      <c r="KK36" s="947"/>
      <c r="KL36" s="945"/>
      <c r="KM36" s="864"/>
      <c r="KN36" s="864"/>
      <c r="KO36" s="864"/>
      <c r="KP36" s="864"/>
      <c r="KQ36" s="864"/>
      <c r="KR36" s="945">
        <v>0</v>
      </c>
      <c r="KS36" s="864"/>
      <c r="KT36" s="945"/>
      <c r="KU36" s="864"/>
      <c r="KV36" s="945"/>
      <c r="KW36" s="945"/>
      <c r="KX36" s="945"/>
      <c r="KY36" s="858">
        <v>0.3</v>
      </c>
      <c r="KZ36" s="945"/>
      <c r="LA36" s="945">
        <v>7.0039999999999996</v>
      </c>
      <c r="LB36" s="945"/>
      <c r="LC36" s="945"/>
      <c r="LD36" s="945"/>
      <c r="LE36" s="945"/>
      <c r="LF36" s="949"/>
      <c r="LG36" s="949"/>
      <c r="LH36" s="949"/>
      <c r="LI36" s="949"/>
      <c r="LJ36" s="949"/>
      <c r="LK36" s="949"/>
      <c r="LL36" s="949"/>
      <c r="LM36" s="949"/>
      <c r="LN36" s="949"/>
      <c r="LO36" s="949"/>
      <c r="LP36" s="949"/>
      <c r="LQ36" s="949"/>
      <c r="LR36" s="949"/>
      <c r="LS36" s="949"/>
      <c r="LT36" s="949"/>
      <c r="LU36" s="949"/>
      <c r="LV36" s="949"/>
      <c r="LW36" s="949"/>
      <c r="LX36" s="949"/>
      <c r="LY36" s="949"/>
    </row>
    <row r="37" spans="1:337" ht="79.5" thickBot="1" x14ac:dyDescent="0.3">
      <c r="A37" s="1585"/>
      <c r="B37" s="1590"/>
      <c r="C37" s="357" t="s">
        <v>98</v>
      </c>
      <c r="D37" s="358" t="s">
        <v>231</v>
      </c>
      <c r="E37" s="841" t="s">
        <v>52</v>
      </c>
      <c r="F37" s="863"/>
      <c r="G37" s="863"/>
      <c r="H37" s="864"/>
      <c r="I37" s="864"/>
      <c r="J37" s="864"/>
      <c r="K37" s="864"/>
      <c r="L37" s="864"/>
      <c r="M37" s="864"/>
      <c r="N37" s="852"/>
      <c r="O37" s="864"/>
      <c r="P37" s="864"/>
      <c r="Q37" s="864"/>
      <c r="R37" s="864"/>
      <c r="S37" s="864"/>
      <c r="T37" s="864"/>
      <c r="U37" s="864"/>
      <c r="V37" s="958">
        <v>3.8899999999999997E-2</v>
      </c>
      <c r="W37" s="958">
        <v>8.5400000000000004E-2</v>
      </c>
      <c r="X37" s="958">
        <v>4.2000000000000003E-2</v>
      </c>
      <c r="Y37" s="958">
        <v>0.25</v>
      </c>
      <c r="Z37" s="958">
        <v>2.3300000000000001E-2</v>
      </c>
      <c r="AA37" s="864"/>
      <c r="AB37" s="864"/>
      <c r="AC37" s="864"/>
      <c r="AD37" s="864"/>
      <c r="AE37" s="864"/>
      <c r="AF37" s="864"/>
      <c r="AG37" s="864"/>
      <c r="AH37" s="864"/>
      <c r="AI37" s="864"/>
      <c r="AJ37" s="864"/>
      <c r="AK37" s="864"/>
      <c r="AL37" s="864"/>
      <c r="AM37" s="864"/>
      <c r="AN37" s="864"/>
      <c r="AO37" s="864"/>
      <c r="AP37" s="864"/>
      <c r="AQ37" s="864"/>
      <c r="AR37" s="864"/>
      <c r="AS37" s="864"/>
      <c r="AT37" s="864"/>
      <c r="AU37" s="864"/>
      <c r="AV37" s="958"/>
      <c r="AW37" s="958"/>
      <c r="AX37" s="864"/>
      <c r="AY37" s="864"/>
      <c r="AZ37" s="864"/>
      <c r="BA37" s="852"/>
      <c r="BB37" s="946" t="s">
        <v>2778</v>
      </c>
      <c r="BC37" s="958"/>
      <c r="BD37" s="957">
        <v>2.1</v>
      </c>
      <c r="BE37" s="864"/>
      <c r="BF37" s="864"/>
      <c r="BG37" s="864"/>
      <c r="BH37" s="864"/>
      <c r="BI37" s="864"/>
      <c r="BJ37" s="864"/>
      <c r="BK37" s="864"/>
      <c r="BL37" s="864"/>
      <c r="BM37" s="864"/>
      <c r="BN37" s="864"/>
      <c r="BO37" s="864"/>
      <c r="BP37" s="864"/>
      <c r="BQ37" s="864"/>
      <c r="BR37" s="864"/>
      <c r="BS37" s="864"/>
      <c r="BT37" s="958">
        <f>BT36/BT27</f>
        <v>0.18413831246875628</v>
      </c>
      <c r="BU37" s="958"/>
      <c r="BV37" s="958">
        <v>0.22</v>
      </c>
      <c r="BW37" s="958"/>
      <c r="BX37" s="864"/>
      <c r="BY37" s="864"/>
      <c r="BZ37" s="864"/>
      <c r="CA37" s="864"/>
      <c r="CB37" s="864"/>
      <c r="CC37" s="959">
        <v>1E-3</v>
      </c>
      <c r="CD37" s="864"/>
      <c r="CE37" s="864"/>
      <c r="CF37" s="864"/>
      <c r="CG37" s="864"/>
      <c r="CH37" s="864"/>
      <c r="CI37" s="864"/>
      <c r="CJ37" s="864"/>
      <c r="CK37" s="958"/>
      <c r="CL37" s="958"/>
      <c r="CM37" s="864"/>
      <c r="CN37" s="864"/>
      <c r="CO37" s="864"/>
      <c r="CP37" s="864"/>
      <c r="CQ37" s="864"/>
      <c r="CR37" s="864"/>
      <c r="CS37" s="864"/>
      <c r="CT37" s="864"/>
      <c r="CU37" s="864"/>
      <c r="CV37" s="864"/>
      <c r="CW37" s="864"/>
      <c r="CX37" s="864"/>
      <c r="CY37" s="864"/>
      <c r="CZ37" s="864"/>
      <c r="DA37" s="864"/>
      <c r="DB37" s="864"/>
      <c r="DC37" s="864"/>
      <c r="DD37" s="864"/>
      <c r="DE37" s="864"/>
      <c r="DF37" s="958"/>
      <c r="DG37" s="864"/>
      <c r="DH37" s="958">
        <f>DH36/DH27</f>
        <v>6.9767441860465115E-2</v>
      </c>
      <c r="DI37" s="958"/>
      <c r="DJ37" s="958"/>
      <c r="DK37" s="958"/>
      <c r="DL37" s="958"/>
      <c r="DM37" s="958"/>
      <c r="DN37" s="864"/>
      <c r="DO37" s="864"/>
      <c r="DP37" s="960">
        <v>0.33100000000000002</v>
      </c>
      <c r="DQ37" s="864"/>
      <c r="DR37" s="864"/>
      <c r="DS37" s="864"/>
      <c r="DT37" s="864"/>
      <c r="DU37" s="864"/>
      <c r="DV37" s="864"/>
      <c r="DW37" s="864"/>
      <c r="DX37" s="864"/>
      <c r="DY37" s="864"/>
      <c r="DZ37" s="864"/>
      <c r="EA37" s="864"/>
      <c r="EB37" s="864"/>
      <c r="EC37" s="864"/>
      <c r="ED37" s="864"/>
      <c r="EE37" s="864"/>
      <c r="EF37" s="958">
        <v>0</v>
      </c>
      <c r="EG37" s="958" t="s">
        <v>3012</v>
      </c>
      <c r="EH37" s="958">
        <v>2.5000000000000001E-2</v>
      </c>
      <c r="EI37" s="855"/>
      <c r="EJ37" s="961"/>
      <c r="EK37" s="961"/>
      <c r="EL37" s="961">
        <v>0.12620000000000001</v>
      </c>
      <c r="EM37" s="961">
        <v>0.1431</v>
      </c>
      <c r="EN37" s="961"/>
      <c r="EO37" s="961">
        <f>EO36/EO27</f>
        <v>2.6217228464419474E-2</v>
      </c>
      <c r="EP37" s="961">
        <v>0.19600000000000001</v>
      </c>
      <c r="EQ37" s="961">
        <v>1.7000000000000001E-2</v>
      </c>
      <c r="ER37" s="961"/>
      <c r="ES37" s="961"/>
      <c r="ET37" s="961">
        <v>5.7999999999999996E-3</v>
      </c>
      <c r="EU37" s="864"/>
      <c r="EV37" s="864"/>
      <c r="EW37" s="958"/>
      <c r="EX37" s="864"/>
      <c r="EY37" s="864"/>
      <c r="EZ37" s="864"/>
      <c r="FA37" s="864"/>
      <c r="FB37" s="864"/>
      <c r="FC37" s="864"/>
      <c r="FD37" s="864"/>
      <c r="FE37" s="958">
        <f>FE36/FE27*100%</f>
        <v>0.81267987133908925</v>
      </c>
      <c r="FF37" s="864"/>
      <c r="FG37" s="864"/>
      <c r="FH37" s="864"/>
      <c r="FI37" s="864"/>
      <c r="FJ37" s="864"/>
      <c r="FK37" s="962"/>
      <c r="FL37" s="958"/>
      <c r="FM37" s="958"/>
      <c r="FN37" s="958"/>
      <c r="FO37" s="958">
        <v>1.2E-2</v>
      </c>
      <c r="FP37" s="945"/>
      <c r="FQ37" s="958">
        <v>0</v>
      </c>
      <c r="FR37" s="864"/>
      <c r="FS37" s="864"/>
      <c r="FT37" s="864"/>
      <c r="FU37" s="864"/>
      <c r="FV37" s="864"/>
      <c r="FW37" s="864"/>
      <c r="FX37" s="864"/>
      <c r="FY37" s="864"/>
      <c r="FZ37" s="864"/>
      <c r="GA37" s="958">
        <f>GA36/GA27</f>
        <v>0.11464435146443515</v>
      </c>
      <c r="GB37" s="958"/>
      <c r="GC37" s="958"/>
      <c r="GD37" s="958"/>
      <c r="GE37" s="958"/>
      <c r="GF37" s="958"/>
      <c r="GG37" s="958">
        <f>GG36/GG27</f>
        <v>0.37925797353004992</v>
      </c>
      <c r="GH37" s="864"/>
      <c r="GI37" s="864"/>
      <c r="GJ37" s="864"/>
      <c r="GK37" s="864"/>
      <c r="GL37" s="864"/>
      <c r="GM37" s="864"/>
      <c r="GN37" s="864"/>
      <c r="GO37" s="963"/>
      <c r="GP37" s="964">
        <v>0.1565</v>
      </c>
      <c r="GQ37" s="867"/>
      <c r="GR37" s="864"/>
      <c r="GS37" s="864"/>
      <c r="GT37" s="864"/>
      <c r="GU37" s="864"/>
      <c r="GV37" s="864"/>
      <c r="GW37" s="864"/>
      <c r="GX37" s="864"/>
      <c r="GY37" s="864"/>
      <c r="GZ37" s="864"/>
      <c r="HA37" s="864"/>
      <c r="HB37" s="864"/>
      <c r="HC37" s="864"/>
      <c r="HD37" s="864"/>
      <c r="HE37" s="966"/>
      <c r="HF37" s="958"/>
      <c r="HG37" s="864"/>
      <c r="HH37" s="961">
        <v>3.9600000000000003E-2</v>
      </c>
      <c r="HI37" s="958">
        <f>HI36/HI27</f>
        <v>9.5721259691777555E-4</v>
      </c>
      <c r="HJ37" s="958"/>
      <c r="HK37" s="961">
        <v>4.4400000000000002E-2</v>
      </c>
      <c r="HL37" s="864"/>
      <c r="HM37" s="864"/>
      <c r="HN37" s="864"/>
      <c r="HO37" s="968">
        <v>0</v>
      </c>
      <c r="HP37" s="958"/>
      <c r="HQ37" s="958"/>
      <c r="HR37" s="959"/>
      <c r="HS37" s="958"/>
      <c r="HT37" s="958"/>
      <c r="HU37" s="958"/>
      <c r="HV37" s="962"/>
      <c r="HW37" s="958"/>
      <c r="HX37" s="958"/>
      <c r="HY37" s="958"/>
      <c r="HZ37" s="958"/>
      <c r="IA37" s="958"/>
      <c r="IB37" s="958"/>
      <c r="IC37" s="958"/>
      <c r="ID37" s="958"/>
      <c r="IE37" s="958"/>
      <c r="IF37" s="958"/>
      <c r="IG37" s="959"/>
      <c r="IH37" s="958"/>
      <c r="II37" s="958"/>
      <c r="IJ37" s="959"/>
      <c r="IK37" s="958"/>
      <c r="IL37" s="958"/>
      <c r="IM37" s="958"/>
      <c r="IN37" s="958"/>
      <c r="IO37" s="864"/>
      <c r="IP37" s="864"/>
      <c r="IQ37" s="864"/>
      <c r="IR37" s="959"/>
      <c r="IS37" s="958"/>
      <c r="IT37" s="958">
        <f>IT36/IT27</f>
        <v>0.94807935136588373</v>
      </c>
      <c r="IU37" s="958"/>
      <c r="IV37" s="958" t="s">
        <v>465</v>
      </c>
      <c r="IW37" s="954">
        <f>(IW36/IW27)*100</f>
        <v>6.6405307599517505</v>
      </c>
      <c r="IX37" s="955">
        <v>1.58</v>
      </c>
      <c r="IY37" s="958"/>
      <c r="IZ37" s="958"/>
      <c r="JA37" s="958">
        <v>0.95</v>
      </c>
      <c r="JB37" s="958"/>
      <c r="JC37" s="958">
        <v>0</v>
      </c>
      <c r="JD37" s="958">
        <v>2.3599999999999999E-2</v>
      </c>
      <c r="JE37" s="958">
        <f>15.12/52022.91</f>
        <v>2.9064118097199863E-4</v>
      </c>
      <c r="JF37" s="961">
        <f>JF36/JF27</f>
        <v>6.2978338840407808E-3</v>
      </c>
      <c r="JG37" s="958">
        <v>3.9100000000000003E-2</v>
      </c>
      <c r="JH37" s="958"/>
      <c r="JI37" s="958"/>
      <c r="JJ37" s="958">
        <v>8.9700000000000002E-2</v>
      </c>
      <c r="JK37" s="958">
        <f>JK36/JK27</f>
        <v>4.49438202247191E-2</v>
      </c>
      <c r="JL37" s="958">
        <f>JL36/JL27</f>
        <v>2.2058823529411764E-3</v>
      </c>
      <c r="JM37" s="958">
        <f>JM36/JM27</f>
        <v>9.1522880720180042E-2</v>
      </c>
      <c r="JN37" s="958">
        <f>JN36/JN27</f>
        <v>0</v>
      </c>
      <c r="JO37" s="958">
        <v>0</v>
      </c>
      <c r="JP37" s="958">
        <f>JP36/JP27</f>
        <v>2.6236881559220392E-2</v>
      </c>
      <c r="JQ37" s="961">
        <f>JQ36/JQ27</f>
        <v>0.01</v>
      </c>
      <c r="JR37" s="958"/>
      <c r="JS37" s="958">
        <v>2.8999999999999998E-3</v>
      </c>
      <c r="JT37" s="958">
        <f>JT36/JT27</f>
        <v>0.32793522267206476</v>
      </c>
      <c r="JU37" s="958">
        <v>0.25</v>
      </c>
      <c r="JV37" s="958"/>
      <c r="JW37" s="958"/>
      <c r="JX37" s="958"/>
      <c r="JY37" s="958">
        <v>0.56000000000000005</v>
      </c>
      <c r="JZ37" s="958">
        <v>0.13389999999999999</v>
      </c>
      <c r="KA37" s="958">
        <f>KA36/KA27</f>
        <v>9.1695301764543307E-3</v>
      </c>
      <c r="KB37" s="958"/>
      <c r="KC37" s="958"/>
      <c r="KD37" s="958"/>
      <c r="KE37" s="983"/>
      <c r="KF37" s="959"/>
      <c r="KG37" s="959"/>
      <c r="KH37" s="959"/>
      <c r="KI37" s="959"/>
      <c r="KJ37" s="959"/>
      <c r="KK37" s="959"/>
      <c r="KL37" s="958"/>
      <c r="KM37" s="864"/>
      <c r="KN37" s="864"/>
      <c r="KO37" s="864"/>
      <c r="KP37" s="864"/>
      <c r="KQ37" s="864"/>
      <c r="KR37" s="958"/>
      <c r="KS37" s="864"/>
      <c r="KT37" s="958"/>
      <c r="KU37" s="864"/>
      <c r="KV37" s="958"/>
      <c r="KW37" s="958"/>
      <c r="KX37" s="958"/>
      <c r="KY37" s="858">
        <v>0.7</v>
      </c>
      <c r="KZ37" s="958"/>
      <c r="LA37" s="958">
        <v>4.3299999999999998E-2</v>
      </c>
      <c r="LB37" s="958"/>
      <c r="LC37" s="958"/>
      <c r="LD37" s="958"/>
      <c r="LE37" s="958"/>
      <c r="LF37" s="961"/>
      <c r="LG37" s="961"/>
      <c r="LH37" s="961"/>
      <c r="LI37" s="961"/>
      <c r="LJ37" s="961"/>
      <c r="LK37" s="961"/>
      <c r="LL37" s="961"/>
      <c r="LM37" s="961"/>
      <c r="LN37" s="961"/>
      <c r="LO37" s="961"/>
      <c r="LP37" s="961"/>
      <c r="LQ37" s="961"/>
      <c r="LR37" s="961"/>
      <c r="LS37" s="961"/>
      <c r="LT37" s="961"/>
      <c r="LU37" s="961"/>
      <c r="LV37" s="961"/>
      <c r="LW37" s="961"/>
      <c r="LX37" s="961"/>
      <c r="LY37" s="961"/>
    </row>
    <row r="38" spans="1:337" x14ac:dyDescent="0.25">
      <c r="A38" s="342"/>
      <c r="B38" s="359"/>
      <c r="C38" s="344"/>
      <c r="D38" s="355"/>
      <c r="E38" s="835"/>
      <c r="F38" s="863"/>
      <c r="G38" s="863"/>
      <c r="H38" s="864"/>
      <c r="I38" s="864"/>
      <c r="J38" s="864"/>
      <c r="K38" s="864"/>
      <c r="L38" s="864"/>
      <c r="M38" s="864"/>
      <c r="N38" s="852"/>
      <c r="O38" s="864"/>
      <c r="P38" s="864"/>
      <c r="Q38" s="864"/>
      <c r="R38" s="864"/>
      <c r="S38" s="864"/>
      <c r="T38" s="864"/>
      <c r="U38" s="864"/>
      <c r="V38" s="958"/>
      <c r="W38" s="958"/>
      <c r="X38" s="958"/>
      <c r="Y38" s="958"/>
      <c r="Z38" s="958"/>
      <c r="AA38" s="864"/>
      <c r="AB38" s="864"/>
      <c r="AC38" s="864"/>
      <c r="AD38" s="864"/>
      <c r="AE38" s="864"/>
      <c r="AF38" s="864"/>
      <c r="AG38" s="864"/>
      <c r="AH38" s="864"/>
      <c r="AI38" s="864"/>
      <c r="AJ38" s="864"/>
      <c r="AK38" s="864"/>
      <c r="AL38" s="864"/>
      <c r="AM38" s="864"/>
      <c r="AN38" s="864"/>
      <c r="AO38" s="864"/>
      <c r="AP38" s="864"/>
      <c r="AQ38" s="864"/>
      <c r="AR38" s="864"/>
      <c r="AS38" s="864"/>
      <c r="AT38" s="864"/>
      <c r="AU38" s="864"/>
      <c r="AV38" s="958"/>
      <c r="AW38" s="958"/>
      <c r="AX38" s="864"/>
      <c r="AY38" s="864"/>
      <c r="AZ38" s="864"/>
      <c r="BA38" s="852"/>
      <c r="BB38" s="946"/>
      <c r="BC38" s="958"/>
      <c r="BD38" s="957"/>
      <c r="BE38" s="864"/>
      <c r="BF38" s="864"/>
      <c r="BG38" s="864"/>
      <c r="BH38" s="864"/>
      <c r="BI38" s="864"/>
      <c r="BJ38" s="864"/>
      <c r="BK38" s="864"/>
      <c r="BL38" s="864"/>
      <c r="BM38" s="864"/>
      <c r="BN38" s="864"/>
      <c r="BO38" s="864"/>
      <c r="BP38" s="864"/>
      <c r="BQ38" s="864"/>
      <c r="BR38" s="864"/>
      <c r="BS38" s="864"/>
      <c r="BT38" s="958"/>
      <c r="BU38" s="958"/>
      <c r="BV38" s="958"/>
      <c r="BW38" s="958"/>
      <c r="BX38" s="864"/>
      <c r="BY38" s="864"/>
      <c r="BZ38" s="864"/>
      <c r="CA38" s="864"/>
      <c r="CB38" s="864"/>
      <c r="CC38" s="959"/>
      <c r="CD38" s="864"/>
      <c r="CE38" s="864"/>
      <c r="CF38" s="864"/>
      <c r="CG38" s="864"/>
      <c r="CH38" s="864"/>
      <c r="CI38" s="864"/>
      <c r="CJ38" s="864"/>
      <c r="CK38" s="958"/>
      <c r="CL38" s="958"/>
      <c r="CM38" s="864"/>
      <c r="CN38" s="864"/>
      <c r="CO38" s="864"/>
      <c r="CP38" s="864"/>
      <c r="CQ38" s="864"/>
      <c r="CR38" s="864"/>
      <c r="CS38" s="864"/>
      <c r="CT38" s="864"/>
      <c r="CU38" s="864"/>
      <c r="CV38" s="864"/>
      <c r="CW38" s="864"/>
      <c r="CX38" s="864"/>
      <c r="CY38" s="864"/>
      <c r="CZ38" s="864"/>
      <c r="DA38" s="864"/>
      <c r="DB38" s="864"/>
      <c r="DC38" s="864"/>
      <c r="DD38" s="864"/>
      <c r="DE38" s="864"/>
      <c r="DF38" s="958"/>
      <c r="DG38" s="864"/>
      <c r="DH38" s="958"/>
      <c r="DI38" s="958"/>
      <c r="DJ38" s="958"/>
      <c r="DK38" s="958"/>
      <c r="DL38" s="958"/>
      <c r="DM38" s="958"/>
      <c r="DN38" s="864"/>
      <c r="DO38" s="864"/>
      <c r="DP38" s="960"/>
      <c r="DQ38" s="864"/>
      <c r="DR38" s="864"/>
      <c r="DS38" s="864"/>
      <c r="DT38" s="864"/>
      <c r="DU38" s="864"/>
      <c r="DV38" s="864"/>
      <c r="DW38" s="864"/>
      <c r="DX38" s="864"/>
      <c r="DY38" s="864"/>
      <c r="DZ38" s="864"/>
      <c r="EA38" s="864"/>
      <c r="EB38" s="864"/>
      <c r="EC38" s="864"/>
      <c r="ED38" s="864"/>
      <c r="EE38" s="864"/>
      <c r="EF38" s="958"/>
      <c r="EG38" s="958"/>
      <c r="EH38" s="958"/>
      <c r="EI38" s="855"/>
      <c r="EJ38" s="961"/>
      <c r="EK38" s="961"/>
      <c r="EL38" s="961"/>
      <c r="EM38" s="961"/>
      <c r="EN38" s="961"/>
      <c r="EO38" s="961"/>
      <c r="EP38" s="961"/>
      <c r="EQ38" s="961"/>
      <c r="ER38" s="961"/>
      <c r="ES38" s="961"/>
      <c r="ET38" s="961"/>
      <c r="EU38" s="864"/>
      <c r="EV38" s="864"/>
      <c r="EW38" s="958"/>
      <c r="EX38" s="864"/>
      <c r="EY38" s="864"/>
      <c r="EZ38" s="864"/>
      <c r="FA38" s="864"/>
      <c r="FB38" s="864"/>
      <c r="FC38" s="864"/>
      <c r="FD38" s="864"/>
      <c r="FE38" s="958"/>
      <c r="FF38" s="864"/>
      <c r="FG38" s="864"/>
      <c r="FH38" s="864"/>
      <c r="FI38" s="864"/>
      <c r="FJ38" s="864"/>
      <c r="FK38" s="962"/>
      <c r="FL38" s="958"/>
      <c r="FM38" s="958"/>
      <c r="FN38" s="958"/>
      <c r="FO38" s="958"/>
      <c r="FP38" s="945"/>
      <c r="FQ38" s="958"/>
      <c r="FR38" s="864"/>
      <c r="FS38" s="864"/>
      <c r="FT38" s="864"/>
      <c r="FU38" s="864"/>
      <c r="FV38" s="864"/>
      <c r="FW38" s="864"/>
      <c r="FX38" s="864"/>
      <c r="FY38" s="864"/>
      <c r="FZ38" s="864"/>
      <c r="GA38" s="958"/>
      <c r="GB38" s="958"/>
      <c r="GC38" s="958"/>
      <c r="GD38" s="958"/>
      <c r="GE38" s="958"/>
      <c r="GF38" s="958"/>
      <c r="GG38" s="958"/>
      <c r="GH38" s="864"/>
      <c r="GI38" s="864"/>
      <c r="GJ38" s="864"/>
      <c r="GK38" s="864"/>
      <c r="GL38" s="864"/>
      <c r="GM38" s="864"/>
      <c r="GN38" s="864"/>
      <c r="GO38" s="963"/>
      <c r="GP38" s="964"/>
      <c r="GQ38" s="867"/>
      <c r="GR38" s="864"/>
      <c r="GS38" s="864"/>
      <c r="GT38" s="864"/>
      <c r="GU38" s="864"/>
      <c r="GV38" s="864"/>
      <c r="GW38" s="864"/>
      <c r="GX38" s="864"/>
      <c r="GY38" s="864"/>
      <c r="GZ38" s="864"/>
      <c r="HA38" s="864"/>
      <c r="HB38" s="864"/>
      <c r="HC38" s="864"/>
      <c r="HD38" s="864"/>
      <c r="HE38" s="966"/>
      <c r="HF38" s="958"/>
      <c r="HG38" s="864"/>
      <c r="HH38" s="961"/>
      <c r="HI38" s="958"/>
      <c r="HJ38" s="958"/>
      <c r="HK38" s="961"/>
      <c r="HL38" s="864"/>
      <c r="HM38" s="864"/>
      <c r="HN38" s="864"/>
      <c r="HO38" s="968"/>
      <c r="HP38" s="958"/>
      <c r="HQ38" s="958"/>
      <c r="HR38" s="959"/>
      <c r="HS38" s="958"/>
      <c r="HT38" s="958"/>
      <c r="HU38" s="958"/>
      <c r="HV38" s="962"/>
      <c r="HW38" s="958"/>
      <c r="HX38" s="958"/>
      <c r="HY38" s="958"/>
      <c r="HZ38" s="958"/>
      <c r="IA38" s="958"/>
      <c r="IB38" s="958"/>
      <c r="IC38" s="958"/>
      <c r="ID38" s="958"/>
      <c r="IE38" s="958"/>
      <c r="IF38" s="958"/>
      <c r="IG38" s="959"/>
      <c r="IH38" s="958"/>
      <c r="II38" s="958"/>
      <c r="IJ38" s="959"/>
      <c r="IK38" s="958"/>
      <c r="IL38" s="958"/>
      <c r="IM38" s="958"/>
      <c r="IN38" s="958"/>
      <c r="IO38" s="864"/>
      <c r="IP38" s="864"/>
      <c r="IQ38" s="864"/>
      <c r="IR38" s="959"/>
      <c r="IS38" s="958"/>
      <c r="IT38" s="958"/>
      <c r="IU38" s="958"/>
      <c r="IV38" s="958"/>
      <c r="IW38" s="954"/>
      <c r="IX38" s="955"/>
      <c r="IY38" s="958"/>
      <c r="IZ38" s="958"/>
      <c r="JA38" s="958"/>
      <c r="JB38" s="958"/>
      <c r="JC38" s="958"/>
      <c r="JD38" s="958"/>
      <c r="JE38" s="958"/>
      <c r="JF38" s="961"/>
      <c r="JG38" s="958"/>
      <c r="JH38" s="958"/>
      <c r="JI38" s="958"/>
      <c r="JJ38" s="958"/>
      <c r="JK38" s="958"/>
      <c r="JL38" s="958"/>
      <c r="JM38" s="958"/>
      <c r="JN38" s="958"/>
      <c r="JO38" s="958"/>
      <c r="JP38" s="958"/>
      <c r="JQ38" s="961"/>
      <c r="JR38" s="958"/>
      <c r="JS38" s="958"/>
      <c r="JT38" s="958"/>
      <c r="JU38" s="958"/>
      <c r="JV38" s="958"/>
      <c r="JW38" s="958"/>
      <c r="JX38" s="958"/>
      <c r="JY38" s="958"/>
      <c r="JZ38" s="958"/>
      <c r="KA38" s="958"/>
      <c r="KB38" s="958"/>
      <c r="KC38" s="958"/>
      <c r="KD38" s="958"/>
      <c r="KE38" s="983"/>
      <c r="KF38" s="959"/>
      <c r="KG38" s="959"/>
      <c r="KH38" s="959"/>
      <c r="KI38" s="959"/>
      <c r="KJ38" s="959"/>
      <c r="KK38" s="959"/>
      <c r="KL38" s="958"/>
      <c r="KM38" s="864"/>
      <c r="KN38" s="864"/>
      <c r="KO38" s="864"/>
      <c r="KP38" s="864"/>
      <c r="KQ38" s="864"/>
      <c r="KR38" s="958"/>
      <c r="KS38" s="864"/>
      <c r="KT38" s="958"/>
      <c r="KU38" s="864"/>
      <c r="KV38" s="958"/>
      <c r="KW38" s="958"/>
      <c r="KX38" s="958"/>
      <c r="KY38" s="858"/>
      <c r="KZ38" s="958"/>
      <c r="LA38" s="958"/>
      <c r="LB38" s="958"/>
      <c r="LC38" s="958"/>
      <c r="LD38" s="958"/>
      <c r="LE38" s="958"/>
      <c r="LF38" s="961"/>
      <c r="LG38" s="961"/>
      <c r="LH38" s="961"/>
      <c r="LI38" s="961"/>
      <c r="LJ38" s="961"/>
      <c r="LK38" s="961"/>
      <c r="LL38" s="961"/>
      <c r="LM38" s="961"/>
      <c r="LN38" s="961"/>
      <c r="LO38" s="961"/>
      <c r="LP38" s="961"/>
      <c r="LQ38" s="961"/>
      <c r="LR38" s="961"/>
      <c r="LS38" s="961"/>
      <c r="LT38" s="961"/>
      <c r="LU38" s="961"/>
      <c r="LV38" s="961"/>
      <c r="LW38" s="961"/>
      <c r="LX38" s="961"/>
      <c r="LY38" s="961"/>
    </row>
    <row r="39" spans="1:337" x14ac:dyDescent="0.25">
      <c r="A39" s="342"/>
      <c r="B39" s="359"/>
      <c r="C39" s="344"/>
      <c r="D39" s="355"/>
      <c r="E39" s="835"/>
      <c r="F39" s="863"/>
      <c r="G39" s="863"/>
      <c r="H39" s="864"/>
      <c r="I39" s="864"/>
      <c r="J39" s="864"/>
      <c r="K39" s="864"/>
      <c r="L39" s="864"/>
      <c r="M39" s="864"/>
      <c r="N39" s="852"/>
      <c r="O39" s="864"/>
      <c r="P39" s="864"/>
      <c r="Q39" s="864"/>
      <c r="R39" s="864"/>
      <c r="S39" s="864"/>
      <c r="T39" s="864"/>
      <c r="U39" s="864"/>
      <c r="V39" s="958"/>
      <c r="W39" s="958"/>
      <c r="X39" s="958"/>
      <c r="Y39" s="958"/>
      <c r="Z39" s="958"/>
      <c r="AA39" s="864"/>
      <c r="AB39" s="864"/>
      <c r="AC39" s="864"/>
      <c r="AD39" s="864"/>
      <c r="AE39" s="864"/>
      <c r="AF39" s="864"/>
      <c r="AG39" s="864"/>
      <c r="AH39" s="864"/>
      <c r="AI39" s="864"/>
      <c r="AJ39" s="864"/>
      <c r="AK39" s="864"/>
      <c r="AL39" s="864"/>
      <c r="AM39" s="864"/>
      <c r="AN39" s="864"/>
      <c r="AO39" s="864"/>
      <c r="AP39" s="864"/>
      <c r="AQ39" s="864"/>
      <c r="AR39" s="864"/>
      <c r="AS39" s="864"/>
      <c r="AT39" s="864"/>
      <c r="AU39" s="864"/>
      <c r="AV39" s="958"/>
      <c r="AW39" s="958"/>
      <c r="AX39" s="864"/>
      <c r="AY39" s="864"/>
      <c r="AZ39" s="864"/>
      <c r="BA39" s="852"/>
      <c r="BB39" s="946"/>
      <c r="BC39" s="958"/>
      <c r="BD39" s="957"/>
      <c r="BE39" s="864"/>
      <c r="BF39" s="864"/>
      <c r="BG39" s="864"/>
      <c r="BH39" s="864"/>
      <c r="BI39" s="864"/>
      <c r="BJ39" s="864"/>
      <c r="BK39" s="864"/>
      <c r="BL39" s="864"/>
      <c r="BM39" s="864"/>
      <c r="BN39" s="864"/>
      <c r="BO39" s="864"/>
      <c r="BP39" s="864"/>
      <c r="BQ39" s="864"/>
      <c r="BR39" s="864"/>
      <c r="BS39" s="864"/>
      <c r="BT39" s="958"/>
      <c r="BU39" s="958"/>
      <c r="BV39" s="958"/>
      <c r="BW39" s="958"/>
      <c r="BX39" s="864"/>
      <c r="BY39" s="864"/>
      <c r="BZ39" s="864"/>
      <c r="CA39" s="864"/>
      <c r="CB39" s="864"/>
      <c r="CC39" s="959"/>
      <c r="CD39" s="864"/>
      <c r="CE39" s="864"/>
      <c r="CF39" s="864"/>
      <c r="CG39" s="864"/>
      <c r="CH39" s="864"/>
      <c r="CI39" s="864"/>
      <c r="CJ39" s="864"/>
      <c r="CK39" s="958"/>
      <c r="CL39" s="958"/>
      <c r="CM39" s="864"/>
      <c r="CN39" s="864"/>
      <c r="CO39" s="864"/>
      <c r="CP39" s="864"/>
      <c r="CQ39" s="864"/>
      <c r="CR39" s="864"/>
      <c r="CS39" s="864"/>
      <c r="CT39" s="864"/>
      <c r="CU39" s="864"/>
      <c r="CV39" s="864"/>
      <c r="CW39" s="864"/>
      <c r="CX39" s="864"/>
      <c r="CY39" s="864"/>
      <c r="CZ39" s="864"/>
      <c r="DA39" s="864"/>
      <c r="DB39" s="864"/>
      <c r="DC39" s="864"/>
      <c r="DD39" s="864"/>
      <c r="DE39" s="864"/>
      <c r="DF39" s="958"/>
      <c r="DG39" s="864"/>
      <c r="DH39" s="958"/>
      <c r="DI39" s="958"/>
      <c r="DJ39" s="958"/>
      <c r="DK39" s="958"/>
      <c r="DL39" s="958"/>
      <c r="DM39" s="958"/>
      <c r="DN39" s="864"/>
      <c r="DO39" s="864"/>
      <c r="DP39" s="960"/>
      <c r="DQ39" s="864"/>
      <c r="DR39" s="864"/>
      <c r="DS39" s="864"/>
      <c r="DT39" s="864"/>
      <c r="DU39" s="864"/>
      <c r="DV39" s="864"/>
      <c r="DW39" s="864"/>
      <c r="DX39" s="864"/>
      <c r="DY39" s="864"/>
      <c r="DZ39" s="864"/>
      <c r="EA39" s="864"/>
      <c r="EB39" s="864"/>
      <c r="EC39" s="864"/>
      <c r="ED39" s="864"/>
      <c r="EE39" s="864"/>
      <c r="EF39" s="958"/>
      <c r="EG39" s="958"/>
      <c r="EH39" s="958"/>
      <c r="EI39" s="855"/>
      <c r="EJ39" s="961"/>
      <c r="EK39" s="961"/>
      <c r="EL39" s="961"/>
      <c r="EM39" s="961"/>
      <c r="EN39" s="961"/>
      <c r="EO39" s="961"/>
      <c r="EP39" s="961"/>
      <c r="EQ39" s="961"/>
      <c r="ER39" s="961"/>
      <c r="ES39" s="961"/>
      <c r="ET39" s="961"/>
      <c r="EU39" s="864"/>
      <c r="EV39" s="864"/>
      <c r="EW39" s="958"/>
      <c r="EX39" s="864"/>
      <c r="EY39" s="864"/>
      <c r="EZ39" s="864"/>
      <c r="FA39" s="864"/>
      <c r="FB39" s="864"/>
      <c r="FC39" s="864"/>
      <c r="FD39" s="864"/>
      <c r="FE39" s="958"/>
      <c r="FF39" s="864"/>
      <c r="FG39" s="864"/>
      <c r="FH39" s="864"/>
      <c r="FI39" s="864"/>
      <c r="FJ39" s="864"/>
      <c r="FK39" s="962"/>
      <c r="FL39" s="958"/>
      <c r="FM39" s="958"/>
      <c r="FN39" s="958"/>
      <c r="FO39" s="958"/>
      <c r="FP39" s="945"/>
      <c r="FQ39" s="958"/>
      <c r="FR39" s="864"/>
      <c r="FS39" s="864"/>
      <c r="FT39" s="864"/>
      <c r="FU39" s="864"/>
      <c r="FV39" s="864"/>
      <c r="FW39" s="864"/>
      <c r="FX39" s="864"/>
      <c r="FY39" s="864"/>
      <c r="FZ39" s="864"/>
      <c r="GA39" s="958"/>
      <c r="GB39" s="958"/>
      <c r="GC39" s="958"/>
      <c r="GD39" s="958"/>
      <c r="GE39" s="958"/>
      <c r="GF39" s="958"/>
      <c r="GG39" s="958"/>
      <c r="GH39" s="864"/>
      <c r="GI39" s="864"/>
      <c r="GJ39" s="864"/>
      <c r="GK39" s="864"/>
      <c r="GL39" s="864"/>
      <c r="GM39" s="864"/>
      <c r="GN39" s="864"/>
      <c r="GO39" s="963"/>
      <c r="GP39" s="964"/>
      <c r="GQ39" s="867"/>
      <c r="GR39" s="864"/>
      <c r="GS39" s="864"/>
      <c r="GT39" s="864"/>
      <c r="GU39" s="864"/>
      <c r="GV39" s="864"/>
      <c r="GW39" s="864"/>
      <c r="GX39" s="864"/>
      <c r="GY39" s="864"/>
      <c r="GZ39" s="864"/>
      <c r="HA39" s="864"/>
      <c r="HB39" s="864"/>
      <c r="HC39" s="864"/>
      <c r="HD39" s="864"/>
      <c r="HE39" s="966"/>
      <c r="HF39" s="958"/>
      <c r="HG39" s="864"/>
      <c r="HH39" s="961"/>
      <c r="HI39" s="958"/>
      <c r="HJ39" s="958"/>
      <c r="HK39" s="961"/>
      <c r="HL39" s="864"/>
      <c r="HM39" s="864"/>
      <c r="HN39" s="864"/>
      <c r="HO39" s="968"/>
      <c r="HP39" s="958"/>
      <c r="HQ39" s="958"/>
      <c r="HR39" s="959"/>
      <c r="HS39" s="958"/>
      <c r="HT39" s="958"/>
      <c r="HU39" s="958"/>
      <c r="HV39" s="962"/>
      <c r="HW39" s="958"/>
      <c r="HX39" s="958"/>
      <c r="HY39" s="958"/>
      <c r="HZ39" s="958"/>
      <c r="IA39" s="958"/>
      <c r="IB39" s="958"/>
      <c r="IC39" s="958"/>
      <c r="ID39" s="958"/>
      <c r="IE39" s="958"/>
      <c r="IF39" s="958"/>
      <c r="IG39" s="959"/>
      <c r="IH39" s="958"/>
      <c r="II39" s="958"/>
      <c r="IJ39" s="959"/>
      <c r="IK39" s="958"/>
      <c r="IL39" s="958"/>
      <c r="IM39" s="958"/>
      <c r="IN39" s="958"/>
      <c r="IO39" s="864"/>
      <c r="IP39" s="864"/>
      <c r="IQ39" s="864"/>
      <c r="IR39" s="959"/>
      <c r="IS39" s="958"/>
      <c r="IT39" s="958"/>
      <c r="IU39" s="958"/>
      <c r="IV39" s="958"/>
      <c r="IW39" s="954"/>
      <c r="IX39" s="955"/>
      <c r="IY39" s="958"/>
      <c r="IZ39" s="958"/>
      <c r="JA39" s="958"/>
      <c r="JB39" s="958"/>
      <c r="JC39" s="958"/>
      <c r="JD39" s="958"/>
      <c r="JE39" s="958"/>
      <c r="JF39" s="961"/>
      <c r="JG39" s="958"/>
      <c r="JH39" s="958"/>
      <c r="JI39" s="958"/>
      <c r="JJ39" s="958"/>
      <c r="JK39" s="958"/>
      <c r="JL39" s="958"/>
      <c r="JM39" s="958"/>
      <c r="JN39" s="958"/>
      <c r="JO39" s="958"/>
      <c r="JP39" s="958"/>
      <c r="JQ39" s="961"/>
      <c r="JR39" s="958"/>
      <c r="JS39" s="958"/>
      <c r="JT39" s="958"/>
      <c r="JU39" s="958"/>
      <c r="JV39" s="958"/>
      <c r="JW39" s="958"/>
      <c r="JX39" s="958"/>
      <c r="JY39" s="958"/>
      <c r="JZ39" s="958"/>
      <c r="KA39" s="958"/>
      <c r="KB39" s="958"/>
      <c r="KC39" s="958"/>
      <c r="KD39" s="958"/>
      <c r="KE39" s="983"/>
      <c r="KF39" s="959"/>
      <c r="KG39" s="959"/>
      <c r="KH39" s="959"/>
      <c r="KI39" s="959"/>
      <c r="KJ39" s="959"/>
      <c r="KK39" s="959"/>
      <c r="KL39" s="958"/>
      <c r="KM39" s="864"/>
      <c r="KN39" s="864"/>
      <c r="KO39" s="864"/>
      <c r="KP39" s="864"/>
      <c r="KQ39" s="864"/>
      <c r="KR39" s="958"/>
      <c r="KS39" s="864"/>
      <c r="KT39" s="958"/>
      <c r="KU39" s="864"/>
      <c r="KV39" s="958"/>
      <c r="KW39" s="958"/>
      <c r="KX39" s="958"/>
      <c r="KY39" s="858"/>
      <c r="KZ39" s="958"/>
      <c r="LA39" s="958"/>
      <c r="LB39" s="958"/>
      <c r="LC39" s="958"/>
      <c r="LD39" s="958"/>
      <c r="LE39" s="958"/>
      <c r="LF39" s="961"/>
      <c r="LG39" s="961"/>
      <c r="LH39" s="961"/>
      <c r="LI39" s="961"/>
      <c r="LJ39" s="961"/>
      <c r="LK39" s="961"/>
      <c r="LL39" s="961"/>
      <c r="LM39" s="961"/>
      <c r="LN39" s="961"/>
      <c r="LO39" s="961"/>
      <c r="LP39" s="961"/>
      <c r="LQ39" s="961"/>
      <c r="LR39" s="961"/>
      <c r="LS39" s="961"/>
      <c r="LT39" s="961"/>
      <c r="LU39" s="961"/>
      <c r="LV39" s="961"/>
      <c r="LW39" s="961"/>
      <c r="LX39" s="961"/>
      <c r="LY39" s="961"/>
    </row>
    <row r="40" spans="1:337" x14ac:dyDescent="0.25">
      <c r="A40" s="342"/>
      <c r="B40" s="359"/>
      <c r="C40" s="344"/>
      <c r="D40" s="355"/>
      <c r="E40" s="835"/>
      <c r="F40" s="863"/>
      <c r="G40" s="863"/>
      <c r="H40" s="864"/>
      <c r="I40" s="864"/>
      <c r="J40" s="864"/>
      <c r="K40" s="864"/>
      <c r="L40" s="864"/>
      <c r="M40" s="864"/>
      <c r="N40" s="852"/>
      <c r="O40" s="864"/>
      <c r="P40" s="864"/>
      <c r="Q40" s="864"/>
      <c r="R40" s="864"/>
      <c r="S40" s="864"/>
      <c r="T40" s="864"/>
      <c r="U40" s="864"/>
      <c r="V40" s="958"/>
      <c r="W40" s="958"/>
      <c r="X40" s="958"/>
      <c r="Y40" s="958"/>
      <c r="Z40" s="958"/>
      <c r="AA40" s="864"/>
      <c r="AB40" s="864"/>
      <c r="AC40" s="864"/>
      <c r="AD40" s="864"/>
      <c r="AE40" s="864"/>
      <c r="AF40" s="864"/>
      <c r="AG40" s="864"/>
      <c r="AH40" s="864"/>
      <c r="AI40" s="864"/>
      <c r="AJ40" s="864"/>
      <c r="AK40" s="864"/>
      <c r="AL40" s="864"/>
      <c r="AM40" s="864"/>
      <c r="AN40" s="864"/>
      <c r="AO40" s="864"/>
      <c r="AP40" s="864"/>
      <c r="AQ40" s="864"/>
      <c r="AR40" s="864"/>
      <c r="AS40" s="864"/>
      <c r="AT40" s="864"/>
      <c r="AU40" s="864"/>
      <c r="AV40" s="958"/>
      <c r="AW40" s="958"/>
      <c r="AX40" s="864"/>
      <c r="AY40" s="864"/>
      <c r="AZ40" s="864"/>
      <c r="BA40" s="852"/>
      <c r="BB40" s="946"/>
      <c r="BC40" s="958"/>
      <c r="BD40" s="957"/>
      <c r="BE40" s="864"/>
      <c r="BF40" s="864"/>
      <c r="BG40" s="864"/>
      <c r="BH40" s="864"/>
      <c r="BI40" s="864"/>
      <c r="BJ40" s="864"/>
      <c r="BK40" s="864"/>
      <c r="BL40" s="864"/>
      <c r="BM40" s="864"/>
      <c r="BN40" s="864"/>
      <c r="BO40" s="864"/>
      <c r="BP40" s="864"/>
      <c r="BQ40" s="864"/>
      <c r="BR40" s="864"/>
      <c r="BS40" s="864"/>
      <c r="BT40" s="958"/>
      <c r="BU40" s="958"/>
      <c r="BV40" s="958"/>
      <c r="BW40" s="958"/>
      <c r="BX40" s="864"/>
      <c r="BY40" s="864"/>
      <c r="BZ40" s="864"/>
      <c r="CA40" s="864"/>
      <c r="CB40" s="864"/>
      <c r="CC40" s="959"/>
      <c r="CD40" s="864"/>
      <c r="CE40" s="864"/>
      <c r="CF40" s="864"/>
      <c r="CG40" s="864"/>
      <c r="CH40" s="864"/>
      <c r="CI40" s="864"/>
      <c r="CJ40" s="864"/>
      <c r="CK40" s="958"/>
      <c r="CL40" s="958"/>
      <c r="CM40" s="864"/>
      <c r="CN40" s="864"/>
      <c r="CO40" s="864"/>
      <c r="CP40" s="864"/>
      <c r="CQ40" s="864"/>
      <c r="CR40" s="864"/>
      <c r="CS40" s="864"/>
      <c r="CT40" s="864"/>
      <c r="CU40" s="864"/>
      <c r="CV40" s="864"/>
      <c r="CW40" s="864"/>
      <c r="CX40" s="864"/>
      <c r="CY40" s="864"/>
      <c r="CZ40" s="864"/>
      <c r="DA40" s="864"/>
      <c r="DB40" s="864"/>
      <c r="DC40" s="864"/>
      <c r="DD40" s="864"/>
      <c r="DE40" s="864"/>
      <c r="DF40" s="958"/>
      <c r="DG40" s="864"/>
      <c r="DH40" s="958"/>
      <c r="DI40" s="958"/>
      <c r="DJ40" s="958"/>
      <c r="DK40" s="958"/>
      <c r="DL40" s="958"/>
      <c r="DM40" s="958"/>
      <c r="DN40" s="864"/>
      <c r="DO40" s="864"/>
      <c r="DP40" s="960"/>
      <c r="DQ40" s="864"/>
      <c r="DR40" s="864"/>
      <c r="DS40" s="864"/>
      <c r="DT40" s="864"/>
      <c r="DU40" s="864"/>
      <c r="DV40" s="864"/>
      <c r="DW40" s="864"/>
      <c r="DX40" s="864"/>
      <c r="DY40" s="864"/>
      <c r="DZ40" s="864"/>
      <c r="EA40" s="864"/>
      <c r="EB40" s="864"/>
      <c r="EC40" s="864"/>
      <c r="ED40" s="864"/>
      <c r="EE40" s="864"/>
      <c r="EF40" s="958"/>
      <c r="EG40" s="958"/>
      <c r="EH40" s="958"/>
      <c r="EI40" s="855"/>
      <c r="EJ40" s="961"/>
      <c r="EK40" s="961"/>
      <c r="EL40" s="961"/>
      <c r="EM40" s="961"/>
      <c r="EN40" s="961"/>
      <c r="EO40" s="961"/>
      <c r="EP40" s="961"/>
      <c r="EQ40" s="961"/>
      <c r="ER40" s="961"/>
      <c r="ES40" s="961"/>
      <c r="ET40" s="961"/>
      <c r="EU40" s="864"/>
      <c r="EV40" s="864"/>
      <c r="EW40" s="958"/>
      <c r="EX40" s="864"/>
      <c r="EY40" s="864"/>
      <c r="EZ40" s="864"/>
      <c r="FA40" s="864"/>
      <c r="FB40" s="864"/>
      <c r="FC40" s="864"/>
      <c r="FD40" s="864"/>
      <c r="FE40" s="958"/>
      <c r="FF40" s="864"/>
      <c r="FG40" s="864"/>
      <c r="FH40" s="864"/>
      <c r="FI40" s="864"/>
      <c r="FJ40" s="864"/>
      <c r="FK40" s="962"/>
      <c r="FL40" s="958"/>
      <c r="FM40" s="958"/>
      <c r="FN40" s="958"/>
      <c r="FO40" s="958"/>
      <c r="FP40" s="945"/>
      <c r="FQ40" s="958"/>
      <c r="FR40" s="864"/>
      <c r="FS40" s="864"/>
      <c r="FT40" s="864"/>
      <c r="FU40" s="864"/>
      <c r="FV40" s="864"/>
      <c r="FW40" s="864"/>
      <c r="FX40" s="864"/>
      <c r="FY40" s="864"/>
      <c r="FZ40" s="864"/>
      <c r="GA40" s="958"/>
      <c r="GB40" s="958"/>
      <c r="GC40" s="958"/>
      <c r="GD40" s="958"/>
      <c r="GE40" s="958"/>
      <c r="GF40" s="958"/>
      <c r="GG40" s="958"/>
      <c r="GH40" s="864"/>
      <c r="GI40" s="864"/>
      <c r="GJ40" s="864"/>
      <c r="GK40" s="864"/>
      <c r="GL40" s="864"/>
      <c r="GM40" s="864"/>
      <c r="GN40" s="864"/>
      <c r="GO40" s="963"/>
      <c r="GP40" s="964"/>
      <c r="GQ40" s="867"/>
      <c r="GR40" s="864"/>
      <c r="GS40" s="864"/>
      <c r="GT40" s="864"/>
      <c r="GU40" s="864"/>
      <c r="GV40" s="864"/>
      <c r="GW40" s="864"/>
      <c r="GX40" s="864"/>
      <c r="GY40" s="864"/>
      <c r="GZ40" s="864"/>
      <c r="HA40" s="864"/>
      <c r="HB40" s="864"/>
      <c r="HC40" s="864"/>
      <c r="HD40" s="864"/>
      <c r="HE40" s="966"/>
      <c r="HF40" s="958"/>
      <c r="HG40" s="864"/>
      <c r="HH40" s="961"/>
      <c r="HI40" s="958"/>
      <c r="HJ40" s="958"/>
      <c r="HK40" s="961"/>
      <c r="HL40" s="864"/>
      <c r="HM40" s="864"/>
      <c r="HN40" s="864"/>
      <c r="HO40" s="968"/>
      <c r="HP40" s="958"/>
      <c r="HQ40" s="958"/>
      <c r="HR40" s="959"/>
      <c r="HS40" s="958"/>
      <c r="HT40" s="958"/>
      <c r="HU40" s="958"/>
      <c r="HV40" s="962"/>
      <c r="HW40" s="958"/>
      <c r="HX40" s="958"/>
      <c r="HY40" s="958"/>
      <c r="HZ40" s="958"/>
      <c r="IA40" s="958"/>
      <c r="IB40" s="958"/>
      <c r="IC40" s="958"/>
      <c r="ID40" s="958"/>
      <c r="IE40" s="958"/>
      <c r="IF40" s="958"/>
      <c r="IG40" s="959"/>
      <c r="IH40" s="958"/>
      <c r="II40" s="958"/>
      <c r="IJ40" s="959"/>
      <c r="IK40" s="958"/>
      <c r="IL40" s="958"/>
      <c r="IM40" s="958"/>
      <c r="IN40" s="958"/>
      <c r="IO40" s="864"/>
      <c r="IP40" s="864"/>
      <c r="IQ40" s="864"/>
      <c r="IR40" s="959"/>
      <c r="IS40" s="958"/>
      <c r="IT40" s="958"/>
      <c r="IU40" s="958"/>
      <c r="IV40" s="958"/>
      <c r="IW40" s="954"/>
      <c r="IX40" s="955"/>
      <c r="IY40" s="958"/>
      <c r="IZ40" s="958"/>
      <c r="JA40" s="958"/>
      <c r="JB40" s="958"/>
      <c r="JC40" s="958"/>
      <c r="JD40" s="958"/>
      <c r="JE40" s="958"/>
      <c r="JF40" s="961"/>
      <c r="JG40" s="958"/>
      <c r="JH40" s="958"/>
      <c r="JI40" s="958"/>
      <c r="JJ40" s="958"/>
      <c r="JK40" s="958"/>
      <c r="JL40" s="958"/>
      <c r="JM40" s="958"/>
      <c r="JN40" s="958"/>
      <c r="JO40" s="958"/>
      <c r="JP40" s="958"/>
      <c r="JQ40" s="961"/>
      <c r="JR40" s="958"/>
      <c r="JS40" s="958"/>
      <c r="JT40" s="958"/>
      <c r="JU40" s="958"/>
      <c r="JV40" s="958"/>
      <c r="JW40" s="958"/>
      <c r="JX40" s="958"/>
      <c r="JY40" s="958"/>
      <c r="JZ40" s="958"/>
      <c r="KA40" s="958"/>
      <c r="KB40" s="958"/>
      <c r="KC40" s="958"/>
      <c r="KD40" s="958"/>
      <c r="KE40" s="983"/>
      <c r="KF40" s="959"/>
      <c r="KG40" s="959"/>
      <c r="KH40" s="959"/>
      <c r="KI40" s="959"/>
      <c r="KJ40" s="959"/>
      <c r="KK40" s="959"/>
      <c r="KL40" s="958"/>
      <c r="KM40" s="864"/>
      <c r="KN40" s="864"/>
      <c r="KO40" s="864"/>
      <c r="KP40" s="864"/>
      <c r="KQ40" s="864"/>
      <c r="KR40" s="958"/>
      <c r="KS40" s="864"/>
      <c r="KT40" s="958"/>
      <c r="KU40" s="864"/>
      <c r="KV40" s="958"/>
      <c r="KW40" s="958"/>
      <c r="KX40" s="958"/>
      <c r="KY40" s="858"/>
      <c r="KZ40" s="958"/>
      <c r="LA40" s="958"/>
      <c r="LB40" s="958"/>
      <c r="LC40" s="958"/>
      <c r="LD40" s="958"/>
      <c r="LE40" s="958"/>
      <c r="LF40" s="961"/>
      <c r="LG40" s="961"/>
      <c r="LH40" s="961"/>
      <c r="LI40" s="961"/>
      <c r="LJ40" s="961"/>
      <c r="LK40" s="961"/>
      <c r="LL40" s="961"/>
      <c r="LM40" s="961"/>
      <c r="LN40" s="961"/>
      <c r="LO40" s="961"/>
      <c r="LP40" s="961"/>
      <c r="LQ40" s="961"/>
      <c r="LR40" s="961"/>
      <c r="LS40" s="961"/>
      <c r="LT40" s="961"/>
      <c r="LU40" s="961"/>
      <c r="LV40" s="961"/>
      <c r="LW40" s="961"/>
      <c r="LX40" s="961"/>
      <c r="LY40" s="961"/>
    </row>
    <row r="41" spans="1:337" x14ac:dyDescent="0.25">
      <c r="A41" s="342"/>
      <c r="B41" s="359"/>
      <c r="C41" s="344"/>
      <c r="D41" s="355"/>
      <c r="E41" s="835"/>
      <c r="F41" s="863"/>
      <c r="G41" s="863"/>
      <c r="H41" s="864"/>
      <c r="I41" s="864"/>
      <c r="J41" s="864"/>
      <c r="K41" s="864"/>
      <c r="L41" s="864"/>
      <c r="M41" s="864"/>
      <c r="N41" s="852"/>
      <c r="O41" s="864"/>
      <c r="P41" s="864"/>
      <c r="Q41" s="864"/>
      <c r="R41" s="864"/>
      <c r="S41" s="864"/>
      <c r="T41" s="864"/>
      <c r="U41" s="864"/>
      <c r="V41" s="958"/>
      <c r="W41" s="958"/>
      <c r="X41" s="958"/>
      <c r="Y41" s="958"/>
      <c r="Z41" s="958"/>
      <c r="AA41" s="864"/>
      <c r="AB41" s="864"/>
      <c r="AC41" s="864"/>
      <c r="AD41" s="864"/>
      <c r="AE41" s="864"/>
      <c r="AF41" s="864"/>
      <c r="AG41" s="864"/>
      <c r="AH41" s="864"/>
      <c r="AI41" s="864"/>
      <c r="AJ41" s="864"/>
      <c r="AK41" s="864"/>
      <c r="AL41" s="864"/>
      <c r="AM41" s="864"/>
      <c r="AN41" s="864"/>
      <c r="AO41" s="864"/>
      <c r="AP41" s="864"/>
      <c r="AQ41" s="864"/>
      <c r="AR41" s="864"/>
      <c r="AS41" s="864"/>
      <c r="AT41" s="864"/>
      <c r="AU41" s="864"/>
      <c r="AV41" s="958"/>
      <c r="AW41" s="958"/>
      <c r="AX41" s="864"/>
      <c r="AY41" s="864"/>
      <c r="AZ41" s="864"/>
      <c r="BA41" s="852"/>
      <c r="BB41" s="946"/>
      <c r="BC41" s="958"/>
      <c r="BD41" s="957"/>
      <c r="BE41" s="864"/>
      <c r="BF41" s="864"/>
      <c r="BG41" s="864"/>
      <c r="BH41" s="864"/>
      <c r="BI41" s="864"/>
      <c r="BJ41" s="864"/>
      <c r="BK41" s="864"/>
      <c r="BL41" s="864"/>
      <c r="BM41" s="864"/>
      <c r="BN41" s="864"/>
      <c r="BO41" s="864"/>
      <c r="BP41" s="864"/>
      <c r="BQ41" s="864"/>
      <c r="BR41" s="864"/>
      <c r="BS41" s="864"/>
      <c r="BT41" s="958"/>
      <c r="BU41" s="958"/>
      <c r="BV41" s="958"/>
      <c r="BW41" s="958"/>
      <c r="BX41" s="864"/>
      <c r="BY41" s="864"/>
      <c r="BZ41" s="864"/>
      <c r="CA41" s="864"/>
      <c r="CB41" s="864"/>
      <c r="CC41" s="959"/>
      <c r="CD41" s="864"/>
      <c r="CE41" s="864"/>
      <c r="CF41" s="864"/>
      <c r="CG41" s="864"/>
      <c r="CH41" s="864"/>
      <c r="CI41" s="864"/>
      <c r="CJ41" s="864"/>
      <c r="CK41" s="958"/>
      <c r="CL41" s="958"/>
      <c r="CM41" s="864"/>
      <c r="CN41" s="864"/>
      <c r="CO41" s="864"/>
      <c r="CP41" s="864"/>
      <c r="CQ41" s="864"/>
      <c r="CR41" s="864"/>
      <c r="CS41" s="864"/>
      <c r="CT41" s="864"/>
      <c r="CU41" s="864"/>
      <c r="CV41" s="864"/>
      <c r="CW41" s="864"/>
      <c r="CX41" s="864"/>
      <c r="CY41" s="864"/>
      <c r="CZ41" s="864"/>
      <c r="DA41" s="864"/>
      <c r="DB41" s="864"/>
      <c r="DC41" s="864"/>
      <c r="DD41" s="864"/>
      <c r="DE41" s="864"/>
      <c r="DF41" s="958"/>
      <c r="DG41" s="864"/>
      <c r="DH41" s="958"/>
      <c r="DI41" s="958"/>
      <c r="DJ41" s="958"/>
      <c r="DK41" s="958"/>
      <c r="DL41" s="958"/>
      <c r="DM41" s="958"/>
      <c r="DN41" s="864"/>
      <c r="DO41" s="864"/>
      <c r="DP41" s="960"/>
      <c r="DQ41" s="864"/>
      <c r="DR41" s="864"/>
      <c r="DS41" s="864"/>
      <c r="DT41" s="864"/>
      <c r="DU41" s="864"/>
      <c r="DV41" s="864"/>
      <c r="DW41" s="864"/>
      <c r="DX41" s="864"/>
      <c r="DY41" s="864"/>
      <c r="DZ41" s="864"/>
      <c r="EA41" s="864"/>
      <c r="EB41" s="864"/>
      <c r="EC41" s="864"/>
      <c r="ED41" s="864"/>
      <c r="EE41" s="864"/>
      <c r="EF41" s="958"/>
      <c r="EG41" s="958"/>
      <c r="EH41" s="958"/>
      <c r="EI41" s="855"/>
      <c r="EJ41" s="961"/>
      <c r="EK41" s="961"/>
      <c r="EL41" s="961"/>
      <c r="EM41" s="961"/>
      <c r="EN41" s="961"/>
      <c r="EO41" s="961"/>
      <c r="EP41" s="961"/>
      <c r="EQ41" s="961"/>
      <c r="ER41" s="961"/>
      <c r="ES41" s="961"/>
      <c r="ET41" s="961"/>
      <c r="EU41" s="864"/>
      <c r="EV41" s="864"/>
      <c r="EW41" s="958"/>
      <c r="EX41" s="864"/>
      <c r="EY41" s="864"/>
      <c r="EZ41" s="864"/>
      <c r="FA41" s="864"/>
      <c r="FB41" s="864"/>
      <c r="FC41" s="864"/>
      <c r="FD41" s="864"/>
      <c r="FE41" s="958"/>
      <c r="FF41" s="864"/>
      <c r="FG41" s="864"/>
      <c r="FH41" s="864"/>
      <c r="FI41" s="864"/>
      <c r="FJ41" s="864"/>
      <c r="FK41" s="962"/>
      <c r="FL41" s="958"/>
      <c r="FM41" s="958"/>
      <c r="FN41" s="958"/>
      <c r="FO41" s="958"/>
      <c r="FP41" s="945"/>
      <c r="FQ41" s="958"/>
      <c r="FR41" s="864"/>
      <c r="FS41" s="864"/>
      <c r="FT41" s="864"/>
      <c r="FU41" s="864"/>
      <c r="FV41" s="864"/>
      <c r="FW41" s="864"/>
      <c r="FX41" s="864"/>
      <c r="FY41" s="864"/>
      <c r="FZ41" s="864"/>
      <c r="GA41" s="958"/>
      <c r="GB41" s="958"/>
      <c r="GC41" s="958"/>
      <c r="GD41" s="958"/>
      <c r="GE41" s="958"/>
      <c r="GF41" s="958"/>
      <c r="GG41" s="958"/>
      <c r="GH41" s="864"/>
      <c r="GI41" s="864"/>
      <c r="GJ41" s="864"/>
      <c r="GK41" s="864"/>
      <c r="GL41" s="864"/>
      <c r="GM41" s="864"/>
      <c r="GN41" s="864"/>
      <c r="GO41" s="963"/>
      <c r="GP41" s="964"/>
      <c r="GQ41" s="867"/>
      <c r="GR41" s="864"/>
      <c r="GS41" s="864"/>
      <c r="GT41" s="864"/>
      <c r="GU41" s="864"/>
      <c r="GV41" s="864"/>
      <c r="GW41" s="864"/>
      <c r="GX41" s="864"/>
      <c r="GY41" s="864"/>
      <c r="GZ41" s="864"/>
      <c r="HA41" s="864"/>
      <c r="HB41" s="864"/>
      <c r="HC41" s="864"/>
      <c r="HD41" s="864"/>
      <c r="HE41" s="966"/>
      <c r="HF41" s="958"/>
      <c r="HG41" s="864"/>
      <c r="HH41" s="961"/>
      <c r="HI41" s="958"/>
      <c r="HJ41" s="958"/>
      <c r="HK41" s="961"/>
      <c r="HL41" s="864"/>
      <c r="HM41" s="864"/>
      <c r="HN41" s="864"/>
      <c r="HO41" s="968"/>
      <c r="HP41" s="958"/>
      <c r="HQ41" s="958"/>
      <c r="HR41" s="959"/>
      <c r="HS41" s="958"/>
      <c r="HT41" s="958"/>
      <c r="HU41" s="958"/>
      <c r="HV41" s="962"/>
      <c r="HW41" s="958"/>
      <c r="HX41" s="958"/>
      <c r="HY41" s="958"/>
      <c r="HZ41" s="958"/>
      <c r="IA41" s="958"/>
      <c r="IB41" s="958"/>
      <c r="IC41" s="958"/>
      <c r="ID41" s="958"/>
      <c r="IE41" s="958"/>
      <c r="IF41" s="958"/>
      <c r="IG41" s="959"/>
      <c r="IH41" s="958"/>
      <c r="II41" s="958"/>
      <c r="IJ41" s="959"/>
      <c r="IK41" s="958"/>
      <c r="IL41" s="958"/>
      <c r="IM41" s="958"/>
      <c r="IN41" s="958"/>
      <c r="IO41" s="864"/>
      <c r="IP41" s="864"/>
      <c r="IQ41" s="864"/>
      <c r="IR41" s="959"/>
      <c r="IS41" s="958"/>
      <c r="IT41" s="958"/>
      <c r="IU41" s="958"/>
      <c r="IV41" s="958"/>
      <c r="IW41" s="954"/>
      <c r="IX41" s="955"/>
      <c r="IY41" s="958"/>
      <c r="IZ41" s="958"/>
      <c r="JA41" s="958"/>
      <c r="JB41" s="958"/>
      <c r="JC41" s="958"/>
      <c r="JD41" s="958"/>
      <c r="JE41" s="958"/>
      <c r="JF41" s="961"/>
      <c r="JG41" s="958"/>
      <c r="JH41" s="958"/>
      <c r="JI41" s="958"/>
      <c r="JJ41" s="958"/>
      <c r="JK41" s="958"/>
      <c r="JL41" s="958"/>
      <c r="JM41" s="958"/>
      <c r="JN41" s="958"/>
      <c r="JO41" s="958"/>
      <c r="JP41" s="958"/>
      <c r="JQ41" s="961"/>
      <c r="JR41" s="958"/>
      <c r="JS41" s="958"/>
      <c r="JT41" s="958"/>
      <c r="JU41" s="958"/>
      <c r="JV41" s="958"/>
      <c r="JW41" s="958"/>
      <c r="JX41" s="958"/>
      <c r="JY41" s="958"/>
      <c r="JZ41" s="958"/>
      <c r="KA41" s="958"/>
      <c r="KB41" s="958"/>
      <c r="KC41" s="958"/>
      <c r="KD41" s="958"/>
      <c r="KE41" s="983"/>
      <c r="KF41" s="959"/>
      <c r="KG41" s="959"/>
      <c r="KH41" s="959"/>
      <c r="KI41" s="959"/>
      <c r="KJ41" s="959"/>
      <c r="KK41" s="959"/>
      <c r="KL41" s="958"/>
      <c r="KM41" s="864"/>
      <c r="KN41" s="864"/>
      <c r="KO41" s="864"/>
      <c r="KP41" s="864"/>
      <c r="KQ41" s="864"/>
      <c r="KR41" s="958"/>
      <c r="KS41" s="864"/>
      <c r="KT41" s="958"/>
      <c r="KU41" s="864"/>
      <c r="KV41" s="958"/>
      <c r="KW41" s="958"/>
      <c r="KX41" s="958"/>
      <c r="KY41" s="858"/>
      <c r="KZ41" s="958"/>
      <c r="LA41" s="958"/>
      <c r="LB41" s="958"/>
      <c r="LC41" s="958"/>
      <c r="LD41" s="958"/>
      <c r="LE41" s="958"/>
      <c r="LF41" s="961"/>
      <c r="LG41" s="961"/>
      <c r="LH41" s="961"/>
      <c r="LI41" s="961"/>
      <c r="LJ41" s="961"/>
      <c r="LK41" s="961"/>
      <c r="LL41" s="961"/>
      <c r="LM41" s="961"/>
      <c r="LN41" s="961"/>
      <c r="LO41" s="961"/>
      <c r="LP41" s="961"/>
      <c r="LQ41" s="961"/>
      <c r="LR41" s="961"/>
      <c r="LS41" s="961"/>
      <c r="LT41" s="961"/>
      <c r="LU41" s="961"/>
      <c r="LV41" s="961"/>
      <c r="LW41" s="961"/>
      <c r="LX41" s="961"/>
      <c r="LY41" s="961"/>
    </row>
    <row r="42" spans="1:337" ht="16.5" thickBot="1" x14ac:dyDescent="0.3">
      <c r="A42" s="342"/>
      <c r="B42" s="359"/>
      <c r="C42" s="344"/>
      <c r="D42" s="355"/>
      <c r="E42" s="835"/>
      <c r="F42" s="863"/>
      <c r="G42" s="863"/>
      <c r="H42" s="864"/>
      <c r="I42" s="864"/>
      <c r="J42" s="864"/>
      <c r="K42" s="864"/>
      <c r="L42" s="864"/>
      <c r="M42" s="864"/>
      <c r="N42" s="852"/>
      <c r="O42" s="864"/>
      <c r="P42" s="864"/>
      <c r="Q42" s="864"/>
      <c r="R42" s="864"/>
      <c r="S42" s="864"/>
      <c r="T42" s="864"/>
      <c r="U42" s="864"/>
      <c r="V42" s="958"/>
      <c r="W42" s="958"/>
      <c r="X42" s="958"/>
      <c r="Y42" s="958"/>
      <c r="Z42" s="958"/>
      <c r="AA42" s="864"/>
      <c r="AB42" s="864"/>
      <c r="AC42" s="864"/>
      <c r="AD42" s="864"/>
      <c r="AE42" s="864"/>
      <c r="AF42" s="864"/>
      <c r="AG42" s="864"/>
      <c r="AH42" s="864"/>
      <c r="AI42" s="864"/>
      <c r="AJ42" s="864"/>
      <c r="AK42" s="864"/>
      <c r="AL42" s="864"/>
      <c r="AM42" s="864"/>
      <c r="AN42" s="864"/>
      <c r="AO42" s="864"/>
      <c r="AP42" s="864"/>
      <c r="AQ42" s="864"/>
      <c r="AR42" s="864"/>
      <c r="AS42" s="864"/>
      <c r="AT42" s="864"/>
      <c r="AU42" s="864"/>
      <c r="AV42" s="958"/>
      <c r="AW42" s="958"/>
      <c r="AX42" s="864"/>
      <c r="AY42" s="864"/>
      <c r="AZ42" s="864"/>
      <c r="BA42" s="852"/>
      <c r="BB42" s="946"/>
      <c r="BC42" s="958"/>
      <c r="BD42" s="957"/>
      <c r="BE42" s="864"/>
      <c r="BF42" s="864"/>
      <c r="BG42" s="864"/>
      <c r="BH42" s="864"/>
      <c r="BI42" s="864"/>
      <c r="BJ42" s="864"/>
      <c r="BK42" s="864"/>
      <c r="BL42" s="864"/>
      <c r="BM42" s="864"/>
      <c r="BN42" s="864"/>
      <c r="BO42" s="864"/>
      <c r="BP42" s="864"/>
      <c r="BQ42" s="864"/>
      <c r="BR42" s="864"/>
      <c r="BS42" s="864"/>
      <c r="BT42" s="958"/>
      <c r="BU42" s="958"/>
      <c r="BV42" s="958"/>
      <c r="BW42" s="958"/>
      <c r="BX42" s="864"/>
      <c r="BY42" s="864"/>
      <c r="BZ42" s="864"/>
      <c r="CA42" s="864"/>
      <c r="CB42" s="864"/>
      <c r="CC42" s="959"/>
      <c r="CD42" s="864"/>
      <c r="CE42" s="864"/>
      <c r="CF42" s="864"/>
      <c r="CG42" s="864"/>
      <c r="CH42" s="864"/>
      <c r="CI42" s="864"/>
      <c r="CJ42" s="864"/>
      <c r="CK42" s="958"/>
      <c r="CL42" s="958"/>
      <c r="CM42" s="864"/>
      <c r="CN42" s="864"/>
      <c r="CO42" s="864"/>
      <c r="CP42" s="864"/>
      <c r="CQ42" s="864"/>
      <c r="CR42" s="864"/>
      <c r="CS42" s="864"/>
      <c r="CT42" s="864"/>
      <c r="CU42" s="864"/>
      <c r="CV42" s="864"/>
      <c r="CW42" s="864"/>
      <c r="CX42" s="864"/>
      <c r="CY42" s="864"/>
      <c r="CZ42" s="864"/>
      <c r="DA42" s="864"/>
      <c r="DB42" s="864"/>
      <c r="DC42" s="864"/>
      <c r="DD42" s="864"/>
      <c r="DE42" s="864"/>
      <c r="DF42" s="958"/>
      <c r="DG42" s="864"/>
      <c r="DH42" s="958"/>
      <c r="DI42" s="958"/>
      <c r="DJ42" s="958"/>
      <c r="DK42" s="958"/>
      <c r="DL42" s="958"/>
      <c r="DM42" s="958"/>
      <c r="DN42" s="864"/>
      <c r="DO42" s="864"/>
      <c r="DP42" s="960"/>
      <c r="DQ42" s="864"/>
      <c r="DR42" s="864"/>
      <c r="DS42" s="864"/>
      <c r="DT42" s="864"/>
      <c r="DU42" s="864"/>
      <c r="DV42" s="864"/>
      <c r="DW42" s="864"/>
      <c r="DX42" s="864"/>
      <c r="DY42" s="864"/>
      <c r="DZ42" s="864"/>
      <c r="EA42" s="864"/>
      <c r="EB42" s="864"/>
      <c r="EC42" s="864"/>
      <c r="ED42" s="864"/>
      <c r="EE42" s="864"/>
      <c r="EF42" s="958"/>
      <c r="EG42" s="958"/>
      <c r="EH42" s="958"/>
      <c r="EI42" s="855"/>
      <c r="EJ42" s="961"/>
      <c r="EK42" s="961"/>
      <c r="EL42" s="961"/>
      <c r="EM42" s="961"/>
      <c r="EN42" s="961"/>
      <c r="EO42" s="961"/>
      <c r="EP42" s="961"/>
      <c r="EQ42" s="961"/>
      <c r="ER42" s="961"/>
      <c r="ES42" s="961"/>
      <c r="ET42" s="961"/>
      <c r="EU42" s="864"/>
      <c r="EV42" s="864"/>
      <c r="EW42" s="958"/>
      <c r="EX42" s="864"/>
      <c r="EY42" s="864"/>
      <c r="EZ42" s="864"/>
      <c r="FA42" s="864"/>
      <c r="FB42" s="864"/>
      <c r="FC42" s="864"/>
      <c r="FD42" s="864"/>
      <c r="FE42" s="958"/>
      <c r="FF42" s="864"/>
      <c r="FG42" s="864"/>
      <c r="FH42" s="864"/>
      <c r="FI42" s="864"/>
      <c r="FJ42" s="864"/>
      <c r="FK42" s="962"/>
      <c r="FL42" s="958"/>
      <c r="FM42" s="958"/>
      <c r="FN42" s="958"/>
      <c r="FO42" s="958"/>
      <c r="FP42" s="945"/>
      <c r="FQ42" s="958"/>
      <c r="FR42" s="864"/>
      <c r="FS42" s="864"/>
      <c r="FT42" s="864"/>
      <c r="FU42" s="864"/>
      <c r="FV42" s="864"/>
      <c r="FW42" s="864"/>
      <c r="FX42" s="864"/>
      <c r="FY42" s="864"/>
      <c r="FZ42" s="864"/>
      <c r="GA42" s="958"/>
      <c r="GB42" s="958"/>
      <c r="GC42" s="958"/>
      <c r="GD42" s="958"/>
      <c r="GE42" s="958"/>
      <c r="GF42" s="958"/>
      <c r="GG42" s="958"/>
      <c r="GH42" s="864"/>
      <c r="GI42" s="864"/>
      <c r="GJ42" s="864"/>
      <c r="GK42" s="864"/>
      <c r="GL42" s="864"/>
      <c r="GM42" s="864"/>
      <c r="GN42" s="864"/>
      <c r="GO42" s="963"/>
      <c r="GP42" s="964"/>
      <c r="GQ42" s="867"/>
      <c r="GR42" s="864"/>
      <c r="GS42" s="864"/>
      <c r="GT42" s="864"/>
      <c r="GU42" s="864"/>
      <c r="GV42" s="864"/>
      <c r="GW42" s="864"/>
      <c r="GX42" s="864"/>
      <c r="GY42" s="864"/>
      <c r="GZ42" s="864"/>
      <c r="HA42" s="864"/>
      <c r="HB42" s="864"/>
      <c r="HC42" s="864"/>
      <c r="HD42" s="864"/>
      <c r="HE42" s="966"/>
      <c r="HF42" s="958"/>
      <c r="HG42" s="864"/>
      <c r="HH42" s="961"/>
      <c r="HI42" s="958"/>
      <c r="HJ42" s="958"/>
      <c r="HK42" s="961"/>
      <c r="HL42" s="864"/>
      <c r="HM42" s="864"/>
      <c r="HN42" s="864"/>
      <c r="HO42" s="968"/>
      <c r="HP42" s="958"/>
      <c r="HQ42" s="958"/>
      <c r="HR42" s="959"/>
      <c r="HS42" s="958"/>
      <c r="HT42" s="958"/>
      <c r="HU42" s="958"/>
      <c r="HV42" s="962"/>
      <c r="HW42" s="958"/>
      <c r="HX42" s="958"/>
      <c r="HY42" s="958"/>
      <c r="HZ42" s="958"/>
      <c r="IA42" s="958"/>
      <c r="IB42" s="958"/>
      <c r="IC42" s="958"/>
      <c r="ID42" s="958"/>
      <c r="IE42" s="958"/>
      <c r="IF42" s="958"/>
      <c r="IG42" s="959"/>
      <c r="IH42" s="958"/>
      <c r="II42" s="958"/>
      <c r="IJ42" s="959"/>
      <c r="IK42" s="958"/>
      <c r="IL42" s="958"/>
      <c r="IM42" s="958"/>
      <c r="IN42" s="958"/>
      <c r="IO42" s="864"/>
      <c r="IP42" s="864"/>
      <c r="IQ42" s="864"/>
      <c r="IR42" s="959"/>
      <c r="IS42" s="958"/>
      <c r="IT42" s="958"/>
      <c r="IU42" s="958"/>
      <c r="IV42" s="958"/>
      <c r="IW42" s="954"/>
      <c r="IX42" s="955"/>
      <c r="IY42" s="958"/>
      <c r="IZ42" s="958"/>
      <c r="JA42" s="958"/>
      <c r="JB42" s="958"/>
      <c r="JC42" s="958"/>
      <c r="JD42" s="958"/>
      <c r="JE42" s="958"/>
      <c r="JF42" s="961"/>
      <c r="JG42" s="958"/>
      <c r="JH42" s="958"/>
      <c r="JI42" s="958"/>
      <c r="JJ42" s="958"/>
      <c r="JK42" s="958"/>
      <c r="JL42" s="958"/>
      <c r="JM42" s="958"/>
      <c r="JN42" s="958"/>
      <c r="JO42" s="958"/>
      <c r="JP42" s="958"/>
      <c r="JQ42" s="961"/>
      <c r="JR42" s="958"/>
      <c r="JS42" s="958"/>
      <c r="JT42" s="958"/>
      <c r="JU42" s="958"/>
      <c r="JV42" s="958"/>
      <c r="JW42" s="958"/>
      <c r="JX42" s="958"/>
      <c r="JY42" s="958"/>
      <c r="JZ42" s="958"/>
      <c r="KA42" s="958"/>
      <c r="KB42" s="958"/>
      <c r="KC42" s="958"/>
      <c r="KD42" s="958"/>
      <c r="KE42" s="983"/>
      <c r="KF42" s="959"/>
      <c r="KG42" s="959"/>
      <c r="KH42" s="959"/>
      <c r="KI42" s="959"/>
      <c r="KJ42" s="959"/>
      <c r="KK42" s="959"/>
      <c r="KL42" s="958"/>
      <c r="KM42" s="864"/>
      <c r="KN42" s="864"/>
      <c r="KO42" s="864"/>
      <c r="KP42" s="864"/>
      <c r="KQ42" s="864"/>
      <c r="KR42" s="958"/>
      <c r="KS42" s="864"/>
      <c r="KT42" s="958"/>
      <c r="KU42" s="864"/>
      <c r="KV42" s="958"/>
      <c r="KW42" s="958"/>
      <c r="KX42" s="958"/>
      <c r="KY42" s="858"/>
      <c r="KZ42" s="958"/>
      <c r="LA42" s="958"/>
      <c r="LB42" s="958"/>
      <c r="LC42" s="958"/>
      <c r="LD42" s="958"/>
      <c r="LE42" s="958"/>
      <c r="LF42" s="961"/>
      <c r="LG42" s="961"/>
      <c r="LH42" s="961"/>
      <c r="LI42" s="961"/>
      <c r="LJ42" s="961"/>
      <c r="LK42" s="961"/>
      <c r="LL42" s="961"/>
      <c r="LM42" s="961"/>
      <c r="LN42" s="961"/>
      <c r="LO42" s="961"/>
      <c r="LP42" s="961"/>
      <c r="LQ42" s="961"/>
      <c r="LR42" s="961"/>
      <c r="LS42" s="961"/>
      <c r="LT42" s="961"/>
      <c r="LU42" s="961"/>
      <c r="LV42" s="961"/>
      <c r="LW42" s="961"/>
      <c r="LX42" s="961"/>
      <c r="LY42" s="961"/>
    </row>
    <row r="43" spans="1:337" ht="31.5" customHeight="1" x14ac:dyDescent="0.25">
      <c r="A43" s="1583" t="s">
        <v>89</v>
      </c>
      <c r="B43" s="1589" t="s">
        <v>271</v>
      </c>
      <c r="C43" s="331" t="s">
        <v>101</v>
      </c>
      <c r="D43" s="360" t="s">
        <v>143</v>
      </c>
      <c r="E43" s="833" t="s">
        <v>55</v>
      </c>
      <c r="F43" s="863"/>
      <c r="G43" s="863"/>
      <c r="H43" s="863"/>
      <c r="I43" s="864"/>
      <c r="J43" s="864"/>
      <c r="K43" s="864"/>
      <c r="L43" s="864"/>
      <c r="M43" s="864"/>
      <c r="N43" s="852" t="s">
        <v>504</v>
      </c>
      <c r="O43" s="864"/>
      <c r="P43" s="864"/>
      <c r="Q43" s="864"/>
      <c r="R43" s="864"/>
      <c r="S43" s="864"/>
      <c r="T43" s="864"/>
      <c r="U43" s="864"/>
      <c r="V43" s="958" t="s">
        <v>471</v>
      </c>
      <c r="W43" s="958" t="s">
        <v>471</v>
      </c>
      <c r="X43" s="958" t="s">
        <v>471</v>
      </c>
      <c r="Y43" s="958" t="s">
        <v>471</v>
      </c>
      <c r="Z43" s="958" t="s">
        <v>500</v>
      </c>
      <c r="AA43" s="864"/>
      <c r="AB43" s="864"/>
      <c r="AC43" s="864"/>
      <c r="AD43" s="864"/>
      <c r="AE43" s="864"/>
      <c r="AF43" s="864"/>
      <c r="AG43" s="864"/>
      <c r="AH43" s="864"/>
      <c r="AI43" s="864"/>
      <c r="AJ43" s="864"/>
      <c r="AK43" s="864"/>
      <c r="AL43" s="864"/>
      <c r="AM43" s="864"/>
      <c r="AN43" s="864"/>
      <c r="AO43" s="864"/>
      <c r="AP43" s="864"/>
      <c r="AQ43" s="864"/>
      <c r="AR43" s="864"/>
      <c r="AS43" s="864"/>
      <c r="AT43" s="864"/>
      <c r="AU43" s="864"/>
      <c r="AV43" s="958" t="s">
        <v>504</v>
      </c>
      <c r="AW43" s="958" t="s">
        <v>504</v>
      </c>
      <c r="AX43" s="864"/>
      <c r="AY43" s="864"/>
      <c r="AZ43" s="864"/>
      <c r="BA43" s="852" t="s">
        <v>504</v>
      </c>
      <c r="BB43" s="946" t="s">
        <v>504</v>
      </c>
      <c r="BC43" s="958" t="s">
        <v>504</v>
      </c>
      <c r="BD43" s="958" t="s">
        <v>656</v>
      </c>
      <c r="BE43" s="864"/>
      <c r="BF43" s="864"/>
      <c r="BG43" s="864"/>
      <c r="BH43" s="864"/>
      <c r="BI43" s="864"/>
      <c r="BJ43" s="864"/>
      <c r="BK43" s="864"/>
      <c r="BL43" s="864"/>
      <c r="BM43" s="864"/>
      <c r="BN43" s="864"/>
      <c r="BO43" s="864"/>
      <c r="BP43" s="864"/>
      <c r="BQ43" s="864"/>
      <c r="BR43" s="864"/>
      <c r="BS43" s="864"/>
      <c r="BT43" s="958" t="s">
        <v>500</v>
      </c>
      <c r="BU43" s="958"/>
      <c r="BV43" s="958" t="s">
        <v>504</v>
      </c>
      <c r="BW43" s="958" t="s">
        <v>504</v>
      </c>
      <c r="BX43" s="864"/>
      <c r="BY43" s="864"/>
      <c r="BZ43" s="864"/>
      <c r="CA43" s="864"/>
      <c r="CB43" s="864"/>
      <c r="CC43" s="959"/>
      <c r="CD43" s="864"/>
      <c r="CE43" s="864"/>
      <c r="CF43" s="864"/>
      <c r="CG43" s="864"/>
      <c r="CH43" s="864"/>
      <c r="CI43" s="864"/>
      <c r="CJ43" s="864"/>
      <c r="CK43" s="958" t="s">
        <v>500</v>
      </c>
      <c r="CL43" s="958"/>
      <c r="CM43" s="864"/>
      <c r="CN43" s="864"/>
      <c r="CO43" s="864"/>
      <c r="CP43" s="864"/>
      <c r="CQ43" s="864"/>
      <c r="CR43" s="864"/>
      <c r="CS43" s="864"/>
      <c r="CT43" s="864"/>
      <c r="CU43" s="864"/>
      <c r="CV43" s="864"/>
      <c r="CW43" s="864"/>
      <c r="CX43" s="864"/>
      <c r="CY43" s="864"/>
      <c r="CZ43" s="864"/>
      <c r="DA43" s="864"/>
      <c r="DB43" s="864"/>
      <c r="DC43" s="864"/>
      <c r="DD43" s="864"/>
      <c r="DE43" s="864"/>
      <c r="DF43" s="958" t="s">
        <v>504</v>
      </c>
      <c r="DG43" s="864"/>
      <c r="DH43" s="958" t="s">
        <v>504</v>
      </c>
      <c r="DI43" s="958" t="s">
        <v>504</v>
      </c>
      <c r="DJ43" s="958"/>
      <c r="DK43" s="958" t="s">
        <v>504</v>
      </c>
      <c r="DL43" s="958" t="s">
        <v>504</v>
      </c>
      <c r="DM43" s="958" t="s">
        <v>504</v>
      </c>
      <c r="DN43" s="864"/>
      <c r="DO43" s="864"/>
      <c r="DP43" s="892" t="s">
        <v>504</v>
      </c>
      <c r="DQ43" s="864"/>
      <c r="DR43" s="864"/>
      <c r="DS43" s="864"/>
      <c r="DT43" s="864"/>
      <c r="DU43" s="864"/>
      <c r="DV43" s="864"/>
      <c r="DW43" s="864"/>
      <c r="DX43" s="864"/>
      <c r="DY43" s="864"/>
      <c r="DZ43" s="864"/>
      <c r="EA43" s="864"/>
      <c r="EB43" s="864"/>
      <c r="EC43" s="864"/>
      <c r="ED43" s="864"/>
      <c r="EE43" s="864"/>
      <c r="EF43" s="958" t="s">
        <v>504</v>
      </c>
      <c r="EG43" s="958" t="s">
        <v>504</v>
      </c>
      <c r="EH43" s="958" t="s">
        <v>504</v>
      </c>
      <c r="EI43" s="855" t="s">
        <v>504</v>
      </c>
      <c r="EJ43" s="961" t="s">
        <v>504</v>
      </c>
      <c r="EK43" s="961" t="s">
        <v>504</v>
      </c>
      <c r="EL43" s="961" t="s">
        <v>500</v>
      </c>
      <c r="EM43" s="961" t="s">
        <v>500</v>
      </c>
      <c r="EN43" s="961" t="s">
        <v>500</v>
      </c>
      <c r="EO43" s="961" t="s">
        <v>504</v>
      </c>
      <c r="EP43" s="961" t="s">
        <v>504</v>
      </c>
      <c r="EQ43" s="961" t="s">
        <v>500</v>
      </c>
      <c r="ER43" s="961" t="s">
        <v>504</v>
      </c>
      <c r="ES43" s="961" t="s">
        <v>504</v>
      </c>
      <c r="ET43" s="961" t="s">
        <v>500</v>
      </c>
      <c r="EU43" s="864"/>
      <c r="EV43" s="864"/>
      <c r="EW43" s="958" t="s">
        <v>504</v>
      </c>
      <c r="EX43" s="864"/>
      <c r="EY43" s="864"/>
      <c r="EZ43" s="864"/>
      <c r="FA43" s="864"/>
      <c r="FB43" s="864"/>
      <c r="FC43" s="864"/>
      <c r="FD43" s="864"/>
      <c r="FE43" s="958" t="s">
        <v>504</v>
      </c>
      <c r="FF43" s="864"/>
      <c r="FG43" s="864"/>
      <c r="FH43" s="864"/>
      <c r="FI43" s="864"/>
      <c r="FJ43" s="864"/>
      <c r="FK43" s="958" t="s">
        <v>500</v>
      </c>
      <c r="FL43" s="958" t="s">
        <v>504</v>
      </c>
      <c r="FM43" s="945"/>
      <c r="FN43" s="958"/>
      <c r="FO43" s="958"/>
      <c r="FP43" s="958" t="s">
        <v>504</v>
      </c>
      <c r="FQ43" s="958" t="s">
        <v>500</v>
      </c>
      <c r="FR43" s="864"/>
      <c r="FS43" s="864"/>
      <c r="FT43" s="864"/>
      <c r="FU43" s="864"/>
      <c r="FV43" s="864"/>
      <c r="FW43" s="864"/>
      <c r="FX43" s="864"/>
      <c r="FY43" s="864"/>
      <c r="FZ43" s="864"/>
      <c r="GA43" s="958" t="s">
        <v>504</v>
      </c>
      <c r="GB43" s="958" t="s">
        <v>504</v>
      </c>
      <c r="GC43" s="958" t="s">
        <v>504</v>
      </c>
      <c r="GD43" s="958" t="s">
        <v>504</v>
      </c>
      <c r="GE43" s="958" t="s">
        <v>500</v>
      </c>
      <c r="GF43" s="958" t="s">
        <v>504</v>
      </c>
      <c r="GG43" s="958" t="s">
        <v>504</v>
      </c>
      <c r="GH43" s="864"/>
      <c r="GI43" s="864"/>
      <c r="GJ43" s="864"/>
      <c r="GK43" s="864"/>
      <c r="GL43" s="864"/>
      <c r="GM43" s="864"/>
      <c r="GN43" s="864"/>
      <c r="GO43" s="963" t="s">
        <v>504</v>
      </c>
      <c r="GP43" s="964" t="s">
        <v>500</v>
      </c>
      <c r="GQ43" s="965" t="s">
        <v>504</v>
      </c>
      <c r="GR43" s="864"/>
      <c r="GS43" s="864"/>
      <c r="GT43" s="864"/>
      <c r="GU43" s="864"/>
      <c r="GV43" s="864"/>
      <c r="GW43" s="864"/>
      <c r="GX43" s="864"/>
      <c r="GY43" s="864"/>
      <c r="GZ43" s="864"/>
      <c r="HA43" s="864"/>
      <c r="HB43" s="864"/>
      <c r="HC43" s="864"/>
      <c r="HD43" s="864"/>
      <c r="HE43" s="958" t="s">
        <v>504</v>
      </c>
      <c r="HF43" s="958" t="s">
        <v>504</v>
      </c>
      <c r="HG43" s="864"/>
      <c r="HH43" s="961" t="s">
        <v>500</v>
      </c>
      <c r="HI43" s="958" t="s">
        <v>500</v>
      </c>
      <c r="HJ43" s="958"/>
      <c r="HK43" s="961" t="s">
        <v>504</v>
      </c>
      <c r="HL43" s="864"/>
      <c r="HM43" s="864"/>
      <c r="HN43" s="864"/>
      <c r="HO43" s="968" t="s">
        <v>504</v>
      </c>
      <c r="HP43" s="958" t="s">
        <v>504</v>
      </c>
      <c r="HQ43" s="958" t="s">
        <v>504</v>
      </c>
      <c r="HR43" s="959"/>
      <c r="HS43" s="958" t="s">
        <v>504</v>
      </c>
      <c r="HT43" s="958" t="s">
        <v>504</v>
      </c>
      <c r="HU43" s="958" t="s">
        <v>504</v>
      </c>
      <c r="HV43" s="943"/>
      <c r="HW43" s="958" t="s">
        <v>504</v>
      </c>
      <c r="HX43" s="958" t="s">
        <v>504</v>
      </c>
      <c r="HY43" s="958" t="s">
        <v>504</v>
      </c>
      <c r="HZ43" s="958" t="s">
        <v>504</v>
      </c>
      <c r="IA43" s="958" t="s">
        <v>504</v>
      </c>
      <c r="IB43" s="958" t="s">
        <v>504</v>
      </c>
      <c r="IC43" s="958" t="s">
        <v>504</v>
      </c>
      <c r="ID43" s="958" t="s">
        <v>504</v>
      </c>
      <c r="IE43" s="958"/>
      <c r="IF43" s="958" t="s">
        <v>504</v>
      </c>
      <c r="IG43" s="959" t="s">
        <v>504</v>
      </c>
      <c r="IH43" s="958" t="s">
        <v>504</v>
      </c>
      <c r="II43" s="958" t="s">
        <v>504</v>
      </c>
      <c r="IJ43" s="959" t="s">
        <v>504</v>
      </c>
      <c r="IK43" s="958" t="s">
        <v>504</v>
      </c>
      <c r="IL43" s="958" t="s">
        <v>504</v>
      </c>
      <c r="IM43" s="958" t="s">
        <v>504</v>
      </c>
      <c r="IN43" s="958" t="s">
        <v>500</v>
      </c>
      <c r="IO43" s="864"/>
      <c r="IP43" s="864"/>
      <c r="IQ43" s="864"/>
      <c r="IR43" s="959" t="s">
        <v>500</v>
      </c>
      <c r="IS43" s="958" t="s">
        <v>500</v>
      </c>
      <c r="IT43" s="958" t="s">
        <v>500</v>
      </c>
      <c r="IU43" s="958" t="s">
        <v>500</v>
      </c>
      <c r="IV43" s="958" t="s">
        <v>500</v>
      </c>
      <c r="IW43" s="958" t="s">
        <v>500</v>
      </c>
      <c r="IX43" s="955" t="s">
        <v>471</v>
      </c>
      <c r="IY43" s="958" t="s">
        <v>500</v>
      </c>
      <c r="IZ43" s="958" t="s">
        <v>504</v>
      </c>
      <c r="JA43" s="958" t="s">
        <v>500</v>
      </c>
      <c r="JB43" s="958" t="s">
        <v>504</v>
      </c>
      <c r="JC43" s="958" t="s">
        <v>504</v>
      </c>
      <c r="JD43" s="958" t="s">
        <v>504</v>
      </c>
      <c r="JE43" s="958" t="s">
        <v>500</v>
      </c>
      <c r="JF43" s="961" t="s">
        <v>500</v>
      </c>
      <c r="JG43" s="958" t="s">
        <v>471</v>
      </c>
      <c r="JH43" s="958" t="s">
        <v>500</v>
      </c>
      <c r="JI43" s="958" t="s">
        <v>500</v>
      </c>
      <c r="JJ43" s="958" t="s">
        <v>500</v>
      </c>
      <c r="JK43" s="958" t="s">
        <v>504</v>
      </c>
      <c r="JL43" s="958" t="s">
        <v>504</v>
      </c>
      <c r="JM43" s="958" t="s">
        <v>504</v>
      </c>
      <c r="JN43" s="958" t="s">
        <v>504</v>
      </c>
      <c r="JO43" s="958" t="s">
        <v>504</v>
      </c>
      <c r="JP43" s="958" t="s">
        <v>504</v>
      </c>
      <c r="JQ43" s="961" t="s">
        <v>504</v>
      </c>
      <c r="JR43" s="958" t="s">
        <v>504</v>
      </c>
      <c r="JS43" s="958" t="s">
        <v>504</v>
      </c>
      <c r="JT43" s="958" t="s">
        <v>500</v>
      </c>
      <c r="JU43" s="958" t="s">
        <v>500</v>
      </c>
      <c r="JV43" s="958"/>
      <c r="JW43" s="958" t="s">
        <v>500</v>
      </c>
      <c r="JX43" s="958" t="s">
        <v>500</v>
      </c>
      <c r="JY43" s="958" t="s">
        <v>500</v>
      </c>
      <c r="JZ43" s="958" t="s">
        <v>504</v>
      </c>
      <c r="KA43" s="958" t="s">
        <v>500</v>
      </c>
      <c r="KB43" s="958" t="s">
        <v>504</v>
      </c>
      <c r="KC43" s="958" t="s">
        <v>500</v>
      </c>
      <c r="KD43" s="958" t="s">
        <v>500</v>
      </c>
      <c r="KE43" s="959" t="s">
        <v>500</v>
      </c>
      <c r="KF43" s="959" t="s">
        <v>500</v>
      </c>
      <c r="KG43" s="959" t="s">
        <v>500</v>
      </c>
      <c r="KH43" s="959" t="s">
        <v>500</v>
      </c>
      <c r="KI43" s="959" t="s">
        <v>500</v>
      </c>
      <c r="KJ43" s="959" t="s">
        <v>500</v>
      </c>
      <c r="KK43" s="959" t="s">
        <v>500</v>
      </c>
      <c r="KL43" s="958" t="s">
        <v>504</v>
      </c>
      <c r="KM43" s="864"/>
      <c r="KN43" s="864"/>
      <c r="KO43" s="864"/>
      <c r="KP43" s="864"/>
      <c r="KQ43" s="864"/>
      <c r="KR43" s="958" t="s">
        <v>504</v>
      </c>
      <c r="KS43" s="864"/>
      <c r="KT43" s="958" t="s">
        <v>504</v>
      </c>
      <c r="KU43" s="864"/>
      <c r="KV43" s="958" t="s">
        <v>500</v>
      </c>
      <c r="KW43" s="958" t="s">
        <v>500</v>
      </c>
      <c r="KX43" s="958" t="s">
        <v>500</v>
      </c>
      <c r="KY43" s="858" t="s">
        <v>4483</v>
      </c>
      <c r="KZ43" s="958" t="s">
        <v>504</v>
      </c>
      <c r="LA43" s="958" t="s">
        <v>500</v>
      </c>
      <c r="LB43" s="958"/>
      <c r="LC43" s="958"/>
      <c r="LD43" s="958" t="s">
        <v>500</v>
      </c>
      <c r="LE43" s="958" t="s">
        <v>500</v>
      </c>
      <c r="LF43" s="961" t="s">
        <v>500</v>
      </c>
      <c r="LG43" s="961" t="s">
        <v>500</v>
      </c>
      <c r="LH43" s="961" t="s">
        <v>500</v>
      </c>
      <c r="LI43" s="961" t="s">
        <v>500</v>
      </c>
      <c r="LJ43" s="961" t="s">
        <v>500</v>
      </c>
      <c r="LK43" s="961" t="s">
        <v>500</v>
      </c>
      <c r="LL43" s="961" t="s">
        <v>500</v>
      </c>
      <c r="LM43" s="961" t="s">
        <v>500</v>
      </c>
      <c r="LN43" s="961" t="s">
        <v>500</v>
      </c>
      <c r="LO43" s="961" t="s">
        <v>504</v>
      </c>
      <c r="LP43" s="961"/>
      <c r="LQ43" s="961"/>
      <c r="LR43" s="961" t="s">
        <v>500</v>
      </c>
      <c r="LS43" s="961" t="s">
        <v>500</v>
      </c>
      <c r="LT43" s="961" t="s">
        <v>500</v>
      </c>
      <c r="LU43" s="961" t="s">
        <v>500</v>
      </c>
      <c r="LV43" s="961" t="s">
        <v>500</v>
      </c>
      <c r="LW43" s="961" t="s">
        <v>500</v>
      </c>
      <c r="LX43" s="961" t="s">
        <v>500</v>
      </c>
      <c r="LY43" s="961" t="s">
        <v>500</v>
      </c>
    </row>
    <row r="44" spans="1:337" ht="31.5" customHeight="1" x14ac:dyDescent="0.25">
      <c r="A44" s="1584"/>
      <c r="B44" s="1590"/>
      <c r="C44" s="353" t="s">
        <v>102</v>
      </c>
      <c r="D44" s="361" t="s">
        <v>46</v>
      </c>
      <c r="E44" s="840" t="s">
        <v>48</v>
      </c>
      <c r="F44" s="863"/>
      <c r="G44" s="863"/>
      <c r="H44" s="863"/>
      <c r="I44" s="864"/>
      <c r="J44" s="864"/>
      <c r="K44" s="864"/>
      <c r="L44" s="864"/>
      <c r="M44" s="864"/>
      <c r="N44" s="852"/>
      <c r="O44" s="864"/>
      <c r="P44" s="864"/>
      <c r="Q44" s="864"/>
      <c r="R44" s="864"/>
      <c r="S44" s="864"/>
      <c r="T44" s="864"/>
      <c r="U44" s="864"/>
      <c r="V44" s="958" t="s">
        <v>2671</v>
      </c>
      <c r="W44" s="958" t="s">
        <v>2688</v>
      </c>
      <c r="X44" s="958" t="s">
        <v>2700</v>
      </c>
      <c r="Y44" s="958" t="s">
        <v>2711</v>
      </c>
      <c r="Z44" s="958" t="s">
        <v>838</v>
      </c>
      <c r="AA44" s="864"/>
      <c r="AB44" s="864"/>
      <c r="AC44" s="864"/>
      <c r="AD44" s="864"/>
      <c r="AE44" s="864"/>
      <c r="AF44" s="864"/>
      <c r="AG44" s="864"/>
      <c r="AH44" s="864"/>
      <c r="AI44" s="864"/>
      <c r="AJ44" s="864"/>
      <c r="AK44" s="864"/>
      <c r="AL44" s="864"/>
      <c r="AM44" s="864"/>
      <c r="AN44" s="864"/>
      <c r="AO44" s="864"/>
      <c r="AP44" s="864"/>
      <c r="AQ44" s="864"/>
      <c r="AR44" s="864"/>
      <c r="AS44" s="864"/>
      <c r="AT44" s="864"/>
      <c r="AU44" s="864"/>
      <c r="AV44" s="958"/>
      <c r="AW44" s="958"/>
      <c r="AX44" s="864"/>
      <c r="AY44" s="864"/>
      <c r="AZ44" s="864"/>
      <c r="BA44" s="852"/>
      <c r="BB44" s="946"/>
      <c r="BC44" s="958" t="s">
        <v>2791</v>
      </c>
      <c r="BD44" s="958" t="s">
        <v>2807</v>
      </c>
      <c r="BE44" s="864"/>
      <c r="BF44" s="864"/>
      <c r="BG44" s="864"/>
      <c r="BH44" s="864"/>
      <c r="BI44" s="864"/>
      <c r="BJ44" s="864"/>
      <c r="BK44" s="864"/>
      <c r="BL44" s="864"/>
      <c r="BM44" s="864"/>
      <c r="BN44" s="864"/>
      <c r="BO44" s="864"/>
      <c r="BP44" s="864"/>
      <c r="BQ44" s="864"/>
      <c r="BR44" s="864"/>
      <c r="BS44" s="864"/>
      <c r="BT44" s="958" t="s">
        <v>888</v>
      </c>
      <c r="BU44" s="958"/>
      <c r="BV44" s="958"/>
      <c r="BW44" s="958"/>
      <c r="BX44" s="864"/>
      <c r="BY44" s="864"/>
      <c r="BZ44" s="864"/>
      <c r="CA44" s="864"/>
      <c r="CB44" s="864"/>
      <c r="CC44" s="959"/>
      <c r="CD44" s="864"/>
      <c r="CE44" s="864"/>
      <c r="CF44" s="864"/>
      <c r="CG44" s="864"/>
      <c r="CH44" s="864"/>
      <c r="CI44" s="864"/>
      <c r="CJ44" s="864"/>
      <c r="CK44" s="958" t="s">
        <v>2882</v>
      </c>
      <c r="CL44" s="958"/>
      <c r="CM44" s="864"/>
      <c r="CN44" s="864"/>
      <c r="CO44" s="864"/>
      <c r="CP44" s="864"/>
      <c r="CQ44" s="864"/>
      <c r="CR44" s="864"/>
      <c r="CS44" s="864"/>
      <c r="CT44" s="864"/>
      <c r="CU44" s="864"/>
      <c r="CV44" s="864"/>
      <c r="CW44" s="864"/>
      <c r="CX44" s="864"/>
      <c r="CY44" s="864"/>
      <c r="CZ44" s="864"/>
      <c r="DA44" s="864"/>
      <c r="DB44" s="864"/>
      <c r="DC44" s="864"/>
      <c r="DD44" s="864"/>
      <c r="DE44" s="864"/>
      <c r="DF44" s="958"/>
      <c r="DG44" s="864"/>
      <c r="DH44" s="958"/>
      <c r="DI44" s="958"/>
      <c r="DJ44" s="958"/>
      <c r="DK44" s="958"/>
      <c r="DL44" s="958"/>
      <c r="DM44" s="958"/>
      <c r="DN44" s="864"/>
      <c r="DO44" s="864"/>
      <c r="DP44" s="892"/>
      <c r="DQ44" s="864"/>
      <c r="DR44" s="864"/>
      <c r="DS44" s="864"/>
      <c r="DT44" s="864"/>
      <c r="DU44" s="864"/>
      <c r="DV44" s="864"/>
      <c r="DW44" s="864"/>
      <c r="DX44" s="864"/>
      <c r="DY44" s="864"/>
      <c r="DZ44" s="864"/>
      <c r="EA44" s="864"/>
      <c r="EB44" s="864"/>
      <c r="EC44" s="864"/>
      <c r="ED44" s="864"/>
      <c r="EE44" s="864"/>
      <c r="EF44" s="958"/>
      <c r="EG44" s="958"/>
      <c r="EH44" s="958"/>
      <c r="EI44" s="855"/>
      <c r="EJ44" s="961"/>
      <c r="EK44" s="961"/>
      <c r="EL44" s="961" t="s">
        <v>3087</v>
      </c>
      <c r="EM44" s="961" t="s">
        <v>3098</v>
      </c>
      <c r="EN44" s="961" t="s">
        <v>3115</v>
      </c>
      <c r="EO44" s="961"/>
      <c r="EP44" s="961"/>
      <c r="EQ44" s="961" t="s">
        <v>3146</v>
      </c>
      <c r="ER44" s="961"/>
      <c r="ES44" s="961"/>
      <c r="ET44" s="961" t="s">
        <v>3188</v>
      </c>
      <c r="EU44" s="864"/>
      <c r="EV44" s="864"/>
      <c r="EW44" s="958"/>
      <c r="EX44" s="864"/>
      <c r="EY44" s="864"/>
      <c r="EZ44" s="864"/>
      <c r="FA44" s="864"/>
      <c r="FB44" s="864"/>
      <c r="FC44" s="864"/>
      <c r="FD44" s="864"/>
      <c r="FE44" s="958"/>
      <c r="FF44" s="864"/>
      <c r="FG44" s="864"/>
      <c r="FH44" s="864"/>
      <c r="FI44" s="864"/>
      <c r="FJ44" s="864"/>
      <c r="FK44" s="958" t="s">
        <v>3230</v>
      </c>
      <c r="FL44" s="958"/>
      <c r="FM44" s="958"/>
      <c r="FN44" s="958"/>
      <c r="FO44" s="958"/>
      <c r="FP44" s="958"/>
      <c r="FQ44" s="958" t="s">
        <v>838</v>
      </c>
      <c r="FR44" s="864"/>
      <c r="FS44" s="864"/>
      <c r="FT44" s="864"/>
      <c r="FU44" s="864"/>
      <c r="FV44" s="864"/>
      <c r="FW44" s="864"/>
      <c r="FX44" s="864"/>
      <c r="FY44" s="864"/>
      <c r="FZ44" s="864"/>
      <c r="GA44" s="958"/>
      <c r="GB44" s="958"/>
      <c r="GC44" s="958" t="s">
        <v>504</v>
      </c>
      <c r="GD44" s="958"/>
      <c r="GE44" s="958" t="s">
        <v>3395</v>
      </c>
      <c r="GF44" s="958"/>
      <c r="GG44" s="958"/>
      <c r="GH44" s="864"/>
      <c r="GI44" s="864"/>
      <c r="GJ44" s="864"/>
      <c r="GK44" s="864"/>
      <c r="GL44" s="864"/>
      <c r="GM44" s="864"/>
      <c r="GN44" s="864"/>
      <c r="GO44" s="963"/>
      <c r="GP44" s="964" t="s">
        <v>3444</v>
      </c>
      <c r="GQ44" s="867"/>
      <c r="GR44" s="864"/>
      <c r="GS44" s="864"/>
      <c r="GT44" s="864"/>
      <c r="GU44" s="864"/>
      <c r="GV44" s="864"/>
      <c r="GW44" s="864"/>
      <c r="GX44" s="864"/>
      <c r="GY44" s="864"/>
      <c r="GZ44" s="864"/>
      <c r="HA44" s="864"/>
      <c r="HB44" s="864"/>
      <c r="HC44" s="864"/>
      <c r="HD44" s="864"/>
      <c r="HE44" s="958"/>
      <c r="HF44" s="958"/>
      <c r="HG44" s="864"/>
      <c r="HH44" s="961" t="s">
        <v>838</v>
      </c>
      <c r="HI44" s="958" t="s">
        <v>3515</v>
      </c>
      <c r="HJ44" s="958"/>
      <c r="HK44" s="961"/>
      <c r="HL44" s="864"/>
      <c r="HM44" s="864"/>
      <c r="HN44" s="864"/>
      <c r="HO44" s="968"/>
      <c r="HP44" s="958"/>
      <c r="HQ44" s="958"/>
      <c r="HR44" s="959"/>
      <c r="HS44" s="958"/>
      <c r="HT44" s="958"/>
      <c r="HU44" s="958"/>
      <c r="HV44" s="962"/>
      <c r="HW44" s="958"/>
      <c r="HX44" s="958"/>
      <c r="HY44" s="958"/>
      <c r="HZ44" s="958"/>
      <c r="IA44" s="958"/>
      <c r="IB44" s="958"/>
      <c r="IC44" s="958"/>
      <c r="ID44" s="958"/>
      <c r="IE44" s="958"/>
      <c r="IF44" s="958"/>
      <c r="IG44" s="959"/>
      <c r="IH44" s="958" t="s">
        <v>504</v>
      </c>
      <c r="II44" s="958"/>
      <c r="IJ44" s="959"/>
      <c r="IK44" s="958"/>
      <c r="IL44" s="958"/>
      <c r="IM44" s="958"/>
      <c r="IN44" s="958" t="s">
        <v>838</v>
      </c>
      <c r="IO44" s="864"/>
      <c r="IP44" s="864"/>
      <c r="IQ44" s="864"/>
      <c r="IR44" s="959" t="s">
        <v>3815</v>
      </c>
      <c r="IS44" s="958" t="s">
        <v>3833</v>
      </c>
      <c r="IT44" s="958" t="s">
        <v>3849</v>
      </c>
      <c r="IU44" s="958" t="s">
        <v>3872</v>
      </c>
      <c r="IV44" s="958" t="s">
        <v>3891</v>
      </c>
      <c r="IW44" s="958" t="s">
        <v>3914</v>
      </c>
      <c r="IX44" s="909" t="s">
        <v>3929</v>
      </c>
      <c r="IY44" s="855" t="s">
        <v>3945</v>
      </c>
      <c r="IZ44" s="958"/>
      <c r="JA44" s="958" t="s">
        <v>3971</v>
      </c>
      <c r="JB44" s="958"/>
      <c r="JC44" s="958"/>
      <c r="JD44" s="958"/>
      <c r="JE44" s="958" t="s">
        <v>4030</v>
      </c>
      <c r="JF44" s="958" t="s">
        <v>4052</v>
      </c>
      <c r="JG44" s="958" t="s">
        <v>4068</v>
      </c>
      <c r="JH44" s="958" t="s">
        <v>4085</v>
      </c>
      <c r="JI44" s="958" t="s">
        <v>4100</v>
      </c>
      <c r="JJ44" s="958" t="s">
        <v>4124</v>
      </c>
      <c r="JK44" s="958"/>
      <c r="JL44" s="958"/>
      <c r="JM44" s="958"/>
      <c r="JN44" s="958" t="s">
        <v>4163</v>
      </c>
      <c r="JO44" s="958"/>
      <c r="JP44" s="958"/>
      <c r="JQ44" s="961"/>
      <c r="JR44" s="958"/>
      <c r="JS44" s="958" t="s">
        <v>4196</v>
      </c>
      <c r="JT44" s="958" t="s">
        <v>4196</v>
      </c>
      <c r="JU44" s="958" t="s">
        <v>4219</v>
      </c>
      <c r="JV44" s="958"/>
      <c r="JW44" s="958" t="s">
        <v>4233</v>
      </c>
      <c r="JX44" s="958" t="s">
        <v>4248</v>
      </c>
      <c r="JY44" s="958" t="s">
        <v>4196</v>
      </c>
      <c r="JZ44" s="958"/>
      <c r="KA44" s="958" t="s">
        <v>4275</v>
      </c>
      <c r="KB44" s="958"/>
      <c r="KC44" s="958" t="s">
        <v>4294</v>
      </c>
      <c r="KD44" s="958" t="s">
        <v>4303</v>
      </c>
      <c r="KE44" s="959" t="s">
        <v>3815</v>
      </c>
      <c r="KF44" s="959" t="s">
        <v>4322</v>
      </c>
      <c r="KG44" s="959" t="s">
        <v>4322</v>
      </c>
      <c r="KH44" s="959" t="s">
        <v>4322</v>
      </c>
      <c r="KI44" s="959" t="s">
        <v>4322</v>
      </c>
      <c r="KJ44" s="959" t="s">
        <v>4322</v>
      </c>
      <c r="KK44" s="959" t="s">
        <v>4359</v>
      </c>
      <c r="KL44" s="958" t="s">
        <v>504</v>
      </c>
      <c r="KM44" s="864"/>
      <c r="KN44" s="864"/>
      <c r="KO44" s="864"/>
      <c r="KP44" s="864"/>
      <c r="KQ44" s="864"/>
      <c r="KR44" s="958"/>
      <c r="KS44" s="864"/>
      <c r="KT44" s="958"/>
      <c r="KU44" s="864"/>
      <c r="KV44" s="958" t="s">
        <v>4416</v>
      </c>
      <c r="KW44" s="958" t="s">
        <v>4438</v>
      </c>
      <c r="KX44" s="958"/>
      <c r="KY44" s="858" t="s">
        <v>838</v>
      </c>
      <c r="KZ44" s="958"/>
      <c r="LA44" s="958" t="s">
        <v>4526</v>
      </c>
      <c r="LB44" s="958"/>
      <c r="LC44" s="958"/>
      <c r="LD44" s="958" t="s">
        <v>4561</v>
      </c>
      <c r="LE44" s="958" t="s">
        <v>4568</v>
      </c>
      <c r="LF44" s="858" t="s">
        <v>4579</v>
      </c>
      <c r="LG44" s="961" t="s">
        <v>4600</v>
      </c>
      <c r="LH44" s="961" t="s">
        <v>4196</v>
      </c>
      <c r="LI44" s="961" t="s">
        <v>4625</v>
      </c>
      <c r="LJ44" s="961" t="s">
        <v>4633</v>
      </c>
      <c r="LK44" s="961" t="s">
        <v>4196</v>
      </c>
      <c r="LL44" s="961" t="s">
        <v>838</v>
      </c>
      <c r="LM44" s="961" t="s">
        <v>4196</v>
      </c>
      <c r="LN44" s="961" t="s">
        <v>4579</v>
      </c>
      <c r="LO44" s="961"/>
      <c r="LP44" s="961"/>
      <c r="LQ44" s="961"/>
      <c r="LR44" s="961" t="s">
        <v>4737</v>
      </c>
      <c r="LS44" s="961" t="s">
        <v>4737</v>
      </c>
      <c r="LT44" s="961" t="s">
        <v>4737</v>
      </c>
      <c r="LU44" s="961" t="s">
        <v>4737</v>
      </c>
      <c r="LV44" s="977" t="s">
        <v>4737</v>
      </c>
      <c r="LW44" s="961" t="s">
        <v>4737</v>
      </c>
      <c r="LX44" s="961" t="s">
        <v>4737</v>
      </c>
      <c r="LY44" s="961" t="s">
        <v>4737</v>
      </c>
    </row>
    <row r="45" spans="1:337" ht="30.75" customHeight="1" x14ac:dyDescent="0.25">
      <c r="A45" s="1584"/>
      <c r="B45" s="1590"/>
      <c r="C45" s="362" t="s">
        <v>233</v>
      </c>
      <c r="D45" s="363" t="s">
        <v>5346</v>
      </c>
      <c r="E45" s="842" t="s">
        <v>152</v>
      </c>
      <c r="F45" s="863"/>
      <c r="G45" s="863"/>
      <c r="H45" s="863"/>
      <c r="I45" s="864"/>
      <c r="J45" s="864"/>
      <c r="K45" s="864"/>
      <c r="L45" s="864"/>
      <c r="M45" s="864"/>
      <c r="N45" s="852"/>
      <c r="O45" s="864"/>
      <c r="P45" s="864"/>
      <c r="Q45" s="864"/>
      <c r="R45" s="864"/>
      <c r="S45" s="864"/>
      <c r="T45" s="864"/>
      <c r="U45" s="864"/>
      <c r="V45" s="958"/>
      <c r="W45" s="958"/>
      <c r="X45" s="945">
        <v>0.01</v>
      </c>
      <c r="Y45" s="954"/>
      <c r="Z45" s="855">
        <v>0.4</v>
      </c>
      <c r="AA45" s="864"/>
      <c r="AB45" s="864"/>
      <c r="AC45" s="864"/>
      <c r="AD45" s="864"/>
      <c r="AE45" s="864"/>
      <c r="AF45" s="864"/>
      <c r="AG45" s="864"/>
      <c r="AH45" s="864"/>
      <c r="AI45" s="864"/>
      <c r="AJ45" s="864"/>
      <c r="AK45" s="864"/>
      <c r="AL45" s="864"/>
      <c r="AM45" s="864"/>
      <c r="AN45" s="864"/>
      <c r="AO45" s="864"/>
      <c r="AP45" s="864"/>
      <c r="AQ45" s="864"/>
      <c r="AR45" s="864"/>
      <c r="AS45" s="864"/>
      <c r="AT45" s="864"/>
      <c r="AU45" s="864"/>
      <c r="AV45" s="958"/>
      <c r="AW45" s="954"/>
      <c r="AX45" s="864"/>
      <c r="AY45" s="864"/>
      <c r="AZ45" s="864"/>
      <c r="BA45" s="852"/>
      <c r="BB45" s="958"/>
      <c r="BC45" s="945">
        <v>6.9249999999999998</v>
      </c>
      <c r="BD45" s="978">
        <v>0.191</v>
      </c>
      <c r="BE45" s="864"/>
      <c r="BF45" s="864"/>
      <c r="BG45" s="864"/>
      <c r="BH45" s="864"/>
      <c r="BI45" s="864"/>
      <c r="BJ45" s="864"/>
      <c r="BK45" s="864"/>
      <c r="BL45" s="864"/>
      <c r="BM45" s="864"/>
      <c r="BN45" s="864"/>
      <c r="BO45" s="864"/>
      <c r="BP45" s="864"/>
      <c r="BQ45" s="864"/>
      <c r="BR45" s="864"/>
      <c r="BS45" s="864"/>
      <c r="BT45" s="958"/>
      <c r="BU45" s="958"/>
      <c r="BV45" s="958"/>
      <c r="BW45" s="958"/>
      <c r="BX45" s="864"/>
      <c r="BY45" s="864"/>
      <c r="BZ45" s="864"/>
      <c r="CA45" s="864"/>
      <c r="CB45" s="864"/>
      <c r="CC45" s="959"/>
      <c r="CD45" s="864"/>
      <c r="CE45" s="864"/>
      <c r="CF45" s="864"/>
      <c r="CG45" s="864"/>
      <c r="CH45" s="864"/>
      <c r="CI45" s="864"/>
      <c r="CJ45" s="864"/>
      <c r="CK45" s="958">
        <v>0</v>
      </c>
      <c r="CL45" s="958"/>
      <c r="CM45" s="864"/>
      <c r="CN45" s="864"/>
      <c r="CO45" s="864"/>
      <c r="CP45" s="864"/>
      <c r="CQ45" s="864"/>
      <c r="CR45" s="864"/>
      <c r="CS45" s="864"/>
      <c r="CT45" s="864"/>
      <c r="CU45" s="864"/>
      <c r="CV45" s="864"/>
      <c r="CW45" s="864"/>
      <c r="CX45" s="864"/>
      <c r="CY45" s="864"/>
      <c r="CZ45" s="864"/>
      <c r="DA45" s="864"/>
      <c r="DB45" s="864"/>
      <c r="DC45" s="864"/>
      <c r="DD45" s="864"/>
      <c r="DE45" s="864"/>
      <c r="DF45" s="958"/>
      <c r="DG45" s="864"/>
      <c r="DH45" s="958"/>
      <c r="DI45" s="958"/>
      <c r="DJ45" s="958"/>
      <c r="DK45" s="958"/>
      <c r="DL45" s="958"/>
      <c r="DM45" s="945">
        <v>0.2</v>
      </c>
      <c r="DN45" s="864"/>
      <c r="DO45" s="864"/>
      <c r="DP45" s="985"/>
      <c r="DQ45" s="864"/>
      <c r="DR45" s="864"/>
      <c r="DS45" s="864"/>
      <c r="DT45" s="864"/>
      <c r="DU45" s="864"/>
      <c r="DV45" s="864"/>
      <c r="DW45" s="864"/>
      <c r="DX45" s="864"/>
      <c r="DY45" s="864"/>
      <c r="DZ45" s="864"/>
      <c r="EA45" s="864"/>
      <c r="EB45" s="864"/>
      <c r="EC45" s="864"/>
      <c r="ED45" s="864"/>
      <c r="EE45" s="864"/>
      <c r="EF45" s="958"/>
      <c r="EG45" s="958"/>
      <c r="EH45" s="958"/>
      <c r="EI45" s="855"/>
      <c r="EJ45" s="961"/>
      <c r="EK45" s="961"/>
      <c r="EL45" s="961"/>
      <c r="EM45" s="961"/>
      <c r="EN45" s="961"/>
      <c r="EO45" s="961"/>
      <c r="EP45" s="961"/>
      <c r="EQ45" s="961"/>
      <c r="ER45" s="961"/>
      <c r="ES45" s="961"/>
      <c r="ET45" s="961"/>
      <c r="EU45" s="864"/>
      <c r="EV45" s="864"/>
      <c r="EW45" s="958"/>
      <c r="EX45" s="864"/>
      <c r="EY45" s="864"/>
      <c r="EZ45" s="864"/>
      <c r="FA45" s="864"/>
      <c r="FB45" s="864"/>
      <c r="FC45" s="864"/>
      <c r="FD45" s="864"/>
      <c r="FE45" s="958"/>
      <c r="FF45" s="864"/>
      <c r="FG45" s="864"/>
      <c r="FH45" s="864"/>
      <c r="FI45" s="864"/>
      <c r="FJ45" s="864"/>
      <c r="FK45" s="954">
        <v>0.437419</v>
      </c>
      <c r="FL45" s="958"/>
      <c r="FM45" s="945"/>
      <c r="FN45" s="958"/>
      <c r="FO45" s="958"/>
      <c r="FP45" s="958"/>
      <c r="FQ45" s="958"/>
      <c r="FR45" s="864"/>
      <c r="FS45" s="864"/>
      <c r="FT45" s="864"/>
      <c r="FU45" s="864"/>
      <c r="FV45" s="864"/>
      <c r="FW45" s="864"/>
      <c r="FX45" s="864"/>
      <c r="FY45" s="864"/>
      <c r="FZ45" s="864"/>
      <c r="GA45" s="958"/>
      <c r="GB45" s="958"/>
      <c r="GC45" s="958"/>
      <c r="GD45" s="958"/>
      <c r="GE45" s="954">
        <v>8.2927000000000001E-2</v>
      </c>
      <c r="GF45" s="958"/>
      <c r="GG45" s="958"/>
      <c r="GH45" s="864"/>
      <c r="GI45" s="864"/>
      <c r="GJ45" s="864"/>
      <c r="GK45" s="864"/>
      <c r="GL45" s="864"/>
      <c r="GM45" s="864"/>
      <c r="GN45" s="864"/>
      <c r="GO45" s="963"/>
      <c r="GP45" s="964">
        <v>1.281E-3</v>
      </c>
      <c r="GQ45" s="867"/>
      <c r="GR45" s="864"/>
      <c r="GS45" s="864"/>
      <c r="GT45" s="864"/>
      <c r="GU45" s="864"/>
      <c r="GV45" s="864"/>
      <c r="GW45" s="864"/>
      <c r="GX45" s="864"/>
      <c r="GY45" s="864"/>
      <c r="GZ45" s="864"/>
      <c r="HA45" s="864"/>
      <c r="HB45" s="864"/>
      <c r="HC45" s="864"/>
      <c r="HD45" s="864"/>
      <c r="HE45" s="958"/>
      <c r="HF45" s="958"/>
      <c r="HG45" s="864"/>
      <c r="HH45" s="986">
        <v>0.27800000000000002</v>
      </c>
      <c r="HI45" s="958"/>
      <c r="HJ45" s="958"/>
      <c r="HK45" s="961"/>
      <c r="HL45" s="864"/>
      <c r="HM45" s="864"/>
      <c r="HN45" s="864"/>
      <c r="HO45" s="968"/>
      <c r="HP45" s="958"/>
      <c r="HQ45" s="958"/>
      <c r="HR45" s="959"/>
      <c r="HS45" s="958"/>
      <c r="HT45" s="958"/>
      <c r="HU45" s="958"/>
      <c r="HV45" s="987"/>
      <c r="HW45" s="958"/>
      <c r="HX45" s="988"/>
      <c r="HY45" s="958"/>
      <c r="HZ45" s="958"/>
      <c r="IA45" s="958"/>
      <c r="IB45" s="958"/>
      <c r="IC45" s="958"/>
      <c r="ID45" s="958"/>
      <c r="IE45" s="958"/>
      <c r="IF45" s="958"/>
      <c r="IG45" s="959"/>
      <c r="IH45" s="958"/>
      <c r="II45" s="945"/>
      <c r="IJ45" s="947"/>
      <c r="IK45" s="958"/>
      <c r="IL45" s="958"/>
      <c r="IM45" s="958"/>
      <c r="IN45" s="945">
        <v>0.20899999999999999</v>
      </c>
      <c r="IO45" s="864"/>
      <c r="IP45" s="864"/>
      <c r="IQ45" s="864"/>
      <c r="IR45" s="959"/>
      <c r="IS45" s="855"/>
      <c r="IT45" s="958" t="s">
        <v>997</v>
      </c>
      <c r="IU45" s="978">
        <v>0.92701</v>
      </c>
      <c r="IV45" s="954">
        <v>0.32400000000000001</v>
      </c>
      <c r="IW45" s="957">
        <v>0.42505045000000002</v>
      </c>
      <c r="IX45" s="955">
        <v>5.58</v>
      </c>
      <c r="IY45" s="958"/>
      <c r="IZ45" s="958"/>
      <c r="JA45" s="958" t="s">
        <v>997</v>
      </c>
      <c r="JB45" s="958"/>
      <c r="JC45" s="958"/>
      <c r="JD45" s="958"/>
      <c r="JE45" s="945">
        <f>122.5/1000</f>
        <v>0.1225</v>
      </c>
      <c r="JF45" s="961" t="s">
        <v>997</v>
      </c>
      <c r="JG45" s="958"/>
      <c r="JH45" s="958"/>
      <c r="JI45" s="958" t="s">
        <v>4101</v>
      </c>
      <c r="JJ45" s="945">
        <v>0.113</v>
      </c>
      <c r="JK45" s="958"/>
      <c r="JL45" s="958"/>
      <c r="JM45" s="958"/>
      <c r="JN45" s="954">
        <v>0</v>
      </c>
      <c r="JO45" s="958"/>
      <c r="JP45" s="958"/>
      <c r="JQ45" s="961"/>
      <c r="JR45" s="958"/>
      <c r="JS45" s="978" t="s">
        <v>152</v>
      </c>
      <c r="JT45" s="978">
        <v>0.106</v>
      </c>
      <c r="JU45" s="989">
        <v>0.43347999999999998</v>
      </c>
      <c r="JV45" s="958"/>
      <c r="JW45" s="958" t="s">
        <v>5347</v>
      </c>
      <c r="JX45" s="954">
        <v>0.17</v>
      </c>
      <c r="JY45" s="893" t="s">
        <v>5348</v>
      </c>
      <c r="JZ45" s="958"/>
      <c r="KA45" s="958" t="s">
        <v>5347</v>
      </c>
      <c r="KB45" s="958"/>
      <c r="KC45" s="855">
        <v>4.3400000000000001E-2</v>
      </c>
      <c r="KD45" s="958"/>
      <c r="KE45" s="959"/>
      <c r="KF45" s="959" t="s">
        <v>504</v>
      </c>
      <c r="KG45" s="959" t="s">
        <v>504</v>
      </c>
      <c r="KH45" s="959" t="s">
        <v>504</v>
      </c>
      <c r="KI45" s="959" t="s">
        <v>504</v>
      </c>
      <c r="KJ45" s="959" t="s">
        <v>504</v>
      </c>
      <c r="KK45" s="959" t="s">
        <v>504</v>
      </c>
      <c r="KL45" s="855"/>
      <c r="KM45" s="864"/>
      <c r="KN45" s="864"/>
      <c r="KO45" s="864"/>
      <c r="KP45" s="864"/>
      <c r="KQ45" s="864"/>
      <c r="KR45" s="958"/>
      <c r="KS45" s="864"/>
      <c r="KT45" s="958"/>
      <c r="KU45" s="864"/>
      <c r="KV45" s="958"/>
      <c r="KW45" s="954"/>
      <c r="KX45" s="958"/>
      <c r="KY45" s="990"/>
      <c r="KZ45" s="991">
        <v>0.77858400000000005</v>
      </c>
      <c r="LA45" s="958"/>
      <c r="LB45" s="958"/>
      <c r="LC45" s="958"/>
      <c r="LD45" s="958"/>
      <c r="LE45" s="958"/>
      <c r="LF45" s="949"/>
      <c r="LG45" s="961"/>
      <c r="LH45" s="961"/>
      <c r="LI45" s="961"/>
      <c r="LJ45" s="961"/>
      <c r="LK45" s="961"/>
      <c r="LL45" s="961"/>
      <c r="LM45" s="961"/>
      <c r="LN45" s="961"/>
      <c r="LO45" s="961"/>
      <c r="LP45" s="961"/>
      <c r="LQ45" s="961"/>
      <c r="LR45" s="992">
        <v>0.313</v>
      </c>
      <c r="LS45" s="992"/>
      <c r="LT45" s="992"/>
      <c r="LU45" s="961"/>
      <c r="LV45" s="961"/>
      <c r="LW45" s="961"/>
      <c r="LX45" s="961"/>
      <c r="LY45" s="961"/>
    </row>
    <row r="46" spans="1:337" ht="37.5" customHeight="1" thickBot="1" x14ac:dyDescent="0.3">
      <c r="A46" s="1593"/>
      <c r="B46" s="1591"/>
      <c r="C46" s="335" t="s">
        <v>234</v>
      </c>
      <c r="D46" s="364" t="s">
        <v>235</v>
      </c>
      <c r="E46" s="836" t="s">
        <v>52</v>
      </c>
      <c r="F46" s="863"/>
      <c r="G46" s="863"/>
      <c r="H46" s="863"/>
      <c r="I46" s="864"/>
      <c r="J46" s="864"/>
      <c r="K46" s="864"/>
      <c r="L46" s="864"/>
      <c r="M46" s="864"/>
      <c r="N46" s="852"/>
      <c r="O46" s="864"/>
      <c r="P46" s="864"/>
      <c r="Q46" s="864"/>
      <c r="R46" s="864"/>
      <c r="S46" s="864"/>
      <c r="T46" s="864"/>
      <c r="U46" s="864"/>
      <c r="V46" s="958"/>
      <c r="W46" s="958"/>
      <c r="X46" s="958">
        <v>4.2000000000000003E-2</v>
      </c>
      <c r="Y46" s="958"/>
      <c r="Z46" s="958">
        <v>9.2999999999999999E-2</v>
      </c>
      <c r="AA46" s="864"/>
      <c r="AB46" s="864"/>
      <c r="AC46" s="864"/>
      <c r="AD46" s="864"/>
      <c r="AE46" s="864"/>
      <c r="AF46" s="864"/>
      <c r="AG46" s="864"/>
      <c r="AH46" s="864"/>
      <c r="AI46" s="864"/>
      <c r="AJ46" s="864"/>
      <c r="AK46" s="864"/>
      <c r="AL46" s="864"/>
      <c r="AM46" s="864"/>
      <c r="AN46" s="864"/>
      <c r="AO46" s="864"/>
      <c r="AP46" s="864"/>
      <c r="AQ46" s="864"/>
      <c r="AR46" s="864"/>
      <c r="AS46" s="864"/>
      <c r="AT46" s="864"/>
      <c r="AU46" s="864"/>
      <c r="AV46" s="958"/>
      <c r="AW46" s="958"/>
      <c r="AX46" s="864"/>
      <c r="AY46" s="864"/>
      <c r="AZ46" s="864"/>
      <c r="BA46" s="852"/>
      <c r="BB46" s="958"/>
      <c r="BC46" s="958" t="s">
        <v>2792</v>
      </c>
      <c r="BD46" s="892"/>
      <c r="BE46" s="864"/>
      <c r="BF46" s="864"/>
      <c r="BG46" s="864"/>
      <c r="BH46" s="864"/>
      <c r="BI46" s="864"/>
      <c r="BJ46" s="864"/>
      <c r="BK46" s="864"/>
      <c r="BL46" s="864"/>
      <c r="BM46" s="864"/>
      <c r="BN46" s="864"/>
      <c r="BO46" s="864"/>
      <c r="BP46" s="864"/>
      <c r="BQ46" s="864"/>
      <c r="BR46" s="864"/>
      <c r="BS46" s="864"/>
      <c r="BT46" s="958"/>
      <c r="BU46" s="958"/>
      <c r="BV46" s="958"/>
      <c r="BW46" s="958"/>
      <c r="BX46" s="864"/>
      <c r="BY46" s="864"/>
      <c r="BZ46" s="864"/>
      <c r="CA46" s="864"/>
      <c r="CB46" s="864"/>
      <c r="CC46" s="959"/>
      <c r="CD46" s="864"/>
      <c r="CE46" s="864"/>
      <c r="CF46" s="864"/>
      <c r="CG46" s="864"/>
      <c r="CH46" s="864"/>
      <c r="CI46" s="864"/>
      <c r="CJ46" s="864"/>
      <c r="CK46" s="958" t="s">
        <v>2883</v>
      </c>
      <c r="CL46" s="958"/>
      <c r="CM46" s="864"/>
      <c r="CN46" s="864"/>
      <c r="CO46" s="864"/>
      <c r="CP46" s="864"/>
      <c r="CQ46" s="864"/>
      <c r="CR46" s="864"/>
      <c r="CS46" s="864"/>
      <c r="CT46" s="864"/>
      <c r="CU46" s="864"/>
      <c r="CV46" s="864"/>
      <c r="CW46" s="864"/>
      <c r="CX46" s="864"/>
      <c r="CY46" s="864"/>
      <c r="CZ46" s="864"/>
      <c r="DA46" s="864"/>
      <c r="DB46" s="864"/>
      <c r="DC46" s="864"/>
      <c r="DD46" s="864"/>
      <c r="DE46" s="864"/>
      <c r="DF46" s="958"/>
      <c r="DG46" s="864"/>
      <c r="DH46" s="958"/>
      <c r="DI46" s="958"/>
      <c r="DJ46" s="958"/>
      <c r="DK46" s="958"/>
      <c r="DL46" s="958"/>
      <c r="DM46" s="958" t="s">
        <v>2976</v>
      </c>
      <c r="DN46" s="864"/>
      <c r="DO46" s="864"/>
      <c r="DP46" s="982"/>
      <c r="DQ46" s="864"/>
      <c r="DR46" s="864"/>
      <c r="DS46" s="864"/>
      <c r="DT46" s="864"/>
      <c r="DU46" s="864"/>
      <c r="DV46" s="864"/>
      <c r="DW46" s="864"/>
      <c r="DX46" s="864"/>
      <c r="DY46" s="864"/>
      <c r="DZ46" s="864"/>
      <c r="EA46" s="864"/>
      <c r="EB46" s="864"/>
      <c r="EC46" s="864"/>
      <c r="ED46" s="864"/>
      <c r="EE46" s="864"/>
      <c r="EF46" s="958"/>
      <c r="EG46" s="958"/>
      <c r="EH46" s="958"/>
      <c r="EI46" s="855"/>
      <c r="EJ46" s="961"/>
      <c r="EK46" s="961"/>
      <c r="EL46" s="961"/>
      <c r="EM46" s="961"/>
      <c r="EN46" s="961"/>
      <c r="EO46" s="961"/>
      <c r="EP46" s="961"/>
      <c r="EQ46" s="961"/>
      <c r="ER46" s="961"/>
      <c r="ES46" s="961"/>
      <c r="ET46" s="961"/>
      <c r="EU46" s="864"/>
      <c r="EV46" s="864"/>
      <c r="EW46" s="958"/>
      <c r="EX46" s="864"/>
      <c r="EY46" s="864"/>
      <c r="EZ46" s="864"/>
      <c r="FA46" s="864"/>
      <c r="FB46" s="864"/>
      <c r="FC46" s="864"/>
      <c r="FD46" s="864"/>
      <c r="FE46" s="958"/>
      <c r="FF46" s="864"/>
      <c r="FG46" s="864"/>
      <c r="FH46" s="864"/>
      <c r="FI46" s="864"/>
      <c r="FJ46" s="864"/>
      <c r="FK46" s="958">
        <v>0.59319999999999995</v>
      </c>
      <c r="FL46" s="958"/>
      <c r="FM46" s="958"/>
      <c r="FN46" s="958"/>
      <c r="FO46" s="958"/>
      <c r="FP46" s="958"/>
      <c r="FQ46" s="958"/>
      <c r="FR46" s="864"/>
      <c r="FS46" s="864"/>
      <c r="FT46" s="864"/>
      <c r="FU46" s="864"/>
      <c r="FV46" s="864"/>
      <c r="FW46" s="864"/>
      <c r="FX46" s="864"/>
      <c r="FY46" s="864"/>
      <c r="FZ46" s="864"/>
      <c r="GA46" s="958"/>
      <c r="GB46" s="958"/>
      <c r="GC46" s="958"/>
      <c r="GD46" s="958"/>
      <c r="GE46" s="958">
        <v>0.38700000000000001</v>
      </c>
      <c r="GF46" s="958"/>
      <c r="GG46" s="958"/>
      <c r="GH46" s="864"/>
      <c r="GI46" s="864"/>
      <c r="GJ46" s="864"/>
      <c r="GK46" s="864"/>
      <c r="GL46" s="864"/>
      <c r="GM46" s="864"/>
      <c r="GN46" s="864"/>
      <c r="GO46" s="963"/>
      <c r="GP46" s="964">
        <v>7.3700000000000002E-2</v>
      </c>
      <c r="GQ46" s="867"/>
      <c r="GR46" s="864"/>
      <c r="GS46" s="864"/>
      <c r="GT46" s="864"/>
      <c r="GU46" s="864"/>
      <c r="GV46" s="864"/>
      <c r="GW46" s="864"/>
      <c r="GX46" s="864"/>
      <c r="GY46" s="864"/>
      <c r="GZ46" s="864"/>
      <c r="HA46" s="864"/>
      <c r="HB46" s="864"/>
      <c r="HC46" s="864"/>
      <c r="HD46" s="864"/>
      <c r="HE46" s="958"/>
      <c r="HF46" s="958"/>
      <c r="HG46" s="864"/>
      <c r="HH46" s="961">
        <v>0.02</v>
      </c>
      <c r="HI46" s="958"/>
      <c r="HJ46" s="958"/>
      <c r="HK46" s="961"/>
      <c r="HL46" s="864"/>
      <c r="HM46" s="864"/>
      <c r="HN46" s="864"/>
      <c r="HO46" s="968"/>
      <c r="HP46" s="958"/>
      <c r="HQ46" s="958"/>
      <c r="HR46" s="959"/>
      <c r="HS46" s="958"/>
      <c r="HT46" s="958"/>
      <c r="HU46" s="958"/>
      <c r="HV46" s="962"/>
      <c r="HW46" s="958"/>
      <c r="HX46" s="958"/>
      <c r="HY46" s="958"/>
      <c r="HZ46" s="958"/>
      <c r="IA46" s="958"/>
      <c r="IB46" s="958"/>
      <c r="IC46" s="958"/>
      <c r="ID46" s="958"/>
      <c r="IE46" s="958"/>
      <c r="IF46" s="958"/>
      <c r="IG46" s="959"/>
      <c r="IH46" s="958"/>
      <c r="II46" s="958"/>
      <c r="IJ46" s="959"/>
      <c r="IK46" s="958"/>
      <c r="IL46" s="958"/>
      <c r="IM46" s="958"/>
      <c r="IN46" s="958"/>
      <c r="IO46" s="864"/>
      <c r="IP46" s="864"/>
      <c r="IQ46" s="864"/>
      <c r="IR46" s="959"/>
      <c r="IS46" s="958"/>
      <c r="IT46" s="958" t="s">
        <v>2976</v>
      </c>
      <c r="IU46" s="958">
        <v>0.19089999999999999</v>
      </c>
      <c r="IV46" s="958">
        <f>IV45/IV27</f>
        <v>1.3564998953317982E-2</v>
      </c>
      <c r="IW46" s="954">
        <f>(IW45/IW27)*100</f>
        <v>5.1272671893848019</v>
      </c>
      <c r="IX46" s="955">
        <v>33.299999999999997</v>
      </c>
      <c r="IY46" s="958"/>
      <c r="IZ46" s="958"/>
      <c r="JA46" s="958"/>
      <c r="JB46" s="958"/>
      <c r="JC46" s="958"/>
      <c r="JD46" s="958"/>
      <c r="JE46" s="958">
        <f>122.5/52022.9</f>
        <v>2.3547322429161004E-3</v>
      </c>
      <c r="JF46" s="961">
        <v>0</v>
      </c>
      <c r="JG46" s="958"/>
      <c r="JH46" s="958"/>
      <c r="JI46" s="958"/>
      <c r="JJ46" s="958">
        <v>2.3699999999999999E-2</v>
      </c>
      <c r="JK46" s="958"/>
      <c r="JL46" s="958"/>
      <c r="JM46" s="958"/>
      <c r="JN46" s="958"/>
      <c r="JO46" s="958"/>
      <c r="JP46" s="958"/>
      <c r="JQ46" s="961"/>
      <c r="JR46" s="958"/>
      <c r="JS46" s="958" t="s">
        <v>52</v>
      </c>
      <c r="JT46" s="958">
        <f>JT45/JT27</f>
        <v>7.1524966261808362E-2</v>
      </c>
      <c r="JU46" s="958">
        <v>0.25</v>
      </c>
      <c r="JV46" s="958"/>
      <c r="JW46" s="958"/>
      <c r="JX46" s="958">
        <v>0.41499999999999998</v>
      </c>
      <c r="JY46" s="958">
        <v>2.0000000000000001E-4</v>
      </c>
      <c r="JZ46" s="958"/>
      <c r="KA46" s="958"/>
      <c r="KB46" s="958"/>
      <c r="KC46" s="958">
        <v>0.1736</v>
      </c>
      <c r="KD46" s="958"/>
      <c r="KE46" s="959"/>
      <c r="KF46" s="959"/>
      <c r="KG46" s="959"/>
      <c r="KH46" s="959"/>
      <c r="KI46" s="959"/>
      <c r="KJ46" s="959"/>
      <c r="KK46" s="959"/>
      <c r="KL46" s="958"/>
      <c r="KM46" s="864"/>
      <c r="KN46" s="864"/>
      <c r="KO46" s="864"/>
      <c r="KP46" s="864"/>
      <c r="KQ46" s="864"/>
      <c r="KR46" s="958"/>
      <c r="KS46" s="864"/>
      <c r="KT46" s="958"/>
      <c r="KU46" s="864"/>
      <c r="KV46" s="958"/>
      <c r="KW46" s="958"/>
      <c r="KX46" s="958"/>
      <c r="KY46" s="858"/>
      <c r="KZ46" s="958">
        <f>KZ45/KZ27</f>
        <v>6.2926943759969434E-2</v>
      </c>
      <c r="LA46" s="958"/>
      <c r="LB46" s="958"/>
      <c r="LC46" s="958"/>
      <c r="LD46" s="958"/>
      <c r="LE46" s="958"/>
      <c r="LF46" s="961"/>
      <c r="LG46" s="961"/>
      <c r="LH46" s="961"/>
      <c r="LI46" s="961"/>
      <c r="LJ46" s="961"/>
      <c r="LK46" s="961"/>
      <c r="LL46" s="961"/>
      <c r="LM46" s="961"/>
      <c r="LN46" s="961"/>
      <c r="LO46" s="961"/>
      <c r="LP46" s="961"/>
      <c r="LQ46" s="961"/>
      <c r="LR46" s="961">
        <f>LR45/LR27</f>
        <v>1.6311918910689012E-2</v>
      </c>
      <c r="LS46" s="961"/>
      <c r="LT46" s="961"/>
      <c r="LU46" s="961"/>
      <c r="LV46" s="961"/>
      <c r="LW46" s="961"/>
      <c r="LX46" s="961"/>
      <c r="LY46" s="961"/>
    </row>
    <row r="47" spans="1:337" ht="74.25" customHeight="1" x14ac:dyDescent="0.25">
      <c r="A47" s="1583" t="s">
        <v>16</v>
      </c>
      <c r="B47" s="1586" t="s">
        <v>5349</v>
      </c>
      <c r="C47" s="331" t="s">
        <v>106</v>
      </c>
      <c r="D47" s="332" t="s">
        <v>5350</v>
      </c>
      <c r="E47" s="839" t="s">
        <v>152</v>
      </c>
      <c r="F47" s="863"/>
      <c r="G47" s="863"/>
      <c r="H47" s="863"/>
      <c r="I47" s="864"/>
      <c r="J47" s="864"/>
      <c r="K47" s="864"/>
      <c r="L47" s="864"/>
      <c r="M47" s="864"/>
      <c r="N47" s="852">
        <v>4.4000000000000004</v>
      </c>
      <c r="O47" s="864"/>
      <c r="P47" s="864"/>
      <c r="Q47" s="864"/>
      <c r="R47" s="864"/>
      <c r="S47" s="864"/>
      <c r="T47" s="864"/>
      <c r="U47" s="864"/>
      <c r="V47" s="945">
        <v>0.88</v>
      </c>
      <c r="W47" s="945"/>
      <c r="X47" s="945">
        <v>1</v>
      </c>
      <c r="Y47" s="945">
        <v>1</v>
      </c>
      <c r="Z47" s="945">
        <v>0.5</v>
      </c>
      <c r="AA47" s="864"/>
      <c r="AB47" s="864"/>
      <c r="AC47" s="864"/>
      <c r="AD47" s="864"/>
      <c r="AE47" s="864"/>
      <c r="AF47" s="864"/>
      <c r="AG47" s="864"/>
      <c r="AH47" s="864"/>
      <c r="AI47" s="864"/>
      <c r="AJ47" s="864"/>
      <c r="AK47" s="864"/>
      <c r="AL47" s="864"/>
      <c r="AM47" s="864"/>
      <c r="AN47" s="864"/>
      <c r="AO47" s="864"/>
      <c r="AP47" s="864"/>
      <c r="AQ47" s="864"/>
      <c r="AR47" s="864"/>
      <c r="AS47" s="864"/>
      <c r="AT47" s="864"/>
      <c r="AU47" s="864"/>
      <c r="AV47" s="945">
        <v>1</v>
      </c>
      <c r="AW47" s="945">
        <v>15.689</v>
      </c>
      <c r="AX47" s="864"/>
      <c r="AY47" s="864"/>
      <c r="AZ47" s="864"/>
      <c r="BA47" s="852">
        <v>5</v>
      </c>
      <c r="BB47" s="993">
        <v>1.127</v>
      </c>
      <c r="BC47" s="945">
        <v>14.302</v>
      </c>
      <c r="BD47" s="954"/>
      <c r="BE47" s="864"/>
      <c r="BF47" s="864"/>
      <c r="BG47" s="864"/>
      <c r="BH47" s="864"/>
      <c r="BI47" s="864"/>
      <c r="BJ47" s="864"/>
      <c r="BK47" s="864"/>
      <c r="BL47" s="864"/>
      <c r="BM47" s="864"/>
      <c r="BN47" s="864"/>
      <c r="BO47" s="864"/>
      <c r="BP47" s="864"/>
      <c r="BQ47" s="864"/>
      <c r="BR47" s="864"/>
      <c r="BS47" s="864"/>
      <c r="BT47" s="945">
        <v>953.45699999999999</v>
      </c>
      <c r="BU47" s="945">
        <v>2.7719999999999998</v>
      </c>
      <c r="BV47" s="945">
        <v>0.26</v>
      </c>
      <c r="BW47" s="945"/>
      <c r="BX47" s="864"/>
      <c r="BY47" s="864"/>
      <c r="BZ47" s="864"/>
      <c r="CA47" s="864"/>
      <c r="CB47" s="864"/>
      <c r="CC47" s="947">
        <v>1.6</v>
      </c>
      <c r="CD47" s="864"/>
      <c r="CE47" s="864"/>
      <c r="CF47" s="864"/>
      <c r="CG47" s="864"/>
      <c r="CH47" s="864"/>
      <c r="CI47" s="864"/>
      <c r="CJ47" s="864"/>
      <c r="CK47" s="945">
        <v>2.0619999999999998</v>
      </c>
      <c r="CL47" s="945">
        <v>2</v>
      </c>
      <c r="CM47" s="864"/>
      <c r="CN47" s="864"/>
      <c r="CO47" s="864"/>
      <c r="CP47" s="864"/>
      <c r="CQ47" s="864"/>
      <c r="CR47" s="864"/>
      <c r="CS47" s="864"/>
      <c r="CT47" s="864"/>
      <c r="CU47" s="864"/>
      <c r="CV47" s="864"/>
      <c r="CW47" s="864"/>
      <c r="CX47" s="864"/>
      <c r="CY47" s="864"/>
      <c r="CZ47" s="864"/>
      <c r="DA47" s="864"/>
      <c r="DB47" s="864"/>
      <c r="DC47" s="864"/>
      <c r="DD47" s="864"/>
      <c r="DE47" s="864"/>
      <c r="DF47" s="945">
        <v>0.5</v>
      </c>
      <c r="DG47" s="864"/>
      <c r="DH47" s="945">
        <v>0.2</v>
      </c>
      <c r="DI47" s="945">
        <v>0.1</v>
      </c>
      <c r="DJ47" s="945"/>
      <c r="DK47" s="945">
        <v>0.1</v>
      </c>
      <c r="DL47" s="945"/>
      <c r="DM47" s="945">
        <v>0.1</v>
      </c>
      <c r="DN47" s="864"/>
      <c r="DO47" s="864"/>
      <c r="DP47" s="945">
        <v>1.7</v>
      </c>
      <c r="DQ47" s="864"/>
      <c r="DR47" s="864"/>
      <c r="DS47" s="864"/>
      <c r="DT47" s="864"/>
      <c r="DU47" s="864"/>
      <c r="DV47" s="864"/>
      <c r="DW47" s="864"/>
      <c r="DX47" s="864"/>
      <c r="DY47" s="864"/>
      <c r="DZ47" s="864"/>
      <c r="EA47" s="864"/>
      <c r="EB47" s="864"/>
      <c r="EC47" s="864"/>
      <c r="ED47" s="864"/>
      <c r="EE47" s="864"/>
      <c r="EF47" s="945">
        <v>0.05</v>
      </c>
      <c r="EG47" s="945" t="s">
        <v>3013</v>
      </c>
      <c r="EH47" s="945">
        <v>3</v>
      </c>
      <c r="EI47" s="855">
        <v>0.1</v>
      </c>
      <c r="EJ47" s="949"/>
      <c r="EK47" s="949"/>
      <c r="EL47" s="949">
        <v>0.5</v>
      </c>
      <c r="EM47" s="949">
        <v>1.0529999999999999</v>
      </c>
      <c r="EN47" s="949">
        <v>0.5</v>
      </c>
      <c r="EO47" s="949">
        <v>0.6</v>
      </c>
      <c r="EP47" s="949">
        <v>0.05</v>
      </c>
      <c r="EQ47" s="949">
        <v>0.2</v>
      </c>
      <c r="ER47" s="949">
        <v>2</v>
      </c>
      <c r="ES47" s="949">
        <v>1500</v>
      </c>
      <c r="ET47" s="949">
        <v>1.054</v>
      </c>
      <c r="EU47" s="864"/>
      <c r="EV47" s="864"/>
      <c r="EW47" s="945">
        <v>18</v>
      </c>
      <c r="EX47" s="864"/>
      <c r="EY47" s="864"/>
      <c r="EZ47" s="864"/>
      <c r="FA47" s="864"/>
      <c r="FB47" s="864"/>
      <c r="FC47" s="864"/>
      <c r="FD47" s="864"/>
      <c r="FE47" s="945"/>
      <c r="FF47" s="864"/>
      <c r="FG47" s="864"/>
      <c r="FH47" s="864"/>
      <c r="FI47" s="864"/>
      <c r="FJ47" s="864"/>
      <c r="FK47" s="943">
        <v>3.8</v>
      </c>
      <c r="FL47" s="943">
        <v>1.01</v>
      </c>
      <c r="FM47" s="945">
        <f>2.4+2+1.5</f>
        <v>5.9</v>
      </c>
      <c r="FN47" s="945">
        <v>3.75</v>
      </c>
      <c r="FO47" s="945"/>
      <c r="FP47" s="945">
        <v>5.0999999999999996</v>
      </c>
      <c r="FQ47" s="945">
        <v>0.6</v>
      </c>
      <c r="FR47" s="864"/>
      <c r="FS47" s="864"/>
      <c r="FT47" s="864"/>
      <c r="FU47" s="864"/>
      <c r="FV47" s="864"/>
      <c r="FW47" s="864"/>
      <c r="FX47" s="864"/>
      <c r="FY47" s="864"/>
      <c r="FZ47" s="864"/>
      <c r="GA47" s="945">
        <v>2.5</v>
      </c>
      <c r="GB47" s="945"/>
      <c r="GC47" s="945">
        <v>5.1999999999999998E-3</v>
      </c>
      <c r="GD47" s="946">
        <v>0.7</v>
      </c>
      <c r="GE47" s="945">
        <v>0.09</v>
      </c>
      <c r="GF47" s="945">
        <v>3.2389999999999999</v>
      </c>
      <c r="GG47" s="945">
        <v>20</v>
      </c>
      <c r="GH47" s="864"/>
      <c r="GI47" s="864"/>
      <c r="GJ47" s="864"/>
      <c r="GK47" s="864"/>
      <c r="GL47" s="864"/>
      <c r="GM47" s="864"/>
      <c r="GN47" s="864"/>
      <c r="GO47" s="950">
        <v>10.545</v>
      </c>
      <c r="GP47" s="951">
        <v>2.1840000000000002</v>
      </c>
      <c r="GQ47" s="952"/>
      <c r="GR47" s="864"/>
      <c r="GS47" s="864"/>
      <c r="GT47" s="864"/>
      <c r="GU47" s="864"/>
      <c r="GV47" s="864"/>
      <c r="GW47" s="864"/>
      <c r="GX47" s="864"/>
      <c r="GY47" s="864"/>
      <c r="GZ47" s="864"/>
      <c r="HA47" s="864"/>
      <c r="HB47" s="864"/>
      <c r="HC47" s="864"/>
      <c r="HD47" s="864"/>
      <c r="HE47" s="980">
        <v>10</v>
      </c>
      <c r="HF47" s="945">
        <v>21.327000000000002</v>
      </c>
      <c r="HG47" s="864"/>
      <c r="HH47" s="949">
        <v>14.384</v>
      </c>
      <c r="HI47" s="945">
        <v>11.715</v>
      </c>
      <c r="HJ47" s="945">
        <v>2.2000000000000002</v>
      </c>
      <c r="HK47" s="949">
        <v>0.84</v>
      </c>
      <c r="HL47" s="864"/>
      <c r="HM47" s="864"/>
      <c r="HN47" s="864"/>
      <c r="HO47" s="953">
        <v>0.5</v>
      </c>
      <c r="HP47" s="945">
        <v>2</v>
      </c>
      <c r="HQ47" s="945">
        <v>0.02</v>
      </c>
      <c r="HR47" s="947"/>
      <c r="HS47" s="945">
        <v>0.91100000000000003</v>
      </c>
      <c r="HT47" s="945">
        <v>0.1</v>
      </c>
      <c r="HU47" s="945">
        <v>2.5000000000000001E-2</v>
      </c>
      <c r="HV47" s="987">
        <v>0.1</v>
      </c>
      <c r="HW47" s="945">
        <v>0.02</v>
      </c>
      <c r="HX47" s="945">
        <v>0.3</v>
      </c>
      <c r="HY47" s="945">
        <v>0.1</v>
      </c>
      <c r="HZ47" s="945">
        <v>0.09</v>
      </c>
      <c r="IA47" s="945">
        <v>0.5</v>
      </c>
      <c r="IB47" s="945">
        <v>0.5</v>
      </c>
      <c r="IC47" s="945">
        <v>0.5</v>
      </c>
      <c r="ID47" s="945">
        <v>0.5</v>
      </c>
      <c r="IE47" s="945">
        <v>100</v>
      </c>
      <c r="IF47" s="945">
        <v>0.01</v>
      </c>
      <c r="IG47" s="947">
        <v>0.5</v>
      </c>
      <c r="IH47" s="945">
        <v>0.5</v>
      </c>
      <c r="II47" s="945">
        <v>1</v>
      </c>
      <c r="IJ47" s="947">
        <v>1</v>
      </c>
      <c r="IK47" s="945">
        <v>2.5000000000000001E-2</v>
      </c>
      <c r="IL47" s="946"/>
      <c r="IM47" s="945">
        <v>0.15</v>
      </c>
      <c r="IN47" s="945">
        <v>0.2</v>
      </c>
      <c r="IO47" s="864"/>
      <c r="IP47" s="864"/>
      <c r="IQ47" s="864"/>
      <c r="IR47" s="994"/>
      <c r="IS47" s="945">
        <v>0.55000000000000004</v>
      </c>
      <c r="IT47" s="945">
        <v>6.35</v>
      </c>
      <c r="IU47" s="945">
        <v>5</v>
      </c>
      <c r="IV47" s="945">
        <v>25</v>
      </c>
      <c r="IW47" s="957">
        <v>5</v>
      </c>
      <c r="IX47" s="995">
        <v>5</v>
      </c>
      <c r="IY47" s="956">
        <v>5</v>
      </c>
      <c r="IZ47" s="945">
        <v>10</v>
      </c>
      <c r="JA47" s="945"/>
      <c r="JB47" s="945">
        <v>30</v>
      </c>
      <c r="JC47" s="945">
        <v>0.6</v>
      </c>
      <c r="JD47" s="945">
        <v>5.67</v>
      </c>
      <c r="JE47" s="945">
        <v>66.900000000000006</v>
      </c>
      <c r="JF47" s="949">
        <v>28.623999999999999</v>
      </c>
      <c r="JG47" s="945">
        <v>2.7</v>
      </c>
      <c r="JH47" s="945">
        <v>3</v>
      </c>
      <c r="JI47" s="945">
        <v>2</v>
      </c>
      <c r="JJ47" s="945">
        <v>5</v>
      </c>
      <c r="JK47" s="945"/>
      <c r="JL47" s="945"/>
      <c r="JM47" s="945"/>
      <c r="JN47" s="945">
        <v>0</v>
      </c>
      <c r="JO47" s="945">
        <v>0</v>
      </c>
      <c r="JP47" s="945">
        <v>2.15</v>
      </c>
      <c r="JQ47" s="949"/>
      <c r="JR47" s="996">
        <v>4.8238999999999997E-2</v>
      </c>
      <c r="JS47" s="945"/>
      <c r="JT47" s="945">
        <v>0.186</v>
      </c>
      <c r="JU47" s="945"/>
      <c r="JV47" s="945">
        <v>0.14399999999999999</v>
      </c>
      <c r="JW47" s="945"/>
      <c r="JX47" s="945"/>
      <c r="JY47" s="945">
        <v>0.51</v>
      </c>
      <c r="JZ47" s="945">
        <v>1</v>
      </c>
      <c r="KA47" s="945">
        <v>5</v>
      </c>
      <c r="KB47" s="945">
        <v>0</v>
      </c>
      <c r="KC47" s="945">
        <v>0.373</v>
      </c>
      <c r="KD47" s="945"/>
      <c r="KE47" s="947">
        <v>0.75</v>
      </c>
      <c r="KF47" s="947">
        <f>157.3/1000</f>
        <v>0.15730000000000002</v>
      </c>
      <c r="KG47" s="947">
        <f>58.3/1000</f>
        <v>5.8299999999999998E-2</v>
      </c>
      <c r="KH47" s="947">
        <f>148.2/1000</f>
        <v>0.1482</v>
      </c>
      <c r="KI47" s="947">
        <f>151.4/1000</f>
        <v>0.15140000000000001</v>
      </c>
      <c r="KJ47" s="947">
        <f>168.1/1000</f>
        <v>0.1681</v>
      </c>
      <c r="KK47" s="947">
        <f>50.5/1000</f>
        <v>5.0500000000000003E-2</v>
      </c>
      <c r="KL47" s="945">
        <v>1.8</v>
      </c>
      <c r="KM47" s="900" t="s">
        <v>5351</v>
      </c>
      <c r="KN47" s="864"/>
      <c r="KO47" s="864"/>
      <c r="KP47" s="864"/>
      <c r="KQ47" s="864"/>
      <c r="KR47" s="945">
        <v>5</v>
      </c>
      <c r="KS47" s="864"/>
      <c r="KT47" s="997" t="s">
        <v>4396</v>
      </c>
      <c r="KU47" s="864"/>
      <c r="KV47" s="945">
        <v>9</v>
      </c>
      <c r="KW47" s="945">
        <v>7.3949999999999996</v>
      </c>
      <c r="KX47" s="945">
        <f>11.346+4.8</f>
        <v>16.146000000000001</v>
      </c>
      <c r="KY47" s="858">
        <v>107</v>
      </c>
      <c r="KZ47" s="945">
        <v>12.4</v>
      </c>
      <c r="LA47" s="945">
        <v>137.22399999999999</v>
      </c>
      <c r="LB47" s="945">
        <v>9.4126999999999992</v>
      </c>
      <c r="LC47" s="945"/>
      <c r="LD47" s="945"/>
      <c r="LE47" s="945"/>
      <c r="LF47" s="949">
        <f>4.83+2.7</f>
        <v>7.53</v>
      </c>
      <c r="LG47" s="949">
        <v>0.15</v>
      </c>
      <c r="LH47" s="949">
        <v>0.15</v>
      </c>
      <c r="LI47" s="949">
        <v>0.15</v>
      </c>
      <c r="LJ47" s="949">
        <v>0.15</v>
      </c>
      <c r="LK47" s="949">
        <v>0.15</v>
      </c>
      <c r="LL47" s="949">
        <v>0.15</v>
      </c>
      <c r="LM47" s="949">
        <v>0.15</v>
      </c>
      <c r="LN47" s="949">
        <v>1.077</v>
      </c>
      <c r="LO47" s="949">
        <v>0.21</v>
      </c>
      <c r="LP47" s="949">
        <v>12.914999999999999</v>
      </c>
      <c r="LQ47" s="949">
        <v>10.696</v>
      </c>
      <c r="LR47" s="949">
        <v>38.131999999999998</v>
      </c>
      <c r="LS47" s="949"/>
      <c r="LT47" s="949"/>
      <c r="LU47" s="949"/>
      <c r="LV47" s="949"/>
      <c r="LW47" s="949"/>
      <c r="LX47" s="949"/>
      <c r="LY47" s="949"/>
    </row>
    <row r="48" spans="1:337" ht="62.25" customHeight="1" thickBot="1" x14ac:dyDescent="0.3">
      <c r="A48" s="1585"/>
      <c r="B48" s="1588"/>
      <c r="C48" s="335" t="s">
        <v>107</v>
      </c>
      <c r="D48" s="336" t="s">
        <v>5352</v>
      </c>
      <c r="E48" s="836" t="s">
        <v>52</v>
      </c>
      <c r="F48" s="863"/>
      <c r="G48" s="863"/>
      <c r="H48" s="863"/>
      <c r="I48" s="864"/>
      <c r="J48" s="864"/>
      <c r="K48" s="864"/>
      <c r="L48" s="864"/>
      <c r="M48" s="864"/>
      <c r="N48" s="852">
        <v>4.0000000000000002E-4</v>
      </c>
      <c r="O48" s="864"/>
      <c r="P48" s="864"/>
      <c r="Q48" s="864"/>
      <c r="R48" s="864"/>
      <c r="S48" s="864"/>
      <c r="T48" s="864"/>
      <c r="U48" s="864"/>
      <c r="V48" s="958">
        <v>1.2999999999999999E-3</v>
      </c>
      <c r="W48" s="958"/>
      <c r="X48" s="958">
        <v>1.1000000000000001E-3</v>
      </c>
      <c r="Y48" s="958">
        <v>8.0000000000000004E-4</v>
      </c>
      <c r="Z48" s="958">
        <v>8.9999999999999998E-4</v>
      </c>
      <c r="AA48" s="864"/>
      <c r="AB48" s="864"/>
      <c r="AC48" s="864"/>
      <c r="AD48" s="864"/>
      <c r="AE48" s="864"/>
      <c r="AF48" s="864"/>
      <c r="AG48" s="864"/>
      <c r="AH48" s="864"/>
      <c r="AI48" s="864"/>
      <c r="AJ48" s="864"/>
      <c r="AK48" s="864"/>
      <c r="AL48" s="864"/>
      <c r="AM48" s="864"/>
      <c r="AN48" s="864"/>
      <c r="AO48" s="864"/>
      <c r="AP48" s="864"/>
      <c r="AQ48" s="864"/>
      <c r="AR48" s="864"/>
      <c r="AS48" s="864"/>
      <c r="AT48" s="864"/>
      <c r="AU48" s="864"/>
      <c r="AV48" s="958">
        <v>1.0499999999999999E-3</v>
      </c>
      <c r="AW48" s="958">
        <f>AW47/19534.41</f>
        <v>8.0314685726366958E-4</v>
      </c>
      <c r="AX48" s="864"/>
      <c r="AY48" s="864"/>
      <c r="AZ48" s="864"/>
      <c r="BA48" s="852">
        <v>4.0000000000000002E-4</v>
      </c>
      <c r="BB48" s="946">
        <v>0.4</v>
      </c>
      <c r="BC48" s="958">
        <v>0.13200000000000001</v>
      </c>
      <c r="BD48" s="945"/>
      <c r="BE48" s="864"/>
      <c r="BF48" s="864"/>
      <c r="BG48" s="864"/>
      <c r="BH48" s="864"/>
      <c r="BI48" s="864"/>
      <c r="BJ48" s="864"/>
      <c r="BK48" s="864"/>
      <c r="BL48" s="864"/>
      <c r="BM48" s="864"/>
      <c r="BN48" s="864"/>
      <c r="BO48" s="864"/>
      <c r="BP48" s="864"/>
      <c r="BQ48" s="864"/>
      <c r="BR48" s="864"/>
      <c r="BS48" s="864"/>
      <c r="BT48" s="958">
        <v>9.5500000000000002E-2</v>
      </c>
      <c r="BU48" s="958">
        <v>4.3999999999999997E-2</v>
      </c>
      <c r="BV48" s="958">
        <v>1.4E-2</v>
      </c>
      <c r="BW48" s="958"/>
      <c r="BX48" s="864"/>
      <c r="BY48" s="864"/>
      <c r="BZ48" s="864"/>
      <c r="CA48" s="864"/>
      <c r="CB48" s="864"/>
      <c r="CC48" s="959">
        <v>8.0000000000000004E-4</v>
      </c>
      <c r="CD48" s="864"/>
      <c r="CE48" s="864"/>
      <c r="CF48" s="864"/>
      <c r="CG48" s="864"/>
      <c r="CH48" s="864"/>
      <c r="CI48" s="864"/>
      <c r="CJ48" s="864"/>
      <c r="CK48" s="958">
        <v>2E-3</v>
      </c>
      <c r="CL48" s="958">
        <v>2E-3</v>
      </c>
      <c r="CM48" s="864"/>
      <c r="CN48" s="864"/>
      <c r="CO48" s="864"/>
      <c r="CP48" s="864"/>
      <c r="CQ48" s="864"/>
      <c r="CR48" s="864"/>
      <c r="CS48" s="864"/>
      <c r="CT48" s="864"/>
      <c r="CU48" s="864"/>
      <c r="CV48" s="864"/>
      <c r="CW48" s="864"/>
      <c r="CX48" s="864"/>
      <c r="CY48" s="864"/>
      <c r="CZ48" s="864"/>
      <c r="DA48" s="864"/>
      <c r="DB48" s="864"/>
      <c r="DC48" s="864"/>
      <c r="DD48" s="864"/>
      <c r="DE48" s="864"/>
      <c r="DF48" s="958">
        <v>5.0000000000000001E-4</v>
      </c>
      <c r="DG48" s="864"/>
      <c r="DH48" s="958">
        <v>1E-4</v>
      </c>
      <c r="DI48" s="958">
        <v>5.9999999999999995E-4</v>
      </c>
      <c r="DJ48" s="958"/>
      <c r="DK48" s="958">
        <f>DK47/615.758</f>
        <v>1.6240146291237792E-4</v>
      </c>
      <c r="DL48" s="958"/>
      <c r="DM48" s="958">
        <v>2.0000000000000001E-4</v>
      </c>
      <c r="DN48" s="864"/>
      <c r="DO48" s="864"/>
      <c r="DP48" s="958">
        <v>2E-3</v>
      </c>
      <c r="DQ48" s="864"/>
      <c r="DR48" s="864"/>
      <c r="DS48" s="864"/>
      <c r="DT48" s="864"/>
      <c r="DU48" s="864"/>
      <c r="DV48" s="864"/>
      <c r="DW48" s="864"/>
      <c r="DX48" s="864"/>
      <c r="DY48" s="864"/>
      <c r="DZ48" s="864"/>
      <c r="EA48" s="864"/>
      <c r="EB48" s="864"/>
      <c r="EC48" s="864"/>
      <c r="ED48" s="864"/>
      <c r="EE48" s="864"/>
      <c r="EF48" s="958">
        <v>6.0000000000000002E-5</v>
      </c>
      <c r="EG48" s="958" t="s">
        <v>3014</v>
      </c>
      <c r="EH48" s="958">
        <v>1.5E-3</v>
      </c>
      <c r="EI48" s="855">
        <v>6.0000000000000002E-5</v>
      </c>
      <c r="EJ48" s="961"/>
      <c r="EK48" s="961"/>
      <c r="EL48" s="961">
        <v>1E-3</v>
      </c>
      <c r="EM48" s="961">
        <v>5.7999999999999996E-3</v>
      </c>
      <c r="EN48" s="961">
        <v>1E-3</v>
      </c>
      <c r="EO48" s="961">
        <f>EO47/577.097</f>
        <v>1.0396865691556186E-3</v>
      </c>
      <c r="EP48" s="961">
        <v>5.04E-2</v>
      </c>
      <c r="EQ48" s="961">
        <v>2.4000000000000001E-4</v>
      </c>
      <c r="ER48" s="961">
        <v>5.9999999999999995E-4</v>
      </c>
      <c r="ES48" s="961">
        <v>2.1000000000000001E-2</v>
      </c>
      <c r="ET48" s="961">
        <v>5.3400000000000003E-2</v>
      </c>
      <c r="EU48" s="864"/>
      <c r="EV48" s="864"/>
      <c r="EW48" s="958">
        <v>1.1000000000000001E-3</v>
      </c>
      <c r="EX48" s="864"/>
      <c r="EY48" s="864"/>
      <c r="EZ48" s="864"/>
      <c r="FA48" s="864"/>
      <c r="FB48" s="864"/>
      <c r="FC48" s="864"/>
      <c r="FD48" s="864"/>
      <c r="FE48" s="958"/>
      <c r="FF48" s="864"/>
      <c r="FG48" s="864"/>
      <c r="FH48" s="864"/>
      <c r="FI48" s="864"/>
      <c r="FJ48" s="864"/>
      <c r="FK48" s="962">
        <v>1.8699999999999999E-3</v>
      </c>
      <c r="FL48" s="958">
        <v>1E-3</v>
      </c>
      <c r="FM48" s="958">
        <f>5.9/212.795</f>
        <v>2.7726215371601779E-2</v>
      </c>
      <c r="FN48" s="958">
        <v>1.0699999999999999E-2</v>
      </c>
      <c r="FO48" s="958"/>
      <c r="FP48" s="958">
        <v>1.9E-2</v>
      </c>
      <c r="FQ48" s="958">
        <v>4.0000000000000001E-3</v>
      </c>
      <c r="FR48" s="864"/>
      <c r="FS48" s="864"/>
      <c r="FT48" s="864"/>
      <c r="FU48" s="864"/>
      <c r="FV48" s="864"/>
      <c r="FW48" s="864"/>
      <c r="FX48" s="864"/>
      <c r="FY48" s="864"/>
      <c r="FZ48" s="864"/>
      <c r="GA48" s="958">
        <v>1.6000000000000001E-3</v>
      </c>
      <c r="GB48" s="958"/>
      <c r="GC48" s="958">
        <v>2.5000000000000001E-4</v>
      </c>
      <c r="GD48" s="975">
        <v>1.2E-4</v>
      </c>
      <c r="GE48" s="958">
        <v>5.8E-5</v>
      </c>
      <c r="GF48" s="958">
        <v>1</v>
      </c>
      <c r="GG48" s="958">
        <v>4.0000000000000002E-4</v>
      </c>
      <c r="GH48" s="864"/>
      <c r="GI48" s="864"/>
      <c r="GJ48" s="864"/>
      <c r="GK48" s="864"/>
      <c r="GL48" s="864"/>
      <c r="GM48" s="864"/>
      <c r="GN48" s="864"/>
      <c r="GO48" s="963">
        <f>10544941.6/4271005649.82</f>
        <v>2.4689598807822724E-3</v>
      </c>
      <c r="GP48" s="964">
        <v>2.5000000000000001E-3</v>
      </c>
      <c r="GQ48" s="867"/>
      <c r="GR48" s="864"/>
      <c r="GS48" s="864"/>
      <c r="GT48" s="864"/>
      <c r="GU48" s="864"/>
      <c r="GV48" s="864"/>
      <c r="GW48" s="864"/>
      <c r="GX48" s="864"/>
      <c r="GY48" s="864"/>
      <c r="GZ48" s="864"/>
      <c r="HA48" s="864"/>
      <c r="HB48" s="864"/>
      <c r="HC48" s="864"/>
      <c r="HD48" s="864"/>
      <c r="HE48" s="958">
        <v>2.9999999999999997E-4</v>
      </c>
      <c r="HF48" s="958">
        <v>7.7000000000000002E-3</v>
      </c>
      <c r="HG48" s="864"/>
      <c r="HH48" s="961">
        <v>1.6500000000000001E-2</v>
      </c>
      <c r="HI48" s="958">
        <v>3.8E-3</v>
      </c>
      <c r="HJ48" s="958">
        <v>3.5999999999999999E-3</v>
      </c>
      <c r="HK48" s="961">
        <v>1.1999999999999999E-3</v>
      </c>
      <c r="HL48" s="864"/>
      <c r="HM48" s="864"/>
      <c r="HN48" s="864"/>
      <c r="HO48" s="968">
        <v>2.2499999999999999E-2</v>
      </c>
      <c r="HP48" s="958">
        <v>5.1999999999999998E-2</v>
      </c>
      <c r="HQ48" s="958">
        <v>1E-4</v>
      </c>
      <c r="HR48" s="959">
        <v>1</v>
      </c>
      <c r="HS48" s="958">
        <v>1E-4</v>
      </c>
      <c r="HT48" s="958">
        <v>1E-4</v>
      </c>
      <c r="HU48" s="958">
        <v>1E-4</v>
      </c>
      <c r="HV48" s="962">
        <f>0.11/157.2*100</f>
        <v>6.9974554707379136E-2</v>
      </c>
      <c r="HW48" s="958">
        <v>1E-4</v>
      </c>
      <c r="HX48" s="958">
        <v>4.36E-2</v>
      </c>
      <c r="HY48" s="958">
        <v>8.9999999999999993E-3</v>
      </c>
      <c r="HZ48" s="958">
        <v>1E-4</v>
      </c>
      <c r="IA48" s="958">
        <v>7.0000000000000001E-3</v>
      </c>
      <c r="IB48" s="958">
        <v>6.9999999999999999E-4</v>
      </c>
      <c r="IC48" s="958">
        <v>1.0999999999999999E-2</v>
      </c>
      <c r="ID48" s="958">
        <v>1</v>
      </c>
      <c r="IE48" s="958">
        <v>4.0000000000000002E-4</v>
      </c>
      <c r="IF48" s="958">
        <v>1E-4</v>
      </c>
      <c r="IG48" s="970">
        <v>2.1000000000000001E-2</v>
      </c>
      <c r="IH48" s="958">
        <v>6.9999999999999999E-4</v>
      </c>
      <c r="II48" s="958">
        <v>1.1000000000000001E-3</v>
      </c>
      <c r="IJ48" s="959">
        <v>1.2E-2</v>
      </c>
      <c r="IK48" s="958">
        <v>1E-4</v>
      </c>
      <c r="IL48" s="969"/>
      <c r="IM48" s="958"/>
      <c r="IN48" s="958">
        <v>1E-4</v>
      </c>
      <c r="IO48" s="864"/>
      <c r="IP48" s="864"/>
      <c r="IQ48" s="864"/>
      <c r="IR48" s="959"/>
      <c r="IS48" s="975">
        <v>3.0000000000000001E-5</v>
      </c>
      <c r="IT48" s="958">
        <f>IT47/3290.86917586</f>
        <v>1.9295814147156306E-3</v>
      </c>
      <c r="IU48" s="958">
        <v>3.6000000000000002E-4</v>
      </c>
      <c r="IV48" s="958">
        <v>8.0000000000000004E-4</v>
      </c>
      <c r="IW48" s="954">
        <f>IW47/3160.79*100</f>
        <v>0.15818830102600931</v>
      </c>
      <c r="IX48" s="955">
        <v>0.1</v>
      </c>
      <c r="IY48" s="954">
        <v>0.13</v>
      </c>
      <c r="IZ48" s="958">
        <f>IZ47/9746.6</f>
        <v>1.0259988098413806E-3</v>
      </c>
      <c r="JA48" s="958"/>
      <c r="JB48" s="958">
        <v>1.4E-3</v>
      </c>
      <c r="JC48" s="958">
        <v>4.0000000000000002E-4</v>
      </c>
      <c r="JD48" s="958">
        <v>1.1000000000000001E-3</v>
      </c>
      <c r="JE48" s="958">
        <f>66.9/3629.221</f>
        <v>1.8433707949998088E-2</v>
      </c>
      <c r="JF48" s="961">
        <v>4.7999999999999996E-3</v>
      </c>
      <c r="JG48" s="958">
        <v>0.2455</v>
      </c>
      <c r="JH48" s="958"/>
      <c r="JI48" s="958">
        <v>8.9999999999999998E-4</v>
      </c>
      <c r="JJ48" s="958">
        <v>8.9999999999999998E-4</v>
      </c>
      <c r="JK48" s="958"/>
      <c r="JL48" s="958"/>
      <c r="JM48" s="958"/>
      <c r="JN48" s="958"/>
      <c r="JO48" s="958">
        <v>0</v>
      </c>
      <c r="JP48" s="958">
        <v>5.8000000000000003E-2</v>
      </c>
      <c r="JQ48" s="961"/>
      <c r="JR48" s="958">
        <v>1.9E-3</v>
      </c>
      <c r="JS48" s="958"/>
      <c r="JT48" s="958">
        <f>JT47/11</f>
        <v>1.6909090909090908E-2</v>
      </c>
      <c r="JU48" s="958"/>
      <c r="JV48" s="958"/>
      <c r="JW48" s="958"/>
      <c r="JX48" s="958"/>
      <c r="JY48" s="958">
        <v>1.0500000000000001E-2</v>
      </c>
      <c r="JZ48" s="958">
        <v>1.54E-2</v>
      </c>
      <c r="KA48" s="958">
        <v>4.3900000000000002E-2</v>
      </c>
      <c r="KB48" s="958">
        <f>KB47/4652.554</f>
        <v>0</v>
      </c>
      <c r="KC48" s="958">
        <v>1.2E-4</v>
      </c>
      <c r="KD48" s="958"/>
      <c r="KE48" s="959">
        <f>KE47/175.731</f>
        <v>4.2678867132150845E-3</v>
      </c>
      <c r="KF48" s="959">
        <f>KF47/31.11956</f>
        <v>5.0546987168199045E-3</v>
      </c>
      <c r="KG48" s="959">
        <f>KG47/51.397</f>
        <v>1.1343074498511587E-3</v>
      </c>
      <c r="KH48" s="959">
        <f>KH47/29.9518</f>
        <v>4.9479497058607502E-3</v>
      </c>
      <c r="KI48" s="959">
        <f>KI47/30.028</f>
        <v>5.041960836552551E-3</v>
      </c>
      <c r="KJ48" s="959">
        <f>KJ47/30.775</f>
        <v>5.4622258326563772E-3</v>
      </c>
      <c r="KK48" s="959">
        <f>KK47/42.839843</f>
        <v>1.178809175374429E-3</v>
      </c>
      <c r="KL48" s="958">
        <v>1E-4</v>
      </c>
      <c r="KM48" s="864"/>
      <c r="KN48" s="864"/>
      <c r="KO48" s="864"/>
      <c r="KP48" s="864"/>
      <c r="KQ48" s="864"/>
      <c r="KR48" s="958">
        <f>KR47/15225.434</f>
        <v>3.2839786373248871E-4</v>
      </c>
      <c r="KS48" s="863" t="s">
        <v>5353</v>
      </c>
      <c r="KT48" s="958">
        <v>2.3300000000000001E-2</v>
      </c>
      <c r="KU48" s="864"/>
      <c r="KV48" s="958">
        <v>8.0000000000000004E-4</v>
      </c>
      <c r="KW48" s="958">
        <v>1.0723894025014588E-3</v>
      </c>
      <c r="KX48" s="958"/>
      <c r="KY48" s="858">
        <v>1.1000000000000001</v>
      </c>
      <c r="KZ48" s="958">
        <f>KZ47/6389.16</f>
        <v>1.940787208334116E-3</v>
      </c>
      <c r="LA48" s="958">
        <v>2.1600000000000001E-2</v>
      </c>
      <c r="LB48" s="958">
        <f>9.413/10739.331329</f>
        <v>8.7649777361664639E-4</v>
      </c>
      <c r="LC48" s="958"/>
      <c r="LD48" s="958"/>
      <c r="LE48" s="958"/>
      <c r="LF48" s="961">
        <v>1.0399999999999999E-3</v>
      </c>
      <c r="LG48" s="961">
        <v>5.4999999999999997E-3</v>
      </c>
      <c r="LH48" s="961">
        <v>1.6000000000000001E-3</v>
      </c>
      <c r="LI48" s="961">
        <v>4.0000000000000001E-3</v>
      </c>
      <c r="LJ48" s="961">
        <v>5.9999999999999995E-4</v>
      </c>
      <c r="LK48" s="961">
        <v>2E-3</v>
      </c>
      <c r="LL48" s="961">
        <v>3.8E-3</v>
      </c>
      <c r="LM48" s="961">
        <v>3.0000000000000001E-3</v>
      </c>
      <c r="LN48" s="961">
        <v>4.8999999999999998E-4</v>
      </c>
      <c r="LO48" s="949">
        <v>0.4</v>
      </c>
      <c r="LP48" s="961">
        <v>1.6999999999999999E-3</v>
      </c>
      <c r="LQ48" s="961">
        <v>2.5000000000000001E-3</v>
      </c>
      <c r="LR48" s="961">
        <f>LR47/12752</f>
        <v>2.9902760351317439E-3</v>
      </c>
      <c r="LS48" s="961"/>
      <c r="LT48" s="961"/>
      <c r="LU48" s="961"/>
      <c r="LV48" s="961"/>
      <c r="LW48" s="961"/>
      <c r="LX48" s="961"/>
      <c r="LY48" s="961"/>
    </row>
    <row r="49" spans="1:337" ht="252" x14ac:dyDescent="0.25">
      <c r="A49" s="1583" t="s">
        <v>17</v>
      </c>
      <c r="B49" s="1589" t="s">
        <v>275</v>
      </c>
      <c r="C49" s="331" t="s">
        <v>108</v>
      </c>
      <c r="D49" s="332" t="s">
        <v>194</v>
      </c>
      <c r="E49" s="833" t="s">
        <v>53</v>
      </c>
      <c r="F49" s="863"/>
      <c r="G49" s="863"/>
      <c r="H49" s="863"/>
      <c r="I49" s="864"/>
      <c r="J49" s="864"/>
      <c r="K49" s="864"/>
      <c r="L49" s="864"/>
      <c r="M49" s="864"/>
      <c r="N49" s="852">
        <f>113+68</f>
        <v>181</v>
      </c>
      <c r="O49" s="900" t="s">
        <v>5354</v>
      </c>
      <c r="P49" s="864"/>
      <c r="Q49" s="864"/>
      <c r="R49" s="864"/>
      <c r="S49" s="864"/>
      <c r="T49" s="864"/>
      <c r="U49" s="864"/>
      <c r="V49" s="980">
        <v>12</v>
      </c>
      <c r="W49" s="980">
        <v>15</v>
      </c>
      <c r="X49" s="980">
        <v>2</v>
      </c>
      <c r="Y49" s="980">
        <v>1</v>
      </c>
      <c r="Z49" s="980"/>
      <c r="AA49" s="864"/>
      <c r="AB49" s="864"/>
      <c r="AC49" s="864"/>
      <c r="AD49" s="864"/>
      <c r="AE49" s="864"/>
      <c r="AF49" s="864"/>
      <c r="AG49" s="864"/>
      <c r="AH49" s="864"/>
      <c r="AI49" s="864"/>
      <c r="AJ49" s="864"/>
      <c r="AK49" s="864"/>
      <c r="AL49" s="864"/>
      <c r="AM49" s="864"/>
      <c r="AN49" s="864"/>
      <c r="AO49" s="864"/>
      <c r="AP49" s="864"/>
      <c r="AQ49" s="864"/>
      <c r="AR49" s="864"/>
      <c r="AS49" s="864"/>
      <c r="AT49" s="864"/>
      <c r="AU49" s="864"/>
      <c r="AV49" s="980">
        <v>6</v>
      </c>
      <c r="AW49" s="980">
        <v>13</v>
      </c>
      <c r="AX49" s="864"/>
      <c r="AY49" s="864"/>
      <c r="AZ49" s="864"/>
      <c r="BA49" s="852" t="s">
        <v>558</v>
      </c>
      <c r="BB49" s="893">
        <v>5</v>
      </c>
      <c r="BC49" s="980">
        <v>5</v>
      </c>
      <c r="BD49" s="958"/>
      <c r="BE49" s="864"/>
      <c r="BF49" s="864"/>
      <c r="BG49" s="864"/>
      <c r="BH49" s="864"/>
      <c r="BI49" s="864"/>
      <c r="BJ49" s="864"/>
      <c r="BK49" s="864"/>
      <c r="BL49" s="864"/>
      <c r="BM49" s="864"/>
      <c r="BN49" s="864"/>
      <c r="BO49" s="864"/>
      <c r="BP49" s="864"/>
      <c r="BQ49" s="864"/>
      <c r="BR49" s="864"/>
      <c r="BS49" s="864"/>
      <c r="BT49" s="980">
        <v>212</v>
      </c>
      <c r="BU49" s="980">
        <v>2</v>
      </c>
      <c r="BV49" s="980">
        <v>1</v>
      </c>
      <c r="BW49" s="980">
        <v>1</v>
      </c>
      <c r="BX49" s="864"/>
      <c r="BY49" s="864"/>
      <c r="BZ49" s="864"/>
      <c r="CA49" s="864"/>
      <c r="CB49" s="864"/>
      <c r="CC49" s="998"/>
      <c r="CD49" s="864"/>
      <c r="CE49" s="864"/>
      <c r="CF49" s="864"/>
      <c r="CG49" s="864"/>
      <c r="CH49" s="864"/>
      <c r="CI49" s="864"/>
      <c r="CJ49" s="864"/>
      <c r="CK49" s="980">
        <v>2</v>
      </c>
      <c r="CL49" s="980">
        <v>28</v>
      </c>
      <c r="CM49" s="864"/>
      <c r="CN49" s="864"/>
      <c r="CO49" s="864"/>
      <c r="CP49" s="864"/>
      <c r="CQ49" s="864"/>
      <c r="CR49" s="864"/>
      <c r="CS49" s="864"/>
      <c r="CT49" s="864"/>
      <c r="CU49" s="864"/>
      <c r="CV49" s="864"/>
      <c r="CW49" s="864"/>
      <c r="CX49" s="864"/>
      <c r="CY49" s="864"/>
      <c r="CZ49" s="864"/>
      <c r="DA49" s="864"/>
      <c r="DB49" s="864"/>
      <c r="DC49" s="864"/>
      <c r="DD49" s="864"/>
      <c r="DE49" s="864"/>
      <c r="DF49" s="980">
        <v>2</v>
      </c>
      <c r="DG49" s="864"/>
      <c r="DH49" s="980" t="s">
        <v>5355</v>
      </c>
      <c r="DI49" s="980">
        <v>7</v>
      </c>
      <c r="DJ49" s="980">
        <v>3</v>
      </c>
      <c r="DK49" s="980"/>
      <c r="DL49" s="980">
        <v>6</v>
      </c>
      <c r="DM49" s="980"/>
      <c r="DN49" s="864"/>
      <c r="DO49" s="864"/>
      <c r="DP49" s="980">
        <v>1</v>
      </c>
      <c r="DQ49" s="864"/>
      <c r="DR49" s="864"/>
      <c r="DS49" s="864"/>
      <c r="DT49" s="864"/>
      <c r="DU49" s="864"/>
      <c r="DV49" s="864"/>
      <c r="DW49" s="864"/>
      <c r="DX49" s="864"/>
      <c r="DY49" s="864"/>
      <c r="DZ49" s="864"/>
      <c r="EA49" s="864"/>
      <c r="EB49" s="864"/>
      <c r="EC49" s="864"/>
      <c r="ED49" s="864"/>
      <c r="EE49" s="864"/>
      <c r="EF49" s="980">
        <v>1</v>
      </c>
      <c r="EG49" s="980">
        <v>1</v>
      </c>
      <c r="EH49" s="980">
        <v>19</v>
      </c>
      <c r="EI49" s="855">
        <v>1</v>
      </c>
      <c r="EJ49" s="999">
        <v>1</v>
      </c>
      <c r="EK49" s="999">
        <v>4</v>
      </c>
      <c r="EL49" s="999">
        <v>3</v>
      </c>
      <c r="EM49" s="999">
        <v>12</v>
      </c>
      <c r="EN49" s="999">
        <v>9</v>
      </c>
      <c r="EO49" s="999" t="s">
        <v>504</v>
      </c>
      <c r="EP49" s="999">
        <v>4</v>
      </c>
      <c r="EQ49" s="999">
        <v>4</v>
      </c>
      <c r="ER49" s="999">
        <v>3</v>
      </c>
      <c r="ES49" s="999">
        <v>3</v>
      </c>
      <c r="ET49" s="999"/>
      <c r="EU49" s="864"/>
      <c r="EV49" s="864"/>
      <c r="EW49" s="980">
        <v>67</v>
      </c>
      <c r="EX49" s="864"/>
      <c r="EY49" s="864"/>
      <c r="EZ49" s="864"/>
      <c r="FA49" s="864"/>
      <c r="FB49" s="864"/>
      <c r="FC49" s="864"/>
      <c r="FD49" s="864"/>
      <c r="FE49" s="980">
        <v>98</v>
      </c>
      <c r="FF49" s="864"/>
      <c r="FG49" s="864"/>
      <c r="FH49" s="864"/>
      <c r="FI49" s="864"/>
      <c r="FJ49" s="864"/>
      <c r="FK49" s="1000">
        <v>20</v>
      </c>
      <c r="FL49" s="980">
        <v>21</v>
      </c>
      <c r="FM49" s="980">
        <v>43</v>
      </c>
      <c r="FN49" s="980">
        <v>77</v>
      </c>
      <c r="FO49" s="980">
        <v>10</v>
      </c>
      <c r="FP49" s="980">
        <v>76</v>
      </c>
      <c r="FQ49" s="980">
        <v>23</v>
      </c>
      <c r="FR49" s="864"/>
      <c r="FS49" s="864"/>
      <c r="FT49" s="864"/>
      <c r="FU49" s="864"/>
      <c r="FV49" s="864"/>
      <c r="FW49" s="864"/>
      <c r="FX49" s="864"/>
      <c r="FY49" s="864"/>
      <c r="FZ49" s="864"/>
      <c r="GA49" s="980">
        <v>19</v>
      </c>
      <c r="GB49" s="980">
        <v>10</v>
      </c>
      <c r="GC49" s="980">
        <v>1</v>
      </c>
      <c r="GD49" s="980">
        <v>1</v>
      </c>
      <c r="GE49" s="980"/>
      <c r="GF49" s="980"/>
      <c r="GG49" s="980">
        <v>39</v>
      </c>
      <c r="GH49" s="864"/>
      <c r="GI49" s="864"/>
      <c r="GJ49" s="864"/>
      <c r="GK49" s="864"/>
      <c r="GL49" s="864"/>
      <c r="GM49" s="864"/>
      <c r="GN49" s="864"/>
      <c r="GO49" s="1001"/>
      <c r="GP49" s="1002">
        <v>12</v>
      </c>
      <c r="GQ49" s="1003">
        <v>9</v>
      </c>
      <c r="GR49" s="864"/>
      <c r="GS49" s="864"/>
      <c r="GT49" s="864"/>
      <c r="GU49" s="864"/>
      <c r="GV49" s="864"/>
      <c r="GW49" s="864"/>
      <c r="GX49" s="864"/>
      <c r="GY49" s="864"/>
      <c r="GZ49" s="864"/>
      <c r="HA49" s="864"/>
      <c r="HB49" s="864"/>
      <c r="HC49" s="864"/>
      <c r="HD49" s="864"/>
      <c r="HE49" s="980">
        <v>27</v>
      </c>
      <c r="HF49" s="980"/>
      <c r="HG49" s="864"/>
      <c r="HH49" s="999">
        <v>16</v>
      </c>
      <c r="HI49" s="980">
        <v>24</v>
      </c>
      <c r="HJ49" s="980">
        <v>2</v>
      </c>
      <c r="HK49" s="999">
        <v>2</v>
      </c>
      <c r="HL49" s="864"/>
      <c r="HM49" s="864"/>
      <c r="HN49" s="864"/>
      <c r="HO49" s="1004">
        <v>1</v>
      </c>
      <c r="HP49" s="980">
        <v>6</v>
      </c>
      <c r="HQ49" s="1000">
        <v>2</v>
      </c>
      <c r="HR49" s="998">
        <v>7</v>
      </c>
      <c r="HS49" s="1000">
        <v>5</v>
      </c>
      <c r="HT49" s="1000">
        <v>2</v>
      </c>
      <c r="HU49" s="1000">
        <v>2</v>
      </c>
      <c r="HV49" s="1000">
        <v>1</v>
      </c>
      <c r="HW49" s="1000">
        <v>2</v>
      </c>
      <c r="HX49" s="980">
        <v>7</v>
      </c>
      <c r="HY49" s="980">
        <v>2</v>
      </c>
      <c r="HZ49" s="980">
        <v>2</v>
      </c>
      <c r="IA49" s="980">
        <v>2</v>
      </c>
      <c r="IB49" s="980">
        <v>3</v>
      </c>
      <c r="IC49" s="980">
        <v>1</v>
      </c>
      <c r="ID49" s="980">
        <v>5</v>
      </c>
      <c r="IE49" s="1000">
        <v>3</v>
      </c>
      <c r="IF49" s="1000">
        <v>2</v>
      </c>
      <c r="IG49" s="998">
        <v>3</v>
      </c>
      <c r="IH49" s="980">
        <v>2</v>
      </c>
      <c r="II49" s="980">
        <v>7</v>
      </c>
      <c r="IJ49" s="998">
        <v>5</v>
      </c>
      <c r="IK49" s="1000">
        <v>2</v>
      </c>
      <c r="IL49" s="980" t="s">
        <v>504</v>
      </c>
      <c r="IM49" s="980">
        <v>1</v>
      </c>
      <c r="IN49" s="980" t="s">
        <v>504</v>
      </c>
      <c r="IO49" s="864"/>
      <c r="IP49" s="864"/>
      <c r="IQ49" s="864"/>
      <c r="IR49" s="998">
        <v>7</v>
      </c>
      <c r="IS49" s="980">
        <v>1</v>
      </c>
      <c r="IT49" s="980">
        <v>18</v>
      </c>
      <c r="IU49" s="980">
        <v>9</v>
      </c>
      <c r="IV49" s="980">
        <v>47</v>
      </c>
      <c r="IW49" s="980">
        <v>8</v>
      </c>
      <c r="IX49" s="999">
        <v>5</v>
      </c>
      <c r="IY49" s="980">
        <v>3</v>
      </c>
      <c r="IZ49" s="980">
        <v>23</v>
      </c>
      <c r="JA49" s="980">
        <v>15</v>
      </c>
      <c r="JB49" s="980">
        <v>49</v>
      </c>
      <c r="JC49" s="980">
        <v>2</v>
      </c>
      <c r="JD49" s="980">
        <v>7</v>
      </c>
      <c r="JE49" s="980">
        <v>29</v>
      </c>
      <c r="JF49" s="999">
        <v>36</v>
      </c>
      <c r="JG49" s="980">
        <v>3</v>
      </c>
      <c r="JH49" s="980">
        <v>3</v>
      </c>
      <c r="JI49" s="980">
        <v>10</v>
      </c>
      <c r="JJ49" s="980">
        <v>12</v>
      </c>
      <c r="JK49" s="980">
        <v>4</v>
      </c>
      <c r="JL49" s="980">
        <v>7</v>
      </c>
      <c r="JM49" s="980">
        <v>2</v>
      </c>
      <c r="JN49" s="980">
        <v>3</v>
      </c>
      <c r="JO49" s="980">
        <v>1</v>
      </c>
      <c r="JP49" s="980">
        <v>1</v>
      </c>
      <c r="JQ49" s="999">
        <v>2</v>
      </c>
      <c r="JR49" s="980"/>
      <c r="JS49" s="980">
        <v>4</v>
      </c>
      <c r="JT49" s="980">
        <v>32</v>
      </c>
      <c r="JU49" s="980"/>
      <c r="JV49" s="980">
        <v>1</v>
      </c>
      <c r="JW49" s="980">
        <v>6</v>
      </c>
      <c r="JX49" s="980">
        <v>3</v>
      </c>
      <c r="JY49" s="980">
        <v>4</v>
      </c>
      <c r="JZ49" s="980">
        <v>2</v>
      </c>
      <c r="KA49" s="980">
        <v>11</v>
      </c>
      <c r="KB49" s="980">
        <v>3</v>
      </c>
      <c r="KC49" s="980">
        <v>1</v>
      </c>
      <c r="KD49" s="980">
        <v>2</v>
      </c>
      <c r="KE49" s="1005">
        <v>6</v>
      </c>
      <c r="KF49" s="998">
        <v>1</v>
      </c>
      <c r="KG49" s="998">
        <v>2</v>
      </c>
      <c r="KH49" s="998">
        <v>2</v>
      </c>
      <c r="KI49" s="998">
        <v>1</v>
      </c>
      <c r="KJ49" s="998">
        <v>1</v>
      </c>
      <c r="KK49" s="998">
        <v>1</v>
      </c>
      <c r="KL49" s="980">
        <v>38</v>
      </c>
      <c r="KM49" s="864"/>
      <c r="KN49" s="864"/>
      <c r="KO49" s="864"/>
      <c r="KP49" s="864"/>
      <c r="KQ49" s="864"/>
      <c r="KR49" s="980">
        <v>23</v>
      </c>
      <c r="KS49" s="864"/>
      <c r="KT49" s="980"/>
      <c r="KU49" s="864"/>
      <c r="KV49" s="980">
        <v>10</v>
      </c>
      <c r="KW49" s="980">
        <v>18</v>
      </c>
      <c r="KX49" s="980">
        <v>54</v>
      </c>
      <c r="KY49" s="858">
        <v>28</v>
      </c>
      <c r="KZ49" s="980">
        <v>26</v>
      </c>
      <c r="LA49" s="980">
        <v>26</v>
      </c>
      <c r="LB49" s="980">
        <v>38</v>
      </c>
      <c r="LC49" s="980">
        <v>4</v>
      </c>
      <c r="LD49" s="980">
        <v>2</v>
      </c>
      <c r="LE49" s="980">
        <v>2</v>
      </c>
      <c r="LF49" s="999">
        <v>31</v>
      </c>
      <c r="LG49" s="999">
        <v>6</v>
      </c>
      <c r="LH49" s="999">
        <v>2</v>
      </c>
      <c r="LI49" s="999"/>
      <c r="LJ49" s="999">
        <v>2</v>
      </c>
      <c r="LK49" s="999">
        <v>3</v>
      </c>
      <c r="LL49" s="999">
        <v>1</v>
      </c>
      <c r="LM49" s="999">
        <v>3</v>
      </c>
      <c r="LN49" s="999">
        <v>29</v>
      </c>
      <c r="LO49" s="999">
        <v>1</v>
      </c>
      <c r="LP49" s="1006">
        <v>15</v>
      </c>
      <c r="LQ49" s="999">
        <v>43</v>
      </c>
      <c r="LR49" s="999">
        <f>61+32</f>
        <v>93</v>
      </c>
      <c r="LS49" s="999">
        <v>1</v>
      </c>
      <c r="LT49" s="999">
        <v>1</v>
      </c>
      <c r="LU49" s="999">
        <v>5</v>
      </c>
      <c r="LV49" s="999">
        <v>3</v>
      </c>
      <c r="LW49" s="999">
        <v>1</v>
      </c>
      <c r="LX49" s="999">
        <v>3</v>
      </c>
      <c r="LY49" s="999">
        <v>1</v>
      </c>
    </row>
    <row r="50" spans="1:337" ht="94.35" customHeight="1" x14ac:dyDescent="0.25">
      <c r="A50" s="1584"/>
      <c r="B50" s="1590"/>
      <c r="C50" s="353" t="s">
        <v>109</v>
      </c>
      <c r="D50" s="354" t="s">
        <v>195</v>
      </c>
      <c r="E50" s="840" t="s">
        <v>53</v>
      </c>
      <c r="F50" s="863"/>
      <c r="G50" s="863"/>
      <c r="H50" s="863"/>
      <c r="I50" s="864"/>
      <c r="J50" s="864"/>
      <c r="K50" s="864"/>
      <c r="L50" s="864"/>
      <c r="M50" s="864"/>
      <c r="N50" s="852">
        <f>20+22</f>
        <v>42</v>
      </c>
      <c r="O50" s="900" t="s">
        <v>5356</v>
      </c>
      <c r="P50" s="864"/>
      <c r="Q50" s="864"/>
      <c r="R50" s="864"/>
      <c r="S50" s="864"/>
      <c r="T50" s="864"/>
      <c r="U50" s="864"/>
      <c r="V50" s="980">
        <v>3</v>
      </c>
      <c r="W50" s="980">
        <v>4</v>
      </c>
      <c r="X50" s="980">
        <v>2</v>
      </c>
      <c r="Y50" s="980">
        <v>1</v>
      </c>
      <c r="Z50" s="980">
        <v>10</v>
      </c>
      <c r="AA50" s="864"/>
      <c r="AB50" s="864"/>
      <c r="AC50" s="864"/>
      <c r="AD50" s="864"/>
      <c r="AE50" s="864"/>
      <c r="AF50" s="864"/>
      <c r="AG50" s="864"/>
      <c r="AH50" s="864"/>
      <c r="AI50" s="864"/>
      <c r="AJ50" s="864"/>
      <c r="AK50" s="864"/>
      <c r="AL50" s="864"/>
      <c r="AM50" s="864"/>
      <c r="AN50" s="864"/>
      <c r="AO50" s="864"/>
      <c r="AP50" s="864"/>
      <c r="AQ50" s="864"/>
      <c r="AR50" s="864"/>
      <c r="AS50" s="864"/>
      <c r="AT50" s="864"/>
      <c r="AU50" s="864"/>
      <c r="AV50" s="980">
        <v>3</v>
      </c>
      <c r="AW50" s="980">
        <v>13</v>
      </c>
      <c r="AX50" s="864"/>
      <c r="AY50" s="864"/>
      <c r="AZ50" s="864"/>
      <c r="BA50" s="852">
        <v>12</v>
      </c>
      <c r="BB50" s="980">
        <v>1</v>
      </c>
      <c r="BC50" s="980">
        <v>5</v>
      </c>
      <c r="BD50" s="980">
        <v>6</v>
      </c>
      <c r="BE50" s="864"/>
      <c r="BF50" s="864"/>
      <c r="BG50" s="864"/>
      <c r="BH50" s="864"/>
      <c r="BI50" s="864"/>
      <c r="BJ50" s="864"/>
      <c r="BK50" s="864"/>
      <c r="BL50" s="864"/>
      <c r="BM50" s="864"/>
      <c r="BN50" s="864"/>
      <c r="BO50" s="864"/>
      <c r="BP50" s="864"/>
      <c r="BQ50" s="864"/>
      <c r="BR50" s="864"/>
      <c r="BS50" s="864"/>
      <c r="BT50" s="980">
        <v>212</v>
      </c>
      <c r="BU50" s="980">
        <v>2</v>
      </c>
      <c r="BV50" s="980">
        <v>1</v>
      </c>
      <c r="BW50" s="980">
        <v>1</v>
      </c>
      <c r="BX50" s="864"/>
      <c r="BY50" s="864"/>
      <c r="BZ50" s="864"/>
      <c r="CA50" s="864"/>
      <c r="CB50" s="864"/>
      <c r="CC50" s="998"/>
      <c r="CD50" s="864"/>
      <c r="CE50" s="864"/>
      <c r="CF50" s="864"/>
      <c r="CG50" s="864"/>
      <c r="CH50" s="864"/>
      <c r="CI50" s="864"/>
      <c r="CJ50" s="864"/>
      <c r="CK50" s="980">
        <v>2</v>
      </c>
      <c r="CL50" s="980">
        <v>8</v>
      </c>
      <c r="CM50" s="864"/>
      <c r="CN50" s="864"/>
      <c r="CO50" s="864"/>
      <c r="CP50" s="864"/>
      <c r="CQ50" s="864"/>
      <c r="CR50" s="864"/>
      <c r="CS50" s="864"/>
      <c r="CT50" s="864"/>
      <c r="CU50" s="864"/>
      <c r="CV50" s="864"/>
      <c r="CW50" s="864"/>
      <c r="CX50" s="864"/>
      <c r="CY50" s="864"/>
      <c r="CZ50" s="864"/>
      <c r="DA50" s="864"/>
      <c r="DB50" s="864"/>
      <c r="DC50" s="864"/>
      <c r="DD50" s="864"/>
      <c r="DE50" s="864"/>
      <c r="DF50" s="980">
        <v>1</v>
      </c>
      <c r="DG50" s="864"/>
      <c r="DH50" s="980">
        <v>10</v>
      </c>
      <c r="DI50" s="980"/>
      <c r="DJ50" s="980">
        <v>3</v>
      </c>
      <c r="DK50" s="980">
        <v>6</v>
      </c>
      <c r="DL50" s="980">
        <v>6</v>
      </c>
      <c r="DM50" s="980"/>
      <c r="DN50" s="864"/>
      <c r="DO50" s="864"/>
      <c r="DP50" s="980">
        <v>1</v>
      </c>
      <c r="DQ50" s="864"/>
      <c r="DR50" s="864"/>
      <c r="DS50" s="864"/>
      <c r="DT50" s="864"/>
      <c r="DU50" s="864"/>
      <c r="DV50" s="864"/>
      <c r="DW50" s="864"/>
      <c r="DX50" s="864"/>
      <c r="DY50" s="864"/>
      <c r="DZ50" s="864"/>
      <c r="EA50" s="864"/>
      <c r="EB50" s="864"/>
      <c r="EC50" s="864"/>
      <c r="ED50" s="864"/>
      <c r="EE50" s="864"/>
      <c r="EF50" s="980">
        <v>1</v>
      </c>
      <c r="EG50" s="980">
        <v>1</v>
      </c>
      <c r="EH50" s="980">
        <v>19</v>
      </c>
      <c r="EI50" s="855">
        <v>1</v>
      </c>
      <c r="EJ50" s="999">
        <v>1</v>
      </c>
      <c r="EK50" s="999">
        <v>4</v>
      </c>
      <c r="EL50" s="999">
        <v>3</v>
      </c>
      <c r="EM50" s="999">
        <v>6</v>
      </c>
      <c r="EN50" s="999">
        <v>5</v>
      </c>
      <c r="EO50" s="999">
        <v>2</v>
      </c>
      <c r="EP50" s="999">
        <v>2</v>
      </c>
      <c r="EQ50" s="999">
        <v>4</v>
      </c>
      <c r="ER50" s="999">
        <v>3</v>
      </c>
      <c r="ES50" s="999">
        <v>3</v>
      </c>
      <c r="ET50" s="999">
        <v>7</v>
      </c>
      <c r="EU50" s="864"/>
      <c r="EV50" s="864"/>
      <c r="EW50" s="980">
        <v>67</v>
      </c>
      <c r="EX50" s="864"/>
      <c r="EY50" s="864"/>
      <c r="EZ50" s="864"/>
      <c r="FA50" s="864"/>
      <c r="FB50" s="864"/>
      <c r="FC50" s="864"/>
      <c r="FD50" s="864"/>
      <c r="FE50" s="980">
        <v>5</v>
      </c>
      <c r="FF50" s="864"/>
      <c r="FG50" s="864"/>
      <c r="FH50" s="864"/>
      <c r="FI50" s="864"/>
      <c r="FJ50" s="864"/>
      <c r="FK50" s="1000">
        <v>20</v>
      </c>
      <c r="FL50" s="980">
        <v>21</v>
      </c>
      <c r="FM50" s="980">
        <v>43</v>
      </c>
      <c r="FN50" s="980">
        <v>77</v>
      </c>
      <c r="FO50" s="980">
        <v>10</v>
      </c>
      <c r="FP50" s="980">
        <v>76</v>
      </c>
      <c r="FQ50" s="980">
        <v>23</v>
      </c>
      <c r="FR50" s="864"/>
      <c r="FS50" s="864"/>
      <c r="FT50" s="864"/>
      <c r="FU50" s="864"/>
      <c r="FV50" s="864"/>
      <c r="FW50" s="864"/>
      <c r="FX50" s="864"/>
      <c r="FY50" s="864"/>
      <c r="FZ50" s="864"/>
      <c r="GA50" s="980">
        <v>19</v>
      </c>
      <c r="GB50" s="980">
        <v>10</v>
      </c>
      <c r="GC50" s="980">
        <v>1</v>
      </c>
      <c r="GD50" s="980">
        <v>1</v>
      </c>
      <c r="GE50" s="980"/>
      <c r="GF50" s="980"/>
      <c r="GG50" s="980">
        <v>39</v>
      </c>
      <c r="GH50" s="864"/>
      <c r="GI50" s="864"/>
      <c r="GJ50" s="864"/>
      <c r="GK50" s="864"/>
      <c r="GL50" s="864"/>
      <c r="GM50" s="864"/>
      <c r="GN50" s="864"/>
      <c r="GO50" s="1001">
        <v>40</v>
      </c>
      <c r="GP50" s="1002">
        <v>3</v>
      </c>
      <c r="GQ50" s="1003">
        <v>9</v>
      </c>
      <c r="GR50" s="864"/>
      <c r="GS50" s="864"/>
      <c r="GT50" s="864"/>
      <c r="GU50" s="864"/>
      <c r="GV50" s="864"/>
      <c r="GW50" s="864"/>
      <c r="GX50" s="864"/>
      <c r="GY50" s="864"/>
      <c r="GZ50" s="864"/>
      <c r="HA50" s="864"/>
      <c r="HB50" s="864"/>
      <c r="HC50" s="864"/>
      <c r="HD50" s="864"/>
      <c r="HE50" s="980">
        <v>14</v>
      </c>
      <c r="HF50" s="980"/>
      <c r="HG50" s="864"/>
      <c r="HH50" s="999">
        <v>16</v>
      </c>
      <c r="HI50" s="980">
        <v>23</v>
      </c>
      <c r="HJ50" s="980">
        <v>2</v>
      </c>
      <c r="HK50" s="999">
        <v>2</v>
      </c>
      <c r="HL50" s="864"/>
      <c r="HM50" s="864"/>
      <c r="HN50" s="864"/>
      <c r="HO50" s="1004">
        <v>1</v>
      </c>
      <c r="HP50" s="980">
        <v>2</v>
      </c>
      <c r="HQ50" s="1000">
        <v>2</v>
      </c>
      <c r="HR50" s="998">
        <v>1</v>
      </c>
      <c r="HS50" s="1000">
        <v>1</v>
      </c>
      <c r="HT50" s="1000">
        <v>2</v>
      </c>
      <c r="HU50" s="1000">
        <v>2</v>
      </c>
      <c r="HV50" s="1000">
        <v>1</v>
      </c>
      <c r="HW50" s="1000">
        <v>2</v>
      </c>
      <c r="HX50" s="980">
        <v>5</v>
      </c>
      <c r="HY50" s="980">
        <v>1</v>
      </c>
      <c r="HZ50" s="980">
        <v>1</v>
      </c>
      <c r="IA50" s="980">
        <v>1</v>
      </c>
      <c r="IB50" s="980">
        <v>3</v>
      </c>
      <c r="IC50" s="980">
        <v>1</v>
      </c>
      <c r="ID50" s="980">
        <v>5</v>
      </c>
      <c r="IE50" s="1000">
        <v>2</v>
      </c>
      <c r="IF50" s="1000">
        <v>2</v>
      </c>
      <c r="IG50" s="998">
        <v>3</v>
      </c>
      <c r="IH50" s="980">
        <v>2</v>
      </c>
      <c r="II50" s="980">
        <v>7</v>
      </c>
      <c r="IJ50" s="998">
        <v>5</v>
      </c>
      <c r="IK50" s="1000">
        <v>2</v>
      </c>
      <c r="IL50" s="980">
        <v>13</v>
      </c>
      <c r="IM50" s="980">
        <v>1</v>
      </c>
      <c r="IN50" s="980">
        <v>5</v>
      </c>
      <c r="IO50" s="864"/>
      <c r="IP50" s="864"/>
      <c r="IQ50" s="864"/>
      <c r="IR50" s="998">
        <v>3</v>
      </c>
      <c r="IS50" s="980">
        <v>1</v>
      </c>
      <c r="IT50" s="980">
        <v>8</v>
      </c>
      <c r="IU50" s="980">
        <v>9</v>
      </c>
      <c r="IV50" s="980">
        <v>44</v>
      </c>
      <c r="IW50" s="980">
        <v>8</v>
      </c>
      <c r="IX50" s="999">
        <v>4</v>
      </c>
      <c r="IY50" s="980">
        <v>3</v>
      </c>
      <c r="IZ50" s="980">
        <v>23</v>
      </c>
      <c r="JA50" s="980">
        <v>15</v>
      </c>
      <c r="JB50" s="980">
        <v>39</v>
      </c>
      <c r="JC50" s="980">
        <v>2</v>
      </c>
      <c r="JD50" s="980">
        <v>7</v>
      </c>
      <c r="JE50" s="980">
        <v>29</v>
      </c>
      <c r="JF50" s="999">
        <v>36</v>
      </c>
      <c r="JG50" s="980">
        <v>3</v>
      </c>
      <c r="JH50" s="980">
        <v>3</v>
      </c>
      <c r="JI50" s="980">
        <v>10</v>
      </c>
      <c r="JJ50" s="980">
        <v>12</v>
      </c>
      <c r="JK50" s="980">
        <v>4</v>
      </c>
      <c r="JL50" s="980">
        <v>7</v>
      </c>
      <c r="JM50" s="980">
        <v>1</v>
      </c>
      <c r="JN50" s="980">
        <v>3</v>
      </c>
      <c r="JO50" s="980">
        <v>1</v>
      </c>
      <c r="JP50" s="980">
        <v>1</v>
      </c>
      <c r="JQ50" s="999">
        <v>2</v>
      </c>
      <c r="JR50" s="980"/>
      <c r="JS50" s="980">
        <v>4</v>
      </c>
      <c r="JT50" s="980">
        <v>16</v>
      </c>
      <c r="JU50" s="980"/>
      <c r="JV50" s="980">
        <v>1</v>
      </c>
      <c r="JW50" s="980">
        <v>6</v>
      </c>
      <c r="JX50" s="980">
        <v>3</v>
      </c>
      <c r="JY50" s="980">
        <v>4</v>
      </c>
      <c r="JZ50" s="980">
        <v>2</v>
      </c>
      <c r="KA50" s="980">
        <v>5</v>
      </c>
      <c r="KB50" s="980">
        <v>3</v>
      </c>
      <c r="KC50" s="980">
        <v>1</v>
      </c>
      <c r="KD50" s="980">
        <v>2</v>
      </c>
      <c r="KE50" s="1005">
        <v>5</v>
      </c>
      <c r="KF50" s="998">
        <v>1</v>
      </c>
      <c r="KG50" s="998">
        <v>1</v>
      </c>
      <c r="KH50" s="998">
        <v>1</v>
      </c>
      <c r="KI50" s="998">
        <v>1</v>
      </c>
      <c r="KJ50" s="998">
        <v>1</v>
      </c>
      <c r="KK50" s="998">
        <v>1</v>
      </c>
      <c r="KL50" s="980">
        <v>6</v>
      </c>
      <c r="KM50" s="864"/>
      <c r="KN50" s="864"/>
      <c r="KO50" s="864"/>
      <c r="KP50" s="864"/>
      <c r="KQ50" s="864"/>
      <c r="KR50" s="980">
        <v>23</v>
      </c>
      <c r="KS50" s="864"/>
      <c r="KT50" s="980"/>
      <c r="KU50" s="864"/>
      <c r="KV50" s="980">
        <v>8</v>
      </c>
      <c r="KW50" s="980">
        <v>10</v>
      </c>
      <c r="KX50" s="980">
        <v>52</v>
      </c>
      <c r="KY50" s="858">
        <v>24</v>
      </c>
      <c r="KZ50" s="980">
        <v>26</v>
      </c>
      <c r="LA50" s="980">
        <v>26</v>
      </c>
      <c r="LB50" s="980">
        <v>2</v>
      </c>
      <c r="LC50" s="980">
        <v>2</v>
      </c>
      <c r="LD50" s="980">
        <v>1</v>
      </c>
      <c r="LE50" s="980">
        <v>2</v>
      </c>
      <c r="LF50" s="999">
        <v>29</v>
      </c>
      <c r="LG50" s="999">
        <v>6</v>
      </c>
      <c r="LH50" s="999">
        <v>2</v>
      </c>
      <c r="LI50" s="999"/>
      <c r="LJ50" s="999">
        <v>2</v>
      </c>
      <c r="LK50" s="999">
        <v>2</v>
      </c>
      <c r="LL50" s="999">
        <v>1</v>
      </c>
      <c r="LM50" s="999">
        <v>3</v>
      </c>
      <c r="LN50" s="999">
        <v>27</v>
      </c>
      <c r="LO50" s="999">
        <v>1</v>
      </c>
      <c r="LP50" s="1006">
        <v>15</v>
      </c>
      <c r="LQ50" s="999">
        <v>41</v>
      </c>
      <c r="LR50" s="999">
        <f>46+24</f>
        <v>70</v>
      </c>
      <c r="LS50" s="999">
        <v>1</v>
      </c>
      <c r="LT50" s="999">
        <v>1</v>
      </c>
      <c r="LU50" s="999">
        <v>5</v>
      </c>
      <c r="LV50" s="999">
        <v>3</v>
      </c>
      <c r="LW50" s="999">
        <v>1</v>
      </c>
      <c r="LX50" s="999">
        <v>3</v>
      </c>
      <c r="LY50" s="999">
        <v>1</v>
      </c>
    </row>
    <row r="51" spans="1:337" ht="142.5" thickBot="1" x14ac:dyDescent="0.3">
      <c r="A51" s="1585"/>
      <c r="B51" s="1591"/>
      <c r="C51" s="335" t="s">
        <v>110</v>
      </c>
      <c r="D51" s="336" t="s">
        <v>196</v>
      </c>
      <c r="E51" s="836" t="s">
        <v>53</v>
      </c>
      <c r="F51" s="863"/>
      <c r="G51" s="863"/>
      <c r="H51" s="863"/>
      <c r="I51" s="864"/>
      <c r="J51" s="864"/>
      <c r="K51" s="864"/>
      <c r="L51" s="864"/>
      <c r="M51" s="864"/>
      <c r="N51" s="852">
        <f>4+3</f>
        <v>7</v>
      </c>
      <c r="O51" s="900" t="s">
        <v>5357</v>
      </c>
      <c r="P51" s="864"/>
      <c r="Q51" s="864"/>
      <c r="R51" s="864"/>
      <c r="S51" s="864"/>
      <c r="T51" s="864"/>
      <c r="U51" s="864"/>
      <c r="V51" s="980">
        <v>3</v>
      </c>
      <c r="W51" s="980">
        <v>4</v>
      </c>
      <c r="X51" s="980">
        <v>1</v>
      </c>
      <c r="Y51" s="980">
        <v>1</v>
      </c>
      <c r="Z51" s="980">
        <v>10</v>
      </c>
      <c r="AA51" s="864"/>
      <c r="AB51" s="864"/>
      <c r="AC51" s="864"/>
      <c r="AD51" s="864"/>
      <c r="AE51" s="864"/>
      <c r="AF51" s="864"/>
      <c r="AG51" s="864"/>
      <c r="AH51" s="864"/>
      <c r="AI51" s="864"/>
      <c r="AJ51" s="864"/>
      <c r="AK51" s="864"/>
      <c r="AL51" s="864"/>
      <c r="AM51" s="864"/>
      <c r="AN51" s="864"/>
      <c r="AO51" s="864"/>
      <c r="AP51" s="864"/>
      <c r="AQ51" s="864"/>
      <c r="AR51" s="864"/>
      <c r="AS51" s="864"/>
      <c r="AT51" s="864"/>
      <c r="AU51" s="864"/>
      <c r="AV51" s="980">
        <v>3</v>
      </c>
      <c r="AW51" s="980">
        <v>10</v>
      </c>
      <c r="AX51" s="864"/>
      <c r="AY51" s="864"/>
      <c r="AZ51" s="864"/>
      <c r="BA51" s="852">
        <v>6</v>
      </c>
      <c r="BB51" s="980">
        <v>1</v>
      </c>
      <c r="BC51" s="980">
        <v>5</v>
      </c>
      <c r="BD51" s="980">
        <v>6</v>
      </c>
      <c r="BE51" s="864"/>
      <c r="BF51" s="864"/>
      <c r="BG51" s="864"/>
      <c r="BH51" s="864"/>
      <c r="BI51" s="864"/>
      <c r="BJ51" s="864"/>
      <c r="BK51" s="864"/>
      <c r="BL51" s="864"/>
      <c r="BM51" s="864"/>
      <c r="BN51" s="864"/>
      <c r="BO51" s="864"/>
      <c r="BP51" s="864"/>
      <c r="BQ51" s="864"/>
      <c r="BR51" s="864"/>
      <c r="BS51" s="864"/>
      <c r="BT51" s="980">
        <v>212</v>
      </c>
      <c r="BU51" s="980">
        <v>2</v>
      </c>
      <c r="BV51" s="980">
        <v>1</v>
      </c>
      <c r="BW51" s="980">
        <v>1</v>
      </c>
      <c r="BX51" s="864"/>
      <c r="BY51" s="864"/>
      <c r="BZ51" s="864"/>
      <c r="CA51" s="864"/>
      <c r="CB51" s="864"/>
      <c r="CC51" s="998"/>
      <c r="CD51" s="864"/>
      <c r="CE51" s="864"/>
      <c r="CF51" s="864"/>
      <c r="CG51" s="864"/>
      <c r="CH51" s="864"/>
      <c r="CI51" s="864"/>
      <c r="CJ51" s="864"/>
      <c r="CK51" s="980">
        <v>1</v>
      </c>
      <c r="CL51" s="980">
        <v>8</v>
      </c>
      <c r="CM51" s="864"/>
      <c r="CN51" s="864"/>
      <c r="CO51" s="864"/>
      <c r="CP51" s="864"/>
      <c r="CQ51" s="864"/>
      <c r="CR51" s="864"/>
      <c r="CS51" s="864"/>
      <c r="CT51" s="864"/>
      <c r="CU51" s="864"/>
      <c r="CV51" s="864"/>
      <c r="CW51" s="864"/>
      <c r="CX51" s="864"/>
      <c r="CY51" s="864"/>
      <c r="CZ51" s="864"/>
      <c r="DA51" s="864"/>
      <c r="DB51" s="864"/>
      <c r="DC51" s="864"/>
      <c r="DD51" s="864"/>
      <c r="DE51" s="864"/>
      <c r="DF51" s="980">
        <v>1</v>
      </c>
      <c r="DG51" s="864"/>
      <c r="DH51" s="980">
        <v>3</v>
      </c>
      <c r="DI51" s="980">
        <v>3</v>
      </c>
      <c r="DJ51" s="980">
        <v>3</v>
      </c>
      <c r="DK51" s="980">
        <v>2</v>
      </c>
      <c r="DL51" s="980">
        <v>3</v>
      </c>
      <c r="DM51" s="980"/>
      <c r="DN51" s="864"/>
      <c r="DO51" s="864"/>
      <c r="DP51" s="980">
        <v>1</v>
      </c>
      <c r="DQ51" s="864"/>
      <c r="DR51" s="864"/>
      <c r="DS51" s="864"/>
      <c r="DT51" s="864"/>
      <c r="DU51" s="864"/>
      <c r="DV51" s="864"/>
      <c r="DW51" s="864"/>
      <c r="DX51" s="864"/>
      <c r="DY51" s="864"/>
      <c r="DZ51" s="864"/>
      <c r="EA51" s="864"/>
      <c r="EB51" s="864"/>
      <c r="EC51" s="864"/>
      <c r="ED51" s="864"/>
      <c r="EE51" s="864"/>
      <c r="EF51" s="980">
        <v>1</v>
      </c>
      <c r="EG51" s="980">
        <v>1</v>
      </c>
      <c r="EH51" s="980">
        <v>2</v>
      </c>
      <c r="EI51" s="855">
        <v>1</v>
      </c>
      <c r="EJ51" s="999">
        <v>1</v>
      </c>
      <c r="EK51" s="999">
        <v>4</v>
      </c>
      <c r="EL51" s="999">
        <v>3</v>
      </c>
      <c r="EM51" s="999">
        <v>6</v>
      </c>
      <c r="EN51" s="999">
        <v>5</v>
      </c>
      <c r="EO51" s="999">
        <v>2</v>
      </c>
      <c r="EP51" s="999"/>
      <c r="EQ51" s="999">
        <v>4</v>
      </c>
      <c r="ER51" s="999">
        <v>1</v>
      </c>
      <c r="ES51" s="999">
        <v>1</v>
      </c>
      <c r="ET51" s="999">
        <v>5</v>
      </c>
      <c r="EU51" s="864"/>
      <c r="EV51" s="864"/>
      <c r="EW51" s="980">
        <v>46</v>
      </c>
      <c r="EX51" s="864"/>
      <c r="EY51" s="864"/>
      <c r="EZ51" s="864"/>
      <c r="FA51" s="864"/>
      <c r="FB51" s="864"/>
      <c r="FC51" s="864"/>
      <c r="FD51" s="864"/>
      <c r="FE51" s="980">
        <v>5</v>
      </c>
      <c r="FF51" s="864"/>
      <c r="FG51" s="864"/>
      <c r="FH51" s="864"/>
      <c r="FI51" s="864"/>
      <c r="FJ51" s="864"/>
      <c r="FK51" s="1000">
        <v>15</v>
      </c>
      <c r="FL51" s="980">
        <v>13</v>
      </c>
      <c r="FM51" s="980">
        <v>8</v>
      </c>
      <c r="FN51" s="980">
        <v>19</v>
      </c>
      <c r="FO51" s="980">
        <v>5</v>
      </c>
      <c r="FP51" s="980">
        <v>51</v>
      </c>
      <c r="FQ51" s="980">
        <v>3</v>
      </c>
      <c r="FR51" s="864"/>
      <c r="FS51" s="864"/>
      <c r="FT51" s="864"/>
      <c r="FU51" s="864"/>
      <c r="FV51" s="864"/>
      <c r="FW51" s="864"/>
      <c r="FX51" s="864"/>
      <c r="FY51" s="864"/>
      <c r="FZ51" s="864"/>
      <c r="GA51" s="980">
        <v>12</v>
      </c>
      <c r="GB51" s="980">
        <v>1</v>
      </c>
      <c r="GC51" s="980">
        <v>1</v>
      </c>
      <c r="GD51" s="980">
        <v>1</v>
      </c>
      <c r="GE51" s="980">
        <v>13</v>
      </c>
      <c r="GF51" s="980"/>
      <c r="GG51" s="980">
        <v>32</v>
      </c>
      <c r="GH51" s="864"/>
      <c r="GI51" s="864"/>
      <c r="GJ51" s="864"/>
      <c r="GK51" s="864"/>
      <c r="GL51" s="864"/>
      <c r="GM51" s="864"/>
      <c r="GN51" s="864"/>
      <c r="GO51" s="1001"/>
      <c r="GP51" s="1002">
        <v>3</v>
      </c>
      <c r="GQ51" s="1003">
        <v>9</v>
      </c>
      <c r="GR51" s="864"/>
      <c r="GS51" s="864"/>
      <c r="GT51" s="864"/>
      <c r="GU51" s="864"/>
      <c r="GV51" s="864"/>
      <c r="GW51" s="864"/>
      <c r="GX51" s="864"/>
      <c r="GY51" s="864"/>
      <c r="GZ51" s="864"/>
      <c r="HA51" s="864"/>
      <c r="HB51" s="864"/>
      <c r="HC51" s="864"/>
      <c r="HD51" s="864"/>
      <c r="HE51" s="980">
        <v>10</v>
      </c>
      <c r="HF51" s="980"/>
      <c r="HG51" s="864"/>
      <c r="HH51" s="999">
        <v>14</v>
      </c>
      <c r="HI51" s="980">
        <v>23</v>
      </c>
      <c r="HJ51" s="980">
        <v>2</v>
      </c>
      <c r="HK51" s="999">
        <v>2</v>
      </c>
      <c r="HL51" s="864"/>
      <c r="HM51" s="864"/>
      <c r="HN51" s="864"/>
      <c r="HO51" s="1004">
        <v>1</v>
      </c>
      <c r="HP51" s="980">
        <v>2</v>
      </c>
      <c r="HQ51" s="1000">
        <v>1</v>
      </c>
      <c r="HR51" s="998">
        <v>1</v>
      </c>
      <c r="HS51" s="1000">
        <v>1</v>
      </c>
      <c r="HT51" s="1000">
        <v>1</v>
      </c>
      <c r="HU51" s="1000">
        <v>1</v>
      </c>
      <c r="HV51" s="1000">
        <v>1</v>
      </c>
      <c r="HW51" s="1000">
        <v>1</v>
      </c>
      <c r="HX51" s="980">
        <v>1</v>
      </c>
      <c r="HY51" s="980">
        <v>1</v>
      </c>
      <c r="HZ51" s="980">
        <v>1</v>
      </c>
      <c r="IA51" s="980">
        <v>1</v>
      </c>
      <c r="IB51" s="980">
        <v>1</v>
      </c>
      <c r="IC51" s="980">
        <v>1</v>
      </c>
      <c r="ID51" s="980">
        <v>1</v>
      </c>
      <c r="IE51" s="1000">
        <v>2</v>
      </c>
      <c r="IF51" s="1000">
        <v>1</v>
      </c>
      <c r="IG51" s="998">
        <v>3</v>
      </c>
      <c r="IH51" s="980">
        <v>2</v>
      </c>
      <c r="II51" s="980">
        <v>4</v>
      </c>
      <c r="IJ51" s="998">
        <v>1</v>
      </c>
      <c r="IK51" s="1000">
        <v>1</v>
      </c>
      <c r="IL51" s="980">
        <v>8</v>
      </c>
      <c r="IM51" s="980">
        <v>1</v>
      </c>
      <c r="IN51" s="980">
        <v>4</v>
      </c>
      <c r="IO51" s="864"/>
      <c r="IP51" s="864"/>
      <c r="IQ51" s="864"/>
      <c r="IR51" s="998">
        <v>2</v>
      </c>
      <c r="IS51" s="980">
        <v>1</v>
      </c>
      <c r="IT51" s="980">
        <v>8</v>
      </c>
      <c r="IU51" s="980">
        <v>7</v>
      </c>
      <c r="IV51" s="980">
        <v>7</v>
      </c>
      <c r="IW51" s="980">
        <v>8</v>
      </c>
      <c r="IX51" s="999">
        <v>4</v>
      </c>
      <c r="IY51" s="980">
        <v>2</v>
      </c>
      <c r="IZ51" s="980">
        <v>12</v>
      </c>
      <c r="JA51" s="980">
        <v>11</v>
      </c>
      <c r="JB51" s="980">
        <v>12</v>
      </c>
      <c r="JC51" s="980">
        <v>0</v>
      </c>
      <c r="JD51" s="980">
        <v>7</v>
      </c>
      <c r="JE51" s="980">
        <v>28</v>
      </c>
      <c r="JF51" s="999">
        <v>22</v>
      </c>
      <c r="JG51" s="980">
        <v>3</v>
      </c>
      <c r="JH51" s="980">
        <v>2</v>
      </c>
      <c r="JI51" s="980">
        <v>10</v>
      </c>
      <c r="JJ51" s="980">
        <v>10</v>
      </c>
      <c r="JK51" s="980">
        <v>0</v>
      </c>
      <c r="JL51" s="980">
        <v>7</v>
      </c>
      <c r="JM51" s="980">
        <v>1</v>
      </c>
      <c r="JN51" s="980">
        <v>2</v>
      </c>
      <c r="JO51" s="980">
        <v>1</v>
      </c>
      <c r="JP51" s="980">
        <v>1</v>
      </c>
      <c r="JQ51" s="999">
        <v>2</v>
      </c>
      <c r="JR51" s="980"/>
      <c r="JS51" s="980">
        <v>4</v>
      </c>
      <c r="JT51" s="980">
        <v>8</v>
      </c>
      <c r="JU51" s="980"/>
      <c r="JV51" s="980">
        <v>1</v>
      </c>
      <c r="JW51" s="980">
        <v>5</v>
      </c>
      <c r="JX51" s="980">
        <v>1</v>
      </c>
      <c r="JY51" s="980">
        <v>3</v>
      </c>
      <c r="JZ51" s="980">
        <v>2</v>
      </c>
      <c r="KA51" s="980">
        <v>5</v>
      </c>
      <c r="KB51" s="980">
        <v>3</v>
      </c>
      <c r="KC51" s="980">
        <v>1</v>
      </c>
      <c r="KD51" s="980">
        <v>2</v>
      </c>
      <c r="KE51" s="998">
        <v>5</v>
      </c>
      <c r="KF51" s="998">
        <v>1</v>
      </c>
      <c r="KG51" s="998">
        <v>1</v>
      </c>
      <c r="KH51" s="998">
        <v>1</v>
      </c>
      <c r="KI51" s="998">
        <v>1</v>
      </c>
      <c r="KJ51" s="998">
        <v>1</v>
      </c>
      <c r="KK51" s="998">
        <v>1</v>
      </c>
      <c r="KL51" s="980">
        <v>1</v>
      </c>
      <c r="KM51" s="864"/>
      <c r="KN51" s="864"/>
      <c r="KO51" s="864"/>
      <c r="KP51" s="864"/>
      <c r="KQ51" s="864"/>
      <c r="KR51" s="980">
        <v>23</v>
      </c>
      <c r="KS51" s="864"/>
      <c r="KT51" s="980"/>
      <c r="KU51" s="864"/>
      <c r="KV51" s="980">
        <v>8</v>
      </c>
      <c r="KW51" s="980">
        <v>10</v>
      </c>
      <c r="KX51" s="980">
        <v>17</v>
      </c>
      <c r="KY51" s="858">
        <v>19</v>
      </c>
      <c r="KZ51" s="980">
        <v>22</v>
      </c>
      <c r="LA51" s="980">
        <v>26</v>
      </c>
      <c r="LB51" s="980">
        <v>2</v>
      </c>
      <c r="LC51" s="980">
        <v>2</v>
      </c>
      <c r="LD51" s="980">
        <v>1</v>
      </c>
      <c r="LE51" s="980">
        <v>2</v>
      </c>
      <c r="LF51" s="999">
        <v>13</v>
      </c>
      <c r="LG51" s="999">
        <v>1</v>
      </c>
      <c r="LH51" s="999">
        <v>1</v>
      </c>
      <c r="LI51" s="999"/>
      <c r="LJ51" s="999">
        <v>2</v>
      </c>
      <c r="LK51" s="999">
        <v>2</v>
      </c>
      <c r="LL51" s="999">
        <v>1</v>
      </c>
      <c r="LM51" s="999">
        <v>1</v>
      </c>
      <c r="LN51" s="999">
        <v>16</v>
      </c>
      <c r="LO51" s="999">
        <v>1</v>
      </c>
      <c r="LP51" s="1006">
        <v>12</v>
      </c>
      <c r="LQ51" s="999">
        <v>8</v>
      </c>
      <c r="LR51" s="999">
        <f>38+19</f>
        <v>57</v>
      </c>
      <c r="LS51" s="999">
        <v>1</v>
      </c>
      <c r="LT51" s="999">
        <v>1</v>
      </c>
      <c r="LU51" s="999">
        <v>5</v>
      </c>
      <c r="LV51" s="999">
        <v>3</v>
      </c>
      <c r="LW51" s="999">
        <v>1</v>
      </c>
      <c r="LX51" s="999">
        <v>3</v>
      </c>
      <c r="LY51" s="999">
        <v>1</v>
      </c>
    </row>
    <row r="52" spans="1:337" ht="33.75" customHeight="1" x14ac:dyDescent="0.25">
      <c r="A52" s="1583" t="s">
        <v>18</v>
      </c>
      <c r="B52" s="1616" t="s">
        <v>276</v>
      </c>
      <c r="C52" s="346" t="s">
        <v>111</v>
      </c>
      <c r="D52" s="347" t="s">
        <v>19</v>
      </c>
      <c r="E52" s="843" t="s">
        <v>53</v>
      </c>
      <c r="F52" s="863"/>
      <c r="G52" s="863"/>
      <c r="H52" s="863"/>
      <c r="I52" s="864"/>
      <c r="J52" s="864"/>
      <c r="K52" s="864"/>
      <c r="L52" s="864"/>
      <c r="M52" s="864"/>
      <c r="N52" s="852"/>
      <c r="O52" s="864"/>
      <c r="P52" s="864"/>
      <c r="Q52" s="864"/>
      <c r="R52" s="864"/>
      <c r="S52" s="864"/>
      <c r="T52" s="864"/>
      <c r="U52" s="864"/>
      <c r="V52" s="980"/>
      <c r="W52" s="980">
        <v>2</v>
      </c>
      <c r="X52" s="980"/>
      <c r="Y52" s="980"/>
      <c r="Z52" s="980">
        <v>1</v>
      </c>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980"/>
      <c r="AW52" s="980"/>
      <c r="AX52" s="864"/>
      <c r="AY52" s="864"/>
      <c r="AZ52" s="864"/>
      <c r="BA52" s="852"/>
      <c r="BB52" s="980"/>
      <c r="BC52" s="980">
        <v>5</v>
      </c>
      <c r="BD52" s="980"/>
      <c r="BE52" s="864"/>
      <c r="BF52" s="864"/>
      <c r="BG52" s="864"/>
      <c r="BH52" s="864"/>
      <c r="BI52" s="864"/>
      <c r="BJ52" s="864"/>
      <c r="BK52" s="864"/>
      <c r="BL52" s="864"/>
      <c r="BM52" s="864"/>
      <c r="BN52" s="864"/>
      <c r="BO52" s="864"/>
      <c r="BP52" s="864"/>
      <c r="BQ52" s="864"/>
      <c r="BR52" s="864"/>
      <c r="BS52" s="864"/>
      <c r="BT52" s="980">
        <v>1</v>
      </c>
      <c r="BU52" s="980"/>
      <c r="BV52" s="980"/>
      <c r="BW52" s="980"/>
      <c r="BX52" s="864"/>
      <c r="BY52" s="864"/>
      <c r="BZ52" s="864"/>
      <c r="CA52" s="864"/>
      <c r="CB52" s="864"/>
      <c r="CC52" s="998"/>
      <c r="CD52" s="864"/>
      <c r="CE52" s="864"/>
      <c r="CF52" s="864"/>
      <c r="CG52" s="864"/>
      <c r="CH52" s="864"/>
      <c r="CI52" s="864"/>
      <c r="CJ52" s="864"/>
      <c r="CK52" s="980"/>
      <c r="CL52" s="980"/>
      <c r="CM52" s="864"/>
      <c r="CN52" s="864"/>
      <c r="CO52" s="864"/>
      <c r="CP52" s="864"/>
      <c r="CQ52" s="864"/>
      <c r="CR52" s="864"/>
      <c r="CS52" s="864"/>
      <c r="CT52" s="864"/>
      <c r="CU52" s="864"/>
      <c r="CV52" s="864"/>
      <c r="CW52" s="864"/>
      <c r="CX52" s="864"/>
      <c r="CY52" s="864"/>
      <c r="CZ52" s="864"/>
      <c r="DA52" s="864"/>
      <c r="DB52" s="864"/>
      <c r="DC52" s="864"/>
      <c r="DD52" s="864"/>
      <c r="DE52" s="864"/>
      <c r="DF52" s="980"/>
      <c r="DG52" s="864"/>
      <c r="DH52" s="980"/>
      <c r="DI52" s="980"/>
      <c r="DJ52" s="980"/>
      <c r="DK52" s="980"/>
      <c r="DL52" s="980"/>
      <c r="DM52" s="980"/>
      <c r="DN52" s="864"/>
      <c r="DO52" s="864"/>
      <c r="DP52" s="980"/>
      <c r="DQ52" s="864"/>
      <c r="DR52" s="864"/>
      <c r="DS52" s="864"/>
      <c r="DT52" s="864"/>
      <c r="DU52" s="864"/>
      <c r="DV52" s="864"/>
      <c r="DW52" s="864"/>
      <c r="DX52" s="864"/>
      <c r="DY52" s="864"/>
      <c r="DZ52" s="864"/>
      <c r="EA52" s="864"/>
      <c r="EB52" s="864"/>
      <c r="EC52" s="864"/>
      <c r="ED52" s="864"/>
      <c r="EE52" s="864"/>
      <c r="EF52" s="980"/>
      <c r="EG52" s="980"/>
      <c r="EH52" s="980"/>
      <c r="EI52" s="855"/>
      <c r="EJ52" s="999"/>
      <c r="EK52" s="999"/>
      <c r="EL52" s="999"/>
      <c r="EM52" s="999"/>
      <c r="EN52" s="999"/>
      <c r="EO52" s="999">
        <v>1</v>
      </c>
      <c r="EP52" s="999"/>
      <c r="EQ52" s="999"/>
      <c r="ER52" s="999"/>
      <c r="ES52" s="999">
        <v>1</v>
      </c>
      <c r="ET52" s="999"/>
      <c r="EU52" s="864"/>
      <c r="EV52" s="864"/>
      <c r="EW52" s="980">
        <v>3</v>
      </c>
      <c r="EX52" s="864"/>
      <c r="EY52" s="864"/>
      <c r="EZ52" s="864"/>
      <c r="FA52" s="864"/>
      <c r="FB52" s="864"/>
      <c r="FC52" s="864"/>
      <c r="FD52" s="864"/>
      <c r="FE52" s="980">
        <v>2</v>
      </c>
      <c r="FF52" s="864"/>
      <c r="FG52" s="864"/>
      <c r="FH52" s="864"/>
      <c r="FI52" s="864"/>
      <c r="FJ52" s="864"/>
      <c r="FK52" s="1000"/>
      <c r="FL52" s="980"/>
      <c r="FM52" s="980"/>
      <c r="FN52" s="980"/>
      <c r="FO52" s="980"/>
      <c r="FP52" s="980"/>
      <c r="FQ52" s="980"/>
      <c r="FR52" s="864"/>
      <c r="FS52" s="864"/>
      <c r="FT52" s="864"/>
      <c r="FU52" s="864"/>
      <c r="FV52" s="864"/>
      <c r="FW52" s="864"/>
      <c r="FX52" s="864"/>
      <c r="FY52" s="864"/>
      <c r="FZ52" s="864"/>
      <c r="GA52" s="980"/>
      <c r="GB52" s="980"/>
      <c r="GC52" s="980"/>
      <c r="GD52" s="980"/>
      <c r="GE52" s="980"/>
      <c r="GF52" s="980"/>
      <c r="GG52" s="980"/>
      <c r="GH52" s="864"/>
      <c r="GI52" s="864"/>
      <c r="GJ52" s="864"/>
      <c r="GK52" s="864"/>
      <c r="GL52" s="864"/>
      <c r="GM52" s="864"/>
      <c r="GN52" s="864"/>
      <c r="GO52" s="1001">
        <v>1</v>
      </c>
      <c r="GP52" s="1002"/>
      <c r="GQ52" s="867"/>
      <c r="GR52" s="864"/>
      <c r="GS52" s="864"/>
      <c r="GT52" s="864"/>
      <c r="GU52" s="864"/>
      <c r="GV52" s="864"/>
      <c r="GW52" s="864"/>
      <c r="GX52" s="864"/>
      <c r="GY52" s="864"/>
      <c r="GZ52" s="864"/>
      <c r="HA52" s="864"/>
      <c r="HB52" s="864"/>
      <c r="HC52" s="864"/>
      <c r="HD52" s="864"/>
      <c r="HE52" s="980"/>
      <c r="HF52" s="980"/>
      <c r="HG52" s="864"/>
      <c r="HH52" s="999"/>
      <c r="HI52" s="980"/>
      <c r="HJ52" s="980"/>
      <c r="HK52" s="999"/>
      <c r="HL52" s="864"/>
      <c r="HM52" s="864"/>
      <c r="HN52" s="864"/>
      <c r="HO52" s="1004"/>
      <c r="HP52" s="980"/>
      <c r="HQ52" s="980"/>
      <c r="HR52" s="998"/>
      <c r="HS52" s="980"/>
      <c r="HT52" s="980"/>
      <c r="HU52" s="980"/>
      <c r="HV52" s="1000"/>
      <c r="HW52" s="980"/>
      <c r="HX52" s="980"/>
      <c r="HY52" s="980"/>
      <c r="HZ52" s="980"/>
      <c r="IA52" s="980"/>
      <c r="IB52" s="980"/>
      <c r="IC52" s="980"/>
      <c r="ID52" s="980"/>
      <c r="IE52" s="980"/>
      <c r="IF52" s="980"/>
      <c r="IG52" s="998"/>
      <c r="IH52" s="980"/>
      <c r="II52" s="980"/>
      <c r="IJ52" s="998"/>
      <c r="IK52" s="980"/>
      <c r="IL52" s="980"/>
      <c r="IM52" s="980"/>
      <c r="IN52" s="980"/>
      <c r="IO52" s="864"/>
      <c r="IP52" s="864"/>
      <c r="IQ52" s="864"/>
      <c r="IR52" s="998"/>
      <c r="IS52" s="980"/>
      <c r="IT52" s="980"/>
      <c r="IU52" s="980"/>
      <c r="IV52" s="980"/>
      <c r="IW52" s="980"/>
      <c r="IX52" s="999"/>
      <c r="IY52" s="980"/>
      <c r="IZ52" s="980"/>
      <c r="JA52" s="980"/>
      <c r="JB52" s="980"/>
      <c r="JC52" s="980"/>
      <c r="JD52" s="980"/>
      <c r="JE52" s="980"/>
      <c r="JF52" s="999"/>
      <c r="JG52" s="980"/>
      <c r="JH52" s="980"/>
      <c r="JI52" s="980"/>
      <c r="JJ52" s="980"/>
      <c r="JK52" s="980"/>
      <c r="JL52" s="980"/>
      <c r="JM52" s="980"/>
      <c r="JN52" s="980"/>
      <c r="JO52" s="980"/>
      <c r="JP52" s="980"/>
      <c r="JQ52" s="999"/>
      <c r="JR52" s="980"/>
      <c r="JS52" s="980"/>
      <c r="JT52" s="980"/>
      <c r="JU52" s="980"/>
      <c r="JV52" s="980"/>
      <c r="JW52" s="980"/>
      <c r="JX52" s="980"/>
      <c r="JY52" s="980"/>
      <c r="JZ52" s="980"/>
      <c r="KA52" s="980"/>
      <c r="KB52" s="980"/>
      <c r="KC52" s="980"/>
      <c r="KD52" s="980"/>
      <c r="KE52" s="998"/>
      <c r="KF52" s="998"/>
      <c r="KG52" s="998"/>
      <c r="KH52" s="998"/>
      <c r="KI52" s="998">
        <v>0</v>
      </c>
      <c r="KJ52" s="998"/>
      <c r="KK52" s="998"/>
      <c r="KL52" s="980"/>
      <c r="KM52" s="864"/>
      <c r="KN52" s="864"/>
      <c r="KO52" s="864"/>
      <c r="KP52" s="864"/>
      <c r="KQ52" s="864"/>
      <c r="KR52" s="980"/>
      <c r="KS52" s="864"/>
      <c r="KT52" s="980"/>
      <c r="KU52" s="864"/>
      <c r="KV52" s="980">
        <v>1</v>
      </c>
      <c r="KW52" s="980"/>
      <c r="KX52" s="980"/>
      <c r="KY52" s="858"/>
      <c r="KZ52" s="980"/>
      <c r="LA52" s="980">
        <v>1</v>
      </c>
      <c r="LB52" s="980"/>
      <c r="LC52" s="980"/>
      <c r="LD52" s="980"/>
      <c r="LE52" s="980"/>
      <c r="LF52" s="999"/>
      <c r="LG52" s="999"/>
      <c r="LH52" s="999"/>
      <c r="LI52" s="999"/>
      <c r="LJ52" s="999"/>
      <c r="LK52" s="999"/>
      <c r="LL52" s="999"/>
      <c r="LM52" s="999"/>
      <c r="LN52" s="999"/>
      <c r="LO52" s="999"/>
      <c r="LP52" s="999"/>
      <c r="LQ52" s="999"/>
      <c r="LR52" s="999"/>
      <c r="LS52" s="999"/>
      <c r="LT52" s="999"/>
      <c r="LU52" s="999"/>
      <c r="LV52" s="999"/>
      <c r="LW52" s="999"/>
      <c r="LX52" s="999"/>
      <c r="LY52" s="999"/>
    </row>
    <row r="53" spans="1:337" ht="37.5" customHeight="1" x14ac:dyDescent="0.25">
      <c r="A53" s="1584"/>
      <c r="B53" s="1617"/>
      <c r="C53" s="353" t="s">
        <v>112</v>
      </c>
      <c r="D53" s="354" t="s">
        <v>20</v>
      </c>
      <c r="E53" s="844" t="s">
        <v>53</v>
      </c>
      <c r="F53" s="863"/>
      <c r="G53" s="863"/>
      <c r="H53" s="863"/>
      <c r="I53" s="864"/>
      <c r="J53" s="864"/>
      <c r="K53" s="864"/>
      <c r="L53" s="864"/>
      <c r="M53" s="864"/>
      <c r="N53" s="852"/>
      <c r="O53" s="864"/>
      <c r="P53" s="864"/>
      <c r="Q53" s="864"/>
      <c r="R53" s="864"/>
      <c r="S53" s="864"/>
      <c r="T53" s="864"/>
      <c r="U53" s="864"/>
      <c r="V53" s="980"/>
      <c r="W53" s="980">
        <v>1</v>
      </c>
      <c r="X53" s="980">
        <v>1</v>
      </c>
      <c r="Y53" s="980">
        <v>1</v>
      </c>
      <c r="Z53" s="980">
        <v>2</v>
      </c>
      <c r="AA53" s="864"/>
      <c r="AB53" s="864"/>
      <c r="AC53" s="864"/>
      <c r="AD53" s="864"/>
      <c r="AE53" s="864"/>
      <c r="AF53" s="864"/>
      <c r="AG53" s="864"/>
      <c r="AH53" s="864"/>
      <c r="AI53" s="864"/>
      <c r="AJ53" s="864"/>
      <c r="AK53" s="864"/>
      <c r="AL53" s="864"/>
      <c r="AM53" s="864"/>
      <c r="AN53" s="864"/>
      <c r="AO53" s="864"/>
      <c r="AP53" s="864"/>
      <c r="AQ53" s="864"/>
      <c r="AR53" s="864"/>
      <c r="AS53" s="864"/>
      <c r="AT53" s="864"/>
      <c r="AU53" s="864"/>
      <c r="AV53" s="980"/>
      <c r="AW53" s="980">
        <v>1</v>
      </c>
      <c r="AX53" s="864"/>
      <c r="AY53" s="864"/>
      <c r="AZ53" s="864"/>
      <c r="BA53" s="852"/>
      <c r="BB53" s="980"/>
      <c r="BC53" s="980"/>
      <c r="BD53" s="980">
        <v>3</v>
      </c>
      <c r="BE53" s="864"/>
      <c r="BF53" s="864"/>
      <c r="BG53" s="864"/>
      <c r="BH53" s="864"/>
      <c r="BI53" s="864"/>
      <c r="BJ53" s="864"/>
      <c r="BK53" s="864"/>
      <c r="BL53" s="864"/>
      <c r="BM53" s="864"/>
      <c r="BN53" s="864"/>
      <c r="BO53" s="864"/>
      <c r="BP53" s="864"/>
      <c r="BQ53" s="864"/>
      <c r="BR53" s="864"/>
      <c r="BS53" s="864"/>
      <c r="BT53" s="980">
        <v>127</v>
      </c>
      <c r="BU53" s="980"/>
      <c r="BV53" s="980"/>
      <c r="BW53" s="980">
        <v>1</v>
      </c>
      <c r="BX53" s="864"/>
      <c r="BY53" s="864"/>
      <c r="BZ53" s="864"/>
      <c r="CA53" s="864"/>
      <c r="CB53" s="864"/>
      <c r="CC53" s="998"/>
      <c r="CD53" s="864"/>
      <c r="CE53" s="864"/>
      <c r="CF53" s="864"/>
      <c r="CG53" s="864"/>
      <c r="CH53" s="864"/>
      <c r="CI53" s="864"/>
      <c r="CJ53" s="864"/>
      <c r="CK53" s="980"/>
      <c r="CL53" s="980"/>
      <c r="CM53" s="864"/>
      <c r="CN53" s="864"/>
      <c r="CO53" s="864"/>
      <c r="CP53" s="864"/>
      <c r="CQ53" s="864"/>
      <c r="CR53" s="864"/>
      <c r="CS53" s="864"/>
      <c r="CT53" s="864"/>
      <c r="CU53" s="864"/>
      <c r="CV53" s="864"/>
      <c r="CW53" s="864"/>
      <c r="CX53" s="864"/>
      <c r="CY53" s="864"/>
      <c r="CZ53" s="864"/>
      <c r="DA53" s="864"/>
      <c r="DB53" s="864"/>
      <c r="DC53" s="864"/>
      <c r="DD53" s="864"/>
      <c r="DE53" s="864"/>
      <c r="DF53" s="980"/>
      <c r="DG53" s="864"/>
      <c r="DH53" s="980"/>
      <c r="DI53" s="980"/>
      <c r="DJ53" s="980"/>
      <c r="DK53" s="980"/>
      <c r="DL53" s="980"/>
      <c r="DM53" s="980"/>
      <c r="DN53" s="864"/>
      <c r="DO53" s="864"/>
      <c r="DP53" s="980"/>
      <c r="DQ53" s="864"/>
      <c r="DR53" s="864"/>
      <c r="DS53" s="864"/>
      <c r="DT53" s="864"/>
      <c r="DU53" s="864"/>
      <c r="DV53" s="864"/>
      <c r="DW53" s="864"/>
      <c r="DX53" s="864"/>
      <c r="DY53" s="864"/>
      <c r="DZ53" s="864"/>
      <c r="EA53" s="864"/>
      <c r="EB53" s="864"/>
      <c r="EC53" s="864"/>
      <c r="ED53" s="864"/>
      <c r="EE53" s="864"/>
      <c r="EF53" s="980"/>
      <c r="EG53" s="980">
        <v>1</v>
      </c>
      <c r="EH53" s="980">
        <v>1</v>
      </c>
      <c r="EI53" s="855"/>
      <c r="EJ53" s="999"/>
      <c r="EK53" s="999"/>
      <c r="EL53" s="999"/>
      <c r="EM53" s="999">
        <v>1</v>
      </c>
      <c r="EN53" s="999"/>
      <c r="EO53" s="999"/>
      <c r="EP53" s="999"/>
      <c r="EQ53" s="999"/>
      <c r="ER53" s="999"/>
      <c r="ES53" s="999"/>
      <c r="ET53" s="999"/>
      <c r="EU53" s="864"/>
      <c r="EV53" s="864"/>
      <c r="EW53" s="980"/>
      <c r="EX53" s="864"/>
      <c r="EY53" s="864"/>
      <c r="EZ53" s="864"/>
      <c r="FA53" s="864"/>
      <c r="FB53" s="864"/>
      <c r="FC53" s="864"/>
      <c r="FD53" s="864"/>
      <c r="FE53" s="980">
        <v>48</v>
      </c>
      <c r="FF53" s="864"/>
      <c r="FG53" s="864"/>
      <c r="FH53" s="864"/>
      <c r="FI53" s="864"/>
      <c r="FJ53" s="864"/>
      <c r="FK53" s="1000"/>
      <c r="FL53" s="980"/>
      <c r="FM53" s="980"/>
      <c r="FN53" s="980"/>
      <c r="FO53" s="980"/>
      <c r="FP53" s="980"/>
      <c r="FQ53" s="980"/>
      <c r="FR53" s="864"/>
      <c r="FS53" s="864"/>
      <c r="FT53" s="864"/>
      <c r="FU53" s="864"/>
      <c r="FV53" s="864"/>
      <c r="FW53" s="864"/>
      <c r="FX53" s="864"/>
      <c r="FY53" s="864"/>
      <c r="FZ53" s="864"/>
      <c r="GA53" s="980"/>
      <c r="GB53" s="980"/>
      <c r="GC53" s="980"/>
      <c r="GD53" s="980"/>
      <c r="GE53" s="980"/>
      <c r="GF53" s="980"/>
      <c r="GG53" s="980"/>
      <c r="GH53" s="864"/>
      <c r="GI53" s="864"/>
      <c r="GJ53" s="864"/>
      <c r="GK53" s="864"/>
      <c r="GL53" s="864"/>
      <c r="GM53" s="864"/>
      <c r="GN53" s="864"/>
      <c r="GO53" s="1001">
        <v>16</v>
      </c>
      <c r="GP53" s="1002">
        <v>1</v>
      </c>
      <c r="GQ53" s="1003">
        <v>9</v>
      </c>
      <c r="GR53" s="864"/>
      <c r="GS53" s="864"/>
      <c r="GT53" s="864"/>
      <c r="GU53" s="864"/>
      <c r="GV53" s="864"/>
      <c r="GW53" s="864"/>
      <c r="GX53" s="864"/>
      <c r="GY53" s="864"/>
      <c r="GZ53" s="864"/>
      <c r="HA53" s="864"/>
      <c r="HB53" s="864"/>
      <c r="HC53" s="864"/>
      <c r="HD53" s="864"/>
      <c r="HE53" s="980">
        <v>1</v>
      </c>
      <c r="HF53" s="980"/>
      <c r="HG53" s="864"/>
      <c r="HH53" s="999">
        <v>13</v>
      </c>
      <c r="HI53" s="980">
        <v>17</v>
      </c>
      <c r="HJ53" s="980">
        <v>2</v>
      </c>
      <c r="HK53" s="999">
        <v>1</v>
      </c>
      <c r="HL53" s="864"/>
      <c r="HM53" s="864"/>
      <c r="HN53" s="864"/>
      <c r="HO53" s="1004"/>
      <c r="HP53" s="980"/>
      <c r="HQ53" s="980"/>
      <c r="HR53" s="998"/>
      <c r="HS53" s="980"/>
      <c r="HT53" s="980"/>
      <c r="HU53" s="980"/>
      <c r="HV53" s="1000"/>
      <c r="HW53" s="980"/>
      <c r="HX53" s="980"/>
      <c r="HY53" s="980"/>
      <c r="HZ53" s="980"/>
      <c r="IA53" s="980">
        <v>1</v>
      </c>
      <c r="IB53" s="980"/>
      <c r="IC53" s="980"/>
      <c r="ID53" s="980"/>
      <c r="IE53" s="980"/>
      <c r="IF53" s="980"/>
      <c r="IG53" s="998"/>
      <c r="IH53" s="980"/>
      <c r="II53" s="980"/>
      <c r="IJ53" s="998">
        <v>1</v>
      </c>
      <c r="IK53" s="980"/>
      <c r="IL53" s="980"/>
      <c r="IM53" s="980"/>
      <c r="IN53" s="980"/>
      <c r="IO53" s="864"/>
      <c r="IP53" s="864"/>
      <c r="IQ53" s="864"/>
      <c r="IR53" s="998">
        <v>1</v>
      </c>
      <c r="IS53" s="980"/>
      <c r="IT53" s="980">
        <v>1</v>
      </c>
      <c r="IU53" s="980"/>
      <c r="IV53" s="980"/>
      <c r="IW53" s="980"/>
      <c r="IX53" s="999"/>
      <c r="IY53" s="980"/>
      <c r="IZ53" s="980"/>
      <c r="JA53" s="980">
        <v>1</v>
      </c>
      <c r="JB53" s="980"/>
      <c r="JC53" s="980"/>
      <c r="JD53" s="980"/>
      <c r="JE53" s="980"/>
      <c r="JF53" s="999"/>
      <c r="JG53" s="980"/>
      <c r="JH53" s="980">
        <v>2</v>
      </c>
      <c r="JI53" s="980"/>
      <c r="JJ53" s="980"/>
      <c r="JK53" s="980">
        <v>1</v>
      </c>
      <c r="JL53" s="980">
        <v>2</v>
      </c>
      <c r="JM53" s="980">
        <v>1</v>
      </c>
      <c r="JN53" s="980"/>
      <c r="JO53" s="980"/>
      <c r="JP53" s="980"/>
      <c r="JQ53" s="999"/>
      <c r="JR53" s="980"/>
      <c r="JS53" s="980"/>
      <c r="JT53" s="980"/>
      <c r="JU53" s="980"/>
      <c r="JV53" s="980"/>
      <c r="JW53" s="980"/>
      <c r="JX53" s="980"/>
      <c r="JY53" s="980"/>
      <c r="JZ53" s="980">
        <v>1</v>
      </c>
      <c r="KA53" s="980"/>
      <c r="KB53" s="980">
        <v>2</v>
      </c>
      <c r="KC53" s="980"/>
      <c r="KD53" s="980"/>
      <c r="KE53" s="998"/>
      <c r="KF53" s="998">
        <v>1</v>
      </c>
      <c r="KG53" s="998"/>
      <c r="KH53" s="998"/>
      <c r="KI53" s="998">
        <v>0</v>
      </c>
      <c r="KJ53" s="998"/>
      <c r="KK53" s="998"/>
      <c r="KL53" s="980"/>
      <c r="KM53" s="864"/>
      <c r="KN53" s="864"/>
      <c r="KO53" s="864"/>
      <c r="KP53" s="864"/>
      <c r="KQ53" s="864"/>
      <c r="KR53" s="980">
        <v>23</v>
      </c>
      <c r="KS53" s="864"/>
      <c r="KT53" s="980"/>
      <c r="KU53" s="864"/>
      <c r="KV53" s="980"/>
      <c r="KW53" s="980">
        <v>2</v>
      </c>
      <c r="KX53" s="980"/>
      <c r="KY53" s="858"/>
      <c r="KZ53" s="980"/>
      <c r="LA53" s="980">
        <v>6</v>
      </c>
      <c r="LB53" s="980"/>
      <c r="LC53" s="980"/>
      <c r="LD53" s="980"/>
      <c r="LE53" s="980">
        <v>1</v>
      </c>
      <c r="LF53" s="999"/>
      <c r="LG53" s="999"/>
      <c r="LH53" s="999"/>
      <c r="LI53" s="999"/>
      <c r="LJ53" s="999"/>
      <c r="LK53" s="999"/>
      <c r="LL53" s="999"/>
      <c r="LM53" s="999"/>
      <c r="LN53" s="999"/>
      <c r="LO53" s="999"/>
      <c r="LP53" s="999"/>
      <c r="LQ53" s="999"/>
      <c r="LR53" s="999"/>
      <c r="LS53" s="999"/>
      <c r="LT53" s="999"/>
      <c r="LU53" s="999"/>
      <c r="LV53" s="999"/>
      <c r="LW53" s="999"/>
      <c r="LX53" s="999"/>
      <c r="LY53" s="999"/>
    </row>
    <row r="54" spans="1:337" ht="36.75" customHeight="1" x14ac:dyDescent="0.25">
      <c r="A54" s="1584"/>
      <c r="B54" s="1617"/>
      <c r="C54" s="353" t="s">
        <v>113</v>
      </c>
      <c r="D54" s="354" t="s">
        <v>21</v>
      </c>
      <c r="E54" s="844" t="s">
        <v>53</v>
      </c>
      <c r="F54" s="863"/>
      <c r="G54" s="863"/>
      <c r="H54" s="863"/>
      <c r="I54" s="864"/>
      <c r="J54" s="864"/>
      <c r="K54" s="864"/>
      <c r="L54" s="864"/>
      <c r="M54" s="864"/>
      <c r="N54" s="852"/>
      <c r="O54" s="864"/>
      <c r="P54" s="864"/>
      <c r="Q54" s="864"/>
      <c r="R54" s="864"/>
      <c r="S54" s="864"/>
      <c r="T54" s="864"/>
      <c r="U54" s="864"/>
      <c r="V54" s="980"/>
      <c r="W54" s="980"/>
      <c r="X54" s="980"/>
      <c r="Y54" s="980"/>
      <c r="Z54" s="980"/>
      <c r="AA54" s="864"/>
      <c r="AB54" s="864"/>
      <c r="AC54" s="864"/>
      <c r="AD54" s="864"/>
      <c r="AE54" s="864"/>
      <c r="AF54" s="864"/>
      <c r="AG54" s="864"/>
      <c r="AH54" s="864"/>
      <c r="AI54" s="864"/>
      <c r="AJ54" s="864"/>
      <c r="AK54" s="864"/>
      <c r="AL54" s="864"/>
      <c r="AM54" s="864"/>
      <c r="AN54" s="864"/>
      <c r="AO54" s="864"/>
      <c r="AP54" s="864"/>
      <c r="AQ54" s="864"/>
      <c r="AR54" s="864"/>
      <c r="AS54" s="864"/>
      <c r="AT54" s="864"/>
      <c r="AU54" s="864"/>
      <c r="AV54" s="980"/>
      <c r="AW54" s="980"/>
      <c r="AX54" s="864"/>
      <c r="AY54" s="864"/>
      <c r="AZ54" s="864"/>
      <c r="BA54" s="852"/>
      <c r="BB54" s="980"/>
      <c r="BC54" s="980"/>
      <c r="BD54" s="980"/>
      <c r="BE54" s="864"/>
      <c r="BF54" s="864"/>
      <c r="BG54" s="864"/>
      <c r="BH54" s="864"/>
      <c r="BI54" s="864"/>
      <c r="BJ54" s="864"/>
      <c r="BK54" s="864"/>
      <c r="BL54" s="864"/>
      <c r="BM54" s="864"/>
      <c r="BN54" s="864"/>
      <c r="BO54" s="864"/>
      <c r="BP54" s="864"/>
      <c r="BQ54" s="864"/>
      <c r="BR54" s="864"/>
      <c r="BS54" s="864"/>
      <c r="BT54" s="980"/>
      <c r="BU54" s="980"/>
      <c r="BV54" s="980">
        <v>1</v>
      </c>
      <c r="BW54" s="980"/>
      <c r="BX54" s="864"/>
      <c r="BY54" s="864"/>
      <c r="BZ54" s="864"/>
      <c r="CA54" s="864"/>
      <c r="CB54" s="864"/>
      <c r="CC54" s="998"/>
      <c r="CD54" s="864"/>
      <c r="CE54" s="864"/>
      <c r="CF54" s="864"/>
      <c r="CG54" s="864"/>
      <c r="CH54" s="864"/>
      <c r="CI54" s="864"/>
      <c r="CJ54" s="864"/>
      <c r="CK54" s="980"/>
      <c r="CL54" s="980"/>
      <c r="CM54" s="864"/>
      <c r="CN54" s="864"/>
      <c r="CO54" s="864"/>
      <c r="CP54" s="864"/>
      <c r="CQ54" s="864"/>
      <c r="CR54" s="864"/>
      <c r="CS54" s="864"/>
      <c r="CT54" s="864"/>
      <c r="CU54" s="864"/>
      <c r="CV54" s="864"/>
      <c r="CW54" s="864"/>
      <c r="CX54" s="864"/>
      <c r="CY54" s="864"/>
      <c r="CZ54" s="864"/>
      <c r="DA54" s="864"/>
      <c r="DB54" s="864"/>
      <c r="DC54" s="864"/>
      <c r="DD54" s="864"/>
      <c r="DE54" s="864"/>
      <c r="DF54" s="980"/>
      <c r="DG54" s="864"/>
      <c r="DH54" s="980"/>
      <c r="DI54" s="980"/>
      <c r="DJ54" s="980"/>
      <c r="DK54" s="980"/>
      <c r="DL54" s="980"/>
      <c r="DM54" s="980"/>
      <c r="DN54" s="864"/>
      <c r="DO54" s="864"/>
      <c r="DP54" s="980"/>
      <c r="DQ54" s="864"/>
      <c r="DR54" s="864"/>
      <c r="DS54" s="864"/>
      <c r="DT54" s="864"/>
      <c r="DU54" s="864"/>
      <c r="DV54" s="864"/>
      <c r="DW54" s="864"/>
      <c r="DX54" s="864"/>
      <c r="DY54" s="864"/>
      <c r="DZ54" s="864"/>
      <c r="EA54" s="864"/>
      <c r="EB54" s="864"/>
      <c r="EC54" s="864"/>
      <c r="ED54" s="864"/>
      <c r="EE54" s="864"/>
      <c r="EF54" s="980"/>
      <c r="EG54" s="980"/>
      <c r="EH54" s="980"/>
      <c r="EI54" s="855"/>
      <c r="EJ54" s="999"/>
      <c r="EK54" s="999"/>
      <c r="EL54" s="999"/>
      <c r="EM54" s="999"/>
      <c r="EN54" s="999"/>
      <c r="EO54" s="999"/>
      <c r="EP54" s="999"/>
      <c r="EQ54" s="999"/>
      <c r="ER54" s="999"/>
      <c r="ES54" s="999"/>
      <c r="ET54" s="999"/>
      <c r="EU54" s="864"/>
      <c r="EV54" s="864"/>
      <c r="EW54" s="980"/>
      <c r="EX54" s="864"/>
      <c r="EY54" s="864"/>
      <c r="EZ54" s="864"/>
      <c r="FA54" s="864"/>
      <c r="FB54" s="864"/>
      <c r="FC54" s="864"/>
      <c r="FD54" s="864"/>
      <c r="FE54" s="980">
        <v>7</v>
      </c>
      <c r="FF54" s="864"/>
      <c r="FG54" s="864"/>
      <c r="FH54" s="864"/>
      <c r="FI54" s="864"/>
      <c r="FJ54" s="864"/>
      <c r="FK54" s="1000"/>
      <c r="FL54" s="980"/>
      <c r="FM54" s="980"/>
      <c r="FN54" s="980"/>
      <c r="FO54" s="980"/>
      <c r="FP54" s="980"/>
      <c r="FQ54" s="980"/>
      <c r="FR54" s="864"/>
      <c r="FS54" s="864"/>
      <c r="FT54" s="864"/>
      <c r="FU54" s="864"/>
      <c r="FV54" s="864"/>
      <c r="FW54" s="864"/>
      <c r="FX54" s="864"/>
      <c r="FY54" s="864"/>
      <c r="FZ54" s="864"/>
      <c r="GA54" s="980"/>
      <c r="GB54" s="980"/>
      <c r="GC54" s="980"/>
      <c r="GD54" s="980"/>
      <c r="GE54" s="980"/>
      <c r="GF54" s="980"/>
      <c r="GG54" s="980"/>
      <c r="GH54" s="864"/>
      <c r="GI54" s="864"/>
      <c r="GJ54" s="864"/>
      <c r="GK54" s="864"/>
      <c r="GL54" s="864"/>
      <c r="GM54" s="864"/>
      <c r="GN54" s="864"/>
      <c r="GO54" s="1001">
        <v>5</v>
      </c>
      <c r="GP54" s="1002"/>
      <c r="GQ54" s="867"/>
      <c r="GR54" s="864"/>
      <c r="GS54" s="864"/>
      <c r="GT54" s="864"/>
      <c r="GU54" s="864"/>
      <c r="GV54" s="864"/>
      <c r="GW54" s="864"/>
      <c r="GX54" s="864"/>
      <c r="GY54" s="864"/>
      <c r="GZ54" s="864"/>
      <c r="HA54" s="864"/>
      <c r="HB54" s="864"/>
      <c r="HC54" s="864"/>
      <c r="HD54" s="864"/>
      <c r="HE54" s="980"/>
      <c r="HF54" s="980"/>
      <c r="HG54" s="864"/>
      <c r="HH54" s="999"/>
      <c r="HI54" s="980">
        <v>2</v>
      </c>
      <c r="HJ54" s="980"/>
      <c r="HK54" s="999"/>
      <c r="HL54" s="864"/>
      <c r="HM54" s="864"/>
      <c r="HN54" s="864"/>
      <c r="HO54" s="1004"/>
      <c r="HP54" s="980"/>
      <c r="HQ54" s="980"/>
      <c r="HR54" s="998">
        <v>1</v>
      </c>
      <c r="HS54" s="980"/>
      <c r="HT54" s="980"/>
      <c r="HU54" s="980"/>
      <c r="HV54" s="1000"/>
      <c r="HW54" s="980"/>
      <c r="HX54" s="980"/>
      <c r="HY54" s="980"/>
      <c r="HZ54" s="980"/>
      <c r="IA54" s="980"/>
      <c r="IB54" s="980"/>
      <c r="IC54" s="980"/>
      <c r="ID54" s="980"/>
      <c r="IE54" s="980"/>
      <c r="IF54" s="980"/>
      <c r="IG54" s="998"/>
      <c r="IH54" s="980"/>
      <c r="II54" s="980"/>
      <c r="IJ54" s="998"/>
      <c r="IK54" s="980"/>
      <c r="IL54" s="980"/>
      <c r="IM54" s="980"/>
      <c r="IN54" s="980"/>
      <c r="IO54" s="864"/>
      <c r="IP54" s="864"/>
      <c r="IQ54" s="864"/>
      <c r="IR54" s="998"/>
      <c r="IS54" s="980"/>
      <c r="IT54" s="980"/>
      <c r="IU54" s="980"/>
      <c r="IV54" s="980"/>
      <c r="IW54" s="980"/>
      <c r="IX54" s="999"/>
      <c r="IY54" s="980"/>
      <c r="IZ54" s="980"/>
      <c r="JA54" s="980"/>
      <c r="JB54" s="980"/>
      <c r="JC54" s="980"/>
      <c r="JD54" s="980"/>
      <c r="JE54" s="980"/>
      <c r="JF54" s="999">
        <v>1</v>
      </c>
      <c r="JG54" s="980"/>
      <c r="JH54" s="980"/>
      <c r="JI54" s="980"/>
      <c r="JJ54" s="980"/>
      <c r="JK54" s="980"/>
      <c r="JL54" s="980">
        <v>1</v>
      </c>
      <c r="JM54" s="980"/>
      <c r="JN54" s="980"/>
      <c r="JO54" s="980"/>
      <c r="JP54" s="980"/>
      <c r="JQ54" s="999"/>
      <c r="JR54" s="980"/>
      <c r="JS54" s="980"/>
      <c r="JT54" s="980"/>
      <c r="JU54" s="980"/>
      <c r="JV54" s="980"/>
      <c r="JW54" s="980"/>
      <c r="JX54" s="980"/>
      <c r="JY54" s="980"/>
      <c r="JZ54" s="980"/>
      <c r="KA54" s="980">
        <v>1</v>
      </c>
      <c r="KB54" s="980"/>
      <c r="KC54" s="980"/>
      <c r="KD54" s="980"/>
      <c r="KE54" s="998"/>
      <c r="KF54" s="998"/>
      <c r="KG54" s="998"/>
      <c r="KH54" s="998"/>
      <c r="KI54" s="998">
        <v>0</v>
      </c>
      <c r="KJ54" s="998"/>
      <c r="KK54" s="998"/>
      <c r="KL54" s="980"/>
      <c r="KM54" s="864"/>
      <c r="KN54" s="864"/>
      <c r="KO54" s="864"/>
      <c r="KP54" s="864"/>
      <c r="KQ54" s="864"/>
      <c r="KR54" s="980"/>
      <c r="KS54" s="864"/>
      <c r="KT54" s="980"/>
      <c r="KU54" s="864"/>
      <c r="KV54" s="980"/>
      <c r="KW54" s="980"/>
      <c r="KX54" s="980"/>
      <c r="KY54" s="858"/>
      <c r="KZ54" s="980"/>
      <c r="LA54" s="980"/>
      <c r="LB54" s="980"/>
      <c r="LC54" s="980"/>
      <c r="LD54" s="980"/>
      <c r="LE54" s="980"/>
      <c r="LF54" s="999"/>
      <c r="LG54" s="999"/>
      <c r="LH54" s="999"/>
      <c r="LI54" s="999"/>
      <c r="LJ54" s="999"/>
      <c r="LK54" s="999"/>
      <c r="LL54" s="999"/>
      <c r="LM54" s="999"/>
      <c r="LN54" s="999"/>
      <c r="LO54" s="999"/>
      <c r="LP54" s="999"/>
      <c r="LQ54" s="999"/>
      <c r="LR54" s="999">
        <v>2</v>
      </c>
      <c r="LS54" s="999"/>
      <c r="LT54" s="999"/>
      <c r="LU54" s="999"/>
      <c r="LV54" s="999"/>
      <c r="LW54" s="999"/>
      <c r="LX54" s="999"/>
      <c r="LY54" s="999"/>
    </row>
    <row r="55" spans="1:337" ht="37.5" customHeight="1" x14ac:dyDescent="0.25">
      <c r="A55" s="1584"/>
      <c r="B55" s="1617"/>
      <c r="C55" s="353" t="s">
        <v>114</v>
      </c>
      <c r="D55" s="354" t="s">
        <v>22</v>
      </c>
      <c r="E55" s="844" t="s">
        <v>53</v>
      </c>
      <c r="F55" s="863"/>
      <c r="G55" s="863"/>
      <c r="H55" s="863"/>
      <c r="I55" s="864"/>
      <c r="J55" s="864"/>
      <c r="K55" s="864"/>
      <c r="L55" s="864"/>
      <c r="M55" s="864"/>
      <c r="N55" s="852"/>
      <c r="O55" s="864"/>
      <c r="P55" s="864"/>
      <c r="Q55" s="864"/>
      <c r="R55" s="864"/>
      <c r="S55" s="864"/>
      <c r="T55" s="864"/>
      <c r="U55" s="864"/>
      <c r="V55" s="980"/>
      <c r="W55" s="980"/>
      <c r="X55" s="980"/>
      <c r="Y55" s="980"/>
      <c r="Z55" s="980">
        <v>1</v>
      </c>
      <c r="AA55" s="864"/>
      <c r="AB55" s="864"/>
      <c r="AC55" s="864"/>
      <c r="AD55" s="864"/>
      <c r="AE55" s="864"/>
      <c r="AF55" s="864"/>
      <c r="AG55" s="864"/>
      <c r="AH55" s="864"/>
      <c r="AI55" s="864"/>
      <c r="AJ55" s="864"/>
      <c r="AK55" s="864"/>
      <c r="AL55" s="864"/>
      <c r="AM55" s="864"/>
      <c r="AN55" s="864"/>
      <c r="AO55" s="864"/>
      <c r="AP55" s="864"/>
      <c r="AQ55" s="864"/>
      <c r="AR55" s="864"/>
      <c r="AS55" s="864"/>
      <c r="AT55" s="864"/>
      <c r="AU55" s="864"/>
      <c r="AV55" s="980"/>
      <c r="AW55" s="980"/>
      <c r="AX55" s="864"/>
      <c r="AY55" s="864"/>
      <c r="AZ55" s="864"/>
      <c r="BA55" s="852"/>
      <c r="BB55" s="980"/>
      <c r="BC55" s="980"/>
      <c r="BD55" s="980"/>
      <c r="BE55" s="864"/>
      <c r="BF55" s="864"/>
      <c r="BG55" s="864"/>
      <c r="BH55" s="864"/>
      <c r="BI55" s="864"/>
      <c r="BJ55" s="864"/>
      <c r="BK55" s="864"/>
      <c r="BL55" s="864"/>
      <c r="BM55" s="864"/>
      <c r="BN55" s="864"/>
      <c r="BO55" s="864"/>
      <c r="BP55" s="864"/>
      <c r="BQ55" s="864"/>
      <c r="BR55" s="864"/>
      <c r="BS55" s="864"/>
      <c r="BT55" s="980"/>
      <c r="BU55" s="980"/>
      <c r="BV55" s="980"/>
      <c r="BW55" s="980"/>
      <c r="BX55" s="864"/>
      <c r="BY55" s="864"/>
      <c r="BZ55" s="864"/>
      <c r="CA55" s="864"/>
      <c r="CB55" s="864"/>
      <c r="CC55" s="998"/>
      <c r="CD55" s="864"/>
      <c r="CE55" s="864"/>
      <c r="CF55" s="864"/>
      <c r="CG55" s="864"/>
      <c r="CH55" s="864"/>
      <c r="CI55" s="864"/>
      <c r="CJ55" s="864"/>
      <c r="CK55" s="980"/>
      <c r="CL55" s="980"/>
      <c r="CM55" s="864"/>
      <c r="CN55" s="864"/>
      <c r="CO55" s="864"/>
      <c r="CP55" s="864"/>
      <c r="CQ55" s="864"/>
      <c r="CR55" s="864"/>
      <c r="CS55" s="864"/>
      <c r="CT55" s="864"/>
      <c r="CU55" s="864"/>
      <c r="CV55" s="864"/>
      <c r="CW55" s="864"/>
      <c r="CX55" s="864"/>
      <c r="CY55" s="864"/>
      <c r="CZ55" s="864"/>
      <c r="DA55" s="864"/>
      <c r="DB55" s="864"/>
      <c r="DC55" s="864"/>
      <c r="DD55" s="864"/>
      <c r="DE55" s="864"/>
      <c r="DF55" s="980"/>
      <c r="DG55" s="864"/>
      <c r="DH55" s="980"/>
      <c r="DI55" s="980"/>
      <c r="DJ55" s="980"/>
      <c r="DK55" s="980"/>
      <c r="DL55" s="980"/>
      <c r="DM55" s="980"/>
      <c r="DN55" s="864"/>
      <c r="DO55" s="864"/>
      <c r="DP55" s="980"/>
      <c r="DQ55" s="864"/>
      <c r="DR55" s="864"/>
      <c r="DS55" s="864"/>
      <c r="DT55" s="864"/>
      <c r="DU55" s="864"/>
      <c r="DV55" s="864"/>
      <c r="DW55" s="864"/>
      <c r="DX55" s="864"/>
      <c r="DY55" s="864"/>
      <c r="DZ55" s="864"/>
      <c r="EA55" s="864"/>
      <c r="EB55" s="864"/>
      <c r="EC55" s="864"/>
      <c r="ED55" s="864"/>
      <c r="EE55" s="864"/>
      <c r="EF55" s="980"/>
      <c r="EG55" s="980"/>
      <c r="EH55" s="980"/>
      <c r="EI55" s="855"/>
      <c r="EJ55" s="999"/>
      <c r="EK55" s="999"/>
      <c r="EL55" s="999"/>
      <c r="EM55" s="999"/>
      <c r="EN55" s="999"/>
      <c r="EO55" s="999"/>
      <c r="EP55" s="999"/>
      <c r="EQ55" s="999"/>
      <c r="ER55" s="999"/>
      <c r="ES55" s="999"/>
      <c r="ET55" s="999"/>
      <c r="EU55" s="864"/>
      <c r="EV55" s="864"/>
      <c r="EW55" s="980"/>
      <c r="EX55" s="864"/>
      <c r="EY55" s="864"/>
      <c r="EZ55" s="864"/>
      <c r="FA55" s="864"/>
      <c r="FB55" s="864"/>
      <c r="FC55" s="864"/>
      <c r="FD55" s="864"/>
      <c r="FE55" s="980"/>
      <c r="FF55" s="864"/>
      <c r="FG55" s="864"/>
      <c r="FH55" s="864"/>
      <c r="FI55" s="864"/>
      <c r="FJ55" s="864"/>
      <c r="FK55" s="1000"/>
      <c r="FL55" s="980"/>
      <c r="FM55" s="980"/>
      <c r="FN55" s="980"/>
      <c r="FO55" s="980"/>
      <c r="FP55" s="980"/>
      <c r="FQ55" s="980"/>
      <c r="FR55" s="864"/>
      <c r="FS55" s="864"/>
      <c r="FT55" s="864"/>
      <c r="FU55" s="864"/>
      <c r="FV55" s="864"/>
      <c r="FW55" s="864"/>
      <c r="FX55" s="864"/>
      <c r="FY55" s="864"/>
      <c r="FZ55" s="864"/>
      <c r="GA55" s="980"/>
      <c r="GB55" s="980"/>
      <c r="GC55" s="980"/>
      <c r="GD55" s="980"/>
      <c r="GE55" s="980"/>
      <c r="GF55" s="980"/>
      <c r="GG55" s="980"/>
      <c r="GH55" s="864"/>
      <c r="GI55" s="864"/>
      <c r="GJ55" s="864"/>
      <c r="GK55" s="864"/>
      <c r="GL55" s="864"/>
      <c r="GM55" s="864"/>
      <c r="GN55" s="864"/>
      <c r="GO55" s="1001"/>
      <c r="GP55" s="1002"/>
      <c r="GQ55" s="867"/>
      <c r="GR55" s="864"/>
      <c r="GS55" s="864"/>
      <c r="GT55" s="864"/>
      <c r="GU55" s="864"/>
      <c r="GV55" s="864"/>
      <c r="GW55" s="864"/>
      <c r="GX55" s="864"/>
      <c r="GY55" s="864"/>
      <c r="GZ55" s="864"/>
      <c r="HA55" s="864"/>
      <c r="HB55" s="864"/>
      <c r="HC55" s="864"/>
      <c r="HD55" s="864"/>
      <c r="HE55" s="980"/>
      <c r="HF55" s="980"/>
      <c r="HG55" s="864"/>
      <c r="HH55" s="999"/>
      <c r="HI55" s="980"/>
      <c r="HJ55" s="980"/>
      <c r="HK55" s="999"/>
      <c r="HL55" s="864"/>
      <c r="HM55" s="864"/>
      <c r="HN55" s="864"/>
      <c r="HO55" s="1004"/>
      <c r="HP55" s="980"/>
      <c r="HQ55" s="980"/>
      <c r="HR55" s="998"/>
      <c r="HS55" s="980"/>
      <c r="HT55" s="980"/>
      <c r="HU55" s="980"/>
      <c r="HV55" s="1000"/>
      <c r="HW55" s="980"/>
      <c r="HX55" s="980"/>
      <c r="HY55" s="980"/>
      <c r="HZ55" s="980"/>
      <c r="IA55" s="980"/>
      <c r="IB55" s="980"/>
      <c r="IC55" s="980"/>
      <c r="ID55" s="980"/>
      <c r="IE55" s="980"/>
      <c r="IF55" s="980"/>
      <c r="IG55" s="998"/>
      <c r="IH55" s="980"/>
      <c r="II55" s="980"/>
      <c r="IJ55" s="998"/>
      <c r="IK55" s="980"/>
      <c r="IL55" s="980"/>
      <c r="IM55" s="980"/>
      <c r="IN55" s="980"/>
      <c r="IO55" s="864"/>
      <c r="IP55" s="864"/>
      <c r="IQ55" s="864"/>
      <c r="IR55" s="998"/>
      <c r="IS55" s="980"/>
      <c r="IT55" s="980"/>
      <c r="IU55" s="980"/>
      <c r="IV55" s="980"/>
      <c r="IW55" s="980"/>
      <c r="IX55" s="999"/>
      <c r="IY55" s="980"/>
      <c r="IZ55" s="980"/>
      <c r="JA55" s="980"/>
      <c r="JB55" s="980"/>
      <c r="JC55" s="980"/>
      <c r="JD55" s="980"/>
      <c r="JE55" s="980"/>
      <c r="JF55" s="999"/>
      <c r="JG55" s="980"/>
      <c r="JH55" s="980"/>
      <c r="JI55" s="980"/>
      <c r="JJ55" s="980"/>
      <c r="JK55" s="980"/>
      <c r="JL55" s="980"/>
      <c r="JM55" s="980"/>
      <c r="JN55" s="980"/>
      <c r="JO55" s="980"/>
      <c r="JP55" s="980"/>
      <c r="JQ55" s="999"/>
      <c r="JR55" s="980"/>
      <c r="JS55" s="980"/>
      <c r="JT55" s="980"/>
      <c r="JU55" s="980"/>
      <c r="JV55" s="980"/>
      <c r="JW55" s="980"/>
      <c r="JX55" s="980"/>
      <c r="JY55" s="980">
        <v>1</v>
      </c>
      <c r="JZ55" s="980"/>
      <c r="KA55" s="980"/>
      <c r="KB55" s="980"/>
      <c r="KC55" s="980"/>
      <c r="KD55" s="980"/>
      <c r="KE55" s="998"/>
      <c r="KF55" s="998"/>
      <c r="KG55" s="998"/>
      <c r="KH55" s="998"/>
      <c r="KI55" s="998">
        <v>0</v>
      </c>
      <c r="KJ55" s="998"/>
      <c r="KK55" s="998"/>
      <c r="KL55" s="980"/>
      <c r="KM55" s="864"/>
      <c r="KN55" s="864"/>
      <c r="KO55" s="864"/>
      <c r="KP55" s="864"/>
      <c r="KQ55" s="864"/>
      <c r="KR55" s="980"/>
      <c r="KS55" s="864"/>
      <c r="KT55" s="980"/>
      <c r="KU55" s="864"/>
      <c r="KV55" s="980"/>
      <c r="KW55" s="980"/>
      <c r="KX55" s="980"/>
      <c r="KY55" s="858"/>
      <c r="KZ55" s="980"/>
      <c r="LA55" s="980"/>
      <c r="LB55" s="980"/>
      <c r="LC55" s="980"/>
      <c r="LD55" s="980"/>
      <c r="LE55" s="980"/>
      <c r="LF55" s="999"/>
      <c r="LG55" s="999"/>
      <c r="LH55" s="999"/>
      <c r="LI55" s="999"/>
      <c r="LJ55" s="999"/>
      <c r="LK55" s="999"/>
      <c r="LL55" s="999"/>
      <c r="LM55" s="999"/>
      <c r="LN55" s="999"/>
      <c r="LO55" s="999"/>
      <c r="LP55" s="999"/>
      <c r="LQ55" s="999"/>
      <c r="LR55" s="999"/>
      <c r="LS55" s="999"/>
      <c r="LT55" s="999"/>
      <c r="LU55" s="999"/>
      <c r="LV55" s="999"/>
      <c r="LW55" s="999"/>
      <c r="LX55" s="999"/>
      <c r="LY55" s="999"/>
    </row>
    <row r="56" spans="1:337" ht="32.25" customHeight="1" x14ac:dyDescent="0.25">
      <c r="A56" s="1584"/>
      <c r="B56" s="1617"/>
      <c r="C56" s="353" t="s">
        <v>115</v>
      </c>
      <c r="D56" s="354" t="s">
        <v>184</v>
      </c>
      <c r="E56" s="844" t="s">
        <v>53</v>
      </c>
      <c r="F56" s="863"/>
      <c r="G56" s="863"/>
      <c r="H56" s="864"/>
      <c r="I56" s="864"/>
      <c r="J56" s="864"/>
      <c r="K56" s="864"/>
      <c r="L56" s="864"/>
      <c r="M56" s="864"/>
      <c r="N56" s="852"/>
      <c r="O56" s="864"/>
      <c r="P56" s="864"/>
      <c r="Q56" s="864"/>
      <c r="R56" s="864"/>
      <c r="S56" s="864"/>
      <c r="T56" s="864"/>
      <c r="U56" s="864"/>
      <c r="V56" s="980"/>
      <c r="W56" s="980"/>
      <c r="X56" s="980"/>
      <c r="Y56" s="980"/>
      <c r="Z56" s="980"/>
      <c r="AA56" s="864"/>
      <c r="AB56" s="864"/>
      <c r="AC56" s="864"/>
      <c r="AD56" s="864"/>
      <c r="AE56" s="864"/>
      <c r="AF56" s="864"/>
      <c r="AG56" s="864"/>
      <c r="AH56" s="864"/>
      <c r="AI56" s="864"/>
      <c r="AJ56" s="864"/>
      <c r="AK56" s="864"/>
      <c r="AL56" s="864"/>
      <c r="AM56" s="864"/>
      <c r="AN56" s="864"/>
      <c r="AO56" s="864"/>
      <c r="AP56" s="864"/>
      <c r="AQ56" s="864"/>
      <c r="AR56" s="864"/>
      <c r="AS56" s="864"/>
      <c r="AT56" s="864"/>
      <c r="AU56" s="864"/>
      <c r="AV56" s="980"/>
      <c r="AW56" s="980"/>
      <c r="AX56" s="864"/>
      <c r="AY56" s="864"/>
      <c r="AZ56" s="864"/>
      <c r="BA56" s="852"/>
      <c r="BB56" s="980"/>
      <c r="BC56" s="980"/>
      <c r="BD56" s="980"/>
      <c r="BE56" s="864"/>
      <c r="BF56" s="864"/>
      <c r="BG56" s="864"/>
      <c r="BH56" s="864"/>
      <c r="BI56" s="864"/>
      <c r="BJ56" s="864"/>
      <c r="BK56" s="864"/>
      <c r="BL56" s="864"/>
      <c r="BM56" s="864"/>
      <c r="BN56" s="864"/>
      <c r="BO56" s="864"/>
      <c r="BP56" s="864"/>
      <c r="BQ56" s="864"/>
      <c r="BR56" s="864"/>
      <c r="BS56" s="864"/>
      <c r="BT56" s="980">
        <v>1</v>
      </c>
      <c r="BU56" s="980"/>
      <c r="BV56" s="980"/>
      <c r="BW56" s="980"/>
      <c r="BX56" s="864"/>
      <c r="BY56" s="864"/>
      <c r="BZ56" s="864"/>
      <c r="CA56" s="864"/>
      <c r="CB56" s="864"/>
      <c r="CC56" s="998"/>
      <c r="CD56" s="864"/>
      <c r="CE56" s="864"/>
      <c r="CF56" s="864"/>
      <c r="CG56" s="864"/>
      <c r="CH56" s="864"/>
      <c r="CI56" s="864"/>
      <c r="CJ56" s="864"/>
      <c r="CK56" s="980"/>
      <c r="CL56" s="980"/>
      <c r="CM56" s="864"/>
      <c r="CN56" s="864"/>
      <c r="CO56" s="864"/>
      <c r="CP56" s="864"/>
      <c r="CQ56" s="864"/>
      <c r="CR56" s="864"/>
      <c r="CS56" s="864"/>
      <c r="CT56" s="864"/>
      <c r="CU56" s="864"/>
      <c r="CV56" s="864"/>
      <c r="CW56" s="864"/>
      <c r="CX56" s="864"/>
      <c r="CY56" s="864"/>
      <c r="CZ56" s="864"/>
      <c r="DA56" s="864"/>
      <c r="DB56" s="864"/>
      <c r="DC56" s="864"/>
      <c r="DD56" s="864"/>
      <c r="DE56" s="864"/>
      <c r="DF56" s="980"/>
      <c r="DG56" s="864"/>
      <c r="DH56" s="980"/>
      <c r="DI56" s="980"/>
      <c r="DJ56" s="980"/>
      <c r="DK56" s="980"/>
      <c r="DL56" s="980"/>
      <c r="DM56" s="980"/>
      <c r="DN56" s="864"/>
      <c r="DO56" s="864"/>
      <c r="DP56" s="980"/>
      <c r="DQ56" s="864"/>
      <c r="DR56" s="864"/>
      <c r="DS56" s="864"/>
      <c r="DT56" s="864"/>
      <c r="DU56" s="864"/>
      <c r="DV56" s="864"/>
      <c r="DW56" s="864"/>
      <c r="DX56" s="864"/>
      <c r="DY56" s="864"/>
      <c r="DZ56" s="864"/>
      <c r="EA56" s="864"/>
      <c r="EB56" s="864"/>
      <c r="EC56" s="864"/>
      <c r="ED56" s="864"/>
      <c r="EE56" s="864"/>
      <c r="EF56" s="980"/>
      <c r="EG56" s="980"/>
      <c r="EH56" s="980"/>
      <c r="EI56" s="855"/>
      <c r="EJ56" s="999"/>
      <c r="EK56" s="999"/>
      <c r="EL56" s="999"/>
      <c r="EM56" s="999"/>
      <c r="EN56" s="999"/>
      <c r="EO56" s="999"/>
      <c r="EP56" s="999"/>
      <c r="EQ56" s="999"/>
      <c r="ER56" s="999"/>
      <c r="ES56" s="999"/>
      <c r="ET56" s="999"/>
      <c r="EU56" s="864"/>
      <c r="EV56" s="864"/>
      <c r="EW56" s="980"/>
      <c r="EX56" s="864"/>
      <c r="EY56" s="864"/>
      <c r="EZ56" s="864"/>
      <c r="FA56" s="864"/>
      <c r="FB56" s="864"/>
      <c r="FC56" s="864"/>
      <c r="FD56" s="864"/>
      <c r="FE56" s="980"/>
      <c r="FF56" s="864"/>
      <c r="FG56" s="864"/>
      <c r="FH56" s="864"/>
      <c r="FI56" s="864"/>
      <c r="FJ56" s="864"/>
      <c r="FK56" s="1000"/>
      <c r="FL56" s="980"/>
      <c r="FM56" s="980"/>
      <c r="FN56" s="980"/>
      <c r="FO56" s="980"/>
      <c r="FP56" s="980"/>
      <c r="FQ56" s="980"/>
      <c r="FR56" s="864"/>
      <c r="FS56" s="864"/>
      <c r="FT56" s="864"/>
      <c r="FU56" s="864"/>
      <c r="FV56" s="864"/>
      <c r="FW56" s="864"/>
      <c r="FX56" s="864"/>
      <c r="FY56" s="864"/>
      <c r="FZ56" s="864"/>
      <c r="GA56" s="980"/>
      <c r="GB56" s="980"/>
      <c r="GC56" s="980"/>
      <c r="GD56" s="980"/>
      <c r="GE56" s="980"/>
      <c r="GF56" s="980"/>
      <c r="GG56" s="980"/>
      <c r="GH56" s="864"/>
      <c r="GI56" s="864"/>
      <c r="GJ56" s="864"/>
      <c r="GK56" s="864"/>
      <c r="GL56" s="864"/>
      <c r="GM56" s="864"/>
      <c r="GN56" s="864"/>
      <c r="GO56" s="1001"/>
      <c r="GP56" s="1002"/>
      <c r="GQ56" s="867"/>
      <c r="GR56" s="864"/>
      <c r="GS56" s="864"/>
      <c r="GT56" s="864"/>
      <c r="GU56" s="864"/>
      <c r="GV56" s="864"/>
      <c r="GW56" s="864"/>
      <c r="GX56" s="864"/>
      <c r="GY56" s="864"/>
      <c r="GZ56" s="864"/>
      <c r="HA56" s="864"/>
      <c r="HB56" s="864"/>
      <c r="HC56" s="864"/>
      <c r="HD56" s="864"/>
      <c r="HE56" s="980"/>
      <c r="HF56" s="980"/>
      <c r="HG56" s="864"/>
      <c r="HH56" s="999"/>
      <c r="HI56" s="980"/>
      <c r="HJ56" s="980"/>
      <c r="HK56" s="999"/>
      <c r="HL56" s="864"/>
      <c r="HM56" s="864"/>
      <c r="HN56" s="864"/>
      <c r="HO56" s="1004"/>
      <c r="HP56" s="980"/>
      <c r="HQ56" s="980"/>
      <c r="HR56" s="998"/>
      <c r="HS56" s="980"/>
      <c r="HT56" s="980"/>
      <c r="HU56" s="980"/>
      <c r="HV56" s="1000"/>
      <c r="HW56" s="980"/>
      <c r="HX56" s="980"/>
      <c r="HY56" s="980"/>
      <c r="HZ56" s="980"/>
      <c r="IA56" s="980"/>
      <c r="IB56" s="980"/>
      <c r="IC56" s="980"/>
      <c r="ID56" s="980"/>
      <c r="IE56" s="980"/>
      <c r="IF56" s="980"/>
      <c r="IG56" s="998"/>
      <c r="IH56" s="980"/>
      <c r="II56" s="980"/>
      <c r="IJ56" s="998"/>
      <c r="IK56" s="980"/>
      <c r="IL56" s="980"/>
      <c r="IM56" s="980"/>
      <c r="IN56" s="980"/>
      <c r="IO56" s="864"/>
      <c r="IP56" s="864"/>
      <c r="IQ56" s="864"/>
      <c r="IR56" s="998"/>
      <c r="IS56" s="980"/>
      <c r="IT56" s="980"/>
      <c r="IU56" s="980"/>
      <c r="IV56" s="980"/>
      <c r="IW56" s="980"/>
      <c r="IX56" s="999"/>
      <c r="IY56" s="980"/>
      <c r="IZ56" s="980"/>
      <c r="JA56" s="980"/>
      <c r="JB56" s="980"/>
      <c r="JC56" s="980"/>
      <c r="JD56" s="980"/>
      <c r="JE56" s="980"/>
      <c r="JF56" s="999"/>
      <c r="JG56" s="980"/>
      <c r="JH56" s="980"/>
      <c r="JI56" s="980"/>
      <c r="JJ56" s="980"/>
      <c r="JK56" s="980"/>
      <c r="JL56" s="980"/>
      <c r="JM56" s="980"/>
      <c r="JN56" s="980"/>
      <c r="JO56" s="980"/>
      <c r="JP56" s="980"/>
      <c r="JQ56" s="999"/>
      <c r="JR56" s="980"/>
      <c r="JS56" s="980"/>
      <c r="JT56" s="980"/>
      <c r="JU56" s="980"/>
      <c r="JV56" s="980"/>
      <c r="JW56" s="980"/>
      <c r="JX56" s="980"/>
      <c r="JY56" s="980"/>
      <c r="JZ56" s="980"/>
      <c r="KA56" s="980"/>
      <c r="KB56" s="980"/>
      <c r="KC56" s="980"/>
      <c r="KD56" s="980"/>
      <c r="KE56" s="998"/>
      <c r="KF56" s="998"/>
      <c r="KG56" s="998"/>
      <c r="KH56" s="998"/>
      <c r="KI56" s="998">
        <v>0</v>
      </c>
      <c r="KJ56" s="998"/>
      <c r="KK56" s="998"/>
      <c r="KL56" s="980"/>
      <c r="KM56" s="864"/>
      <c r="KN56" s="864"/>
      <c r="KO56" s="864"/>
      <c r="KP56" s="864"/>
      <c r="KQ56" s="864"/>
      <c r="KR56" s="980"/>
      <c r="KS56" s="864"/>
      <c r="KT56" s="980"/>
      <c r="KU56" s="864"/>
      <c r="KV56" s="980"/>
      <c r="KW56" s="980"/>
      <c r="KX56" s="980"/>
      <c r="KY56" s="858"/>
      <c r="KZ56" s="980"/>
      <c r="LA56" s="980"/>
      <c r="LB56" s="980"/>
      <c r="LC56" s="980"/>
      <c r="LD56" s="980"/>
      <c r="LE56" s="980"/>
      <c r="LF56" s="999"/>
      <c r="LG56" s="999"/>
      <c r="LH56" s="999"/>
      <c r="LI56" s="999"/>
      <c r="LJ56" s="999"/>
      <c r="LK56" s="999"/>
      <c r="LL56" s="999"/>
      <c r="LM56" s="999"/>
      <c r="LN56" s="999"/>
      <c r="LO56" s="999"/>
      <c r="LP56" s="999"/>
      <c r="LQ56" s="999"/>
      <c r="LR56" s="999"/>
      <c r="LS56" s="999"/>
      <c r="LT56" s="999"/>
      <c r="LU56" s="999"/>
      <c r="LV56" s="999"/>
      <c r="LW56" s="999"/>
      <c r="LX56" s="999"/>
      <c r="LY56" s="999"/>
    </row>
    <row r="57" spans="1:337" ht="36" customHeight="1" x14ac:dyDescent="0.25">
      <c r="A57" s="1584"/>
      <c r="B57" s="1617"/>
      <c r="C57" s="353" t="s">
        <v>116</v>
      </c>
      <c r="D57" s="354" t="s">
        <v>23</v>
      </c>
      <c r="E57" s="844" t="s">
        <v>53</v>
      </c>
      <c r="F57" s="863"/>
      <c r="G57" s="863"/>
      <c r="H57" s="864"/>
      <c r="I57" s="864"/>
      <c r="J57" s="864"/>
      <c r="K57" s="864"/>
      <c r="L57" s="864"/>
      <c r="M57" s="864"/>
      <c r="N57" s="852"/>
      <c r="O57" s="864"/>
      <c r="P57" s="864"/>
      <c r="Q57" s="864"/>
      <c r="R57" s="864"/>
      <c r="S57" s="864"/>
      <c r="T57" s="864"/>
      <c r="U57" s="864"/>
      <c r="V57" s="980"/>
      <c r="W57" s="980">
        <v>1</v>
      </c>
      <c r="X57" s="980"/>
      <c r="Y57" s="980"/>
      <c r="Z57" s="980">
        <v>3</v>
      </c>
      <c r="AA57" s="864"/>
      <c r="AB57" s="864"/>
      <c r="AC57" s="864"/>
      <c r="AD57" s="864"/>
      <c r="AE57" s="864"/>
      <c r="AF57" s="864"/>
      <c r="AG57" s="864"/>
      <c r="AH57" s="864"/>
      <c r="AI57" s="864"/>
      <c r="AJ57" s="864"/>
      <c r="AK57" s="864"/>
      <c r="AL57" s="864"/>
      <c r="AM57" s="864"/>
      <c r="AN57" s="864"/>
      <c r="AO57" s="864"/>
      <c r="AP57" s="864"/>
      <c r="AQ57" s="864"/>
      <c r="AR57" s="864"/>
      <c r="AS57" s="864"/>
      <c r="AT57" s="864"/>
      <c r="AU57" s="864"/>
      <c r="AV57" s="980"/>
      <c r="AW57" s="980"/>
      <c r="AX57" s="864"/>
      <c r="AY57" s="864"/>
      <c r="AZ57" s="864"/>
      <c r="BA57" s="852"/>
      <c r="BB57" s="980"/>
      <c r="BC57" s="980"/>
      <c r="BD57" s="980"/>
      <c r="BE57" s="864"/>
      <c r="BF57" s="864"/>
      <c r="BG57" s="864"/>
      <c r="BH57" s="864"/>
      <c r="BI57" s="864"/>
      <c r="BJ57" s="864"/>
      <c r="BK57" s="864"/>
      <c r="BL57" s="864"/>
      <c r="BM57" s="864"/>
      <c r="BN57" s="864"/>
      <c r="BO57" s="864"/>
      <c r="BP57" s="864"/>
      <c r="BQ57" s="864"/>
      <c r="BR57" s="864"/>
      <c r="BS57" s="864"/>
      <c r="BT57" s="980"/>
      <c r="BU57" s="980"/>
      <c r="BV57" s="980"/>
      <c r="BW57" s="980"/>
      <c r="BX57" s="864"/>
      <c r="BY57" s="864"/>
      <c r="BZ57" s="864"/>
      <c r="CA57" s="864"/>
      <c r="CB57" s="864"/>
      <c r="CC57" s="1007">
        <v>1</v>
      </c>
      <c r="CD57" s="864"/>
      <c r="CE57" s="864"/>
      <c r="CF57" s="864"/>
      <c r="CG57" s="864"/>
      <c r="CH57" s="864"/>
      <c r="CI57" s="864"/>
      <c r="CJ57" s="864"/>
      <c r="CK57" s="980"/>
      <c r="CL57" s="980"/>
      <c r="CM57" s="864"/>
      <c r="CN57" s="864"/>
      <c r="CO57" s="864"/>
      <c r="CP57" s="864"/>
      <c r="CQ57" s="864"/>
      <c r="CR57" s="864"/>
      <c r="CS57" s="864"/>
      <c r="CT57" s="864"/>
      <c r="CU57" s="864"/>
      <c r="CV57" s="864"/>
      <c r="CW57" s="864"/>
      <c r="CX57" s="864"/>
      <c r="CY57" s="864"/>
      <c r="CZ57" s="864"/>
      <c r="DA57" s="864"/>
      <c r="DB57" s="864"/>
      <c r="DC57" s="864"/>
      <c r="DD57" s="864"/>
      <c r="DE57" s="864"/>
      <c r="DF57" s="980"/>
      <c r="DG57" s="864"/>
      <c r="DH57" s="980"/>
      <c r="DI57" s="980"/>
      <c r="DJ57" s="980"/>
      <c r="DK57" s="980"/>
      <c r="DL57" s="980"/>
      <c r="DM57" s="980"/>
      <c r="DN57" s="864"/>
      <c r="DO57" s="864"/>
      <c r="DP57" s="980"/>
      <c r="DQ57" s="864"/>
      <c r="DR57" s="864"/>
      <c r="DS57" s="864"/>
      <c r="DT57" s="864"/>
      <c r="DU57" s="864"/>
      <c r="DV57" s="864"/>
      <c r="DW57" s="864"/>
      <c r="DX57" s="864"/>
      <c r="DY57" s="864"/>
      <c r="DZ57" s="864"/>
      <c r="EA57" s="864"/>
      <c r="EB57" s="864"/>
      <c r="EC57" s="864"/>
      <c r="ED57" s="864"/>
      <c r="EE57" s="864"/>
      <c r="EF57" s="980"/>
      <c r="EG57" s="980"/>
      <c r="EH57" s="980"/>
      <c r="EI57" s="855"/>
      <c r="EJ57" s="999"/>
      <c r="EK57" s="999">
        <v>1</v>
      </c>
      <c r="EL57" s="999">
        <v>1</v>
      </c>
      <c r="EM57" s="999"/>
      <c r="EN57" s="999">
        <v>2</v>
      </c>
      <c r="EO57" s="999">
        <v>1</v>
      </c>
      <c r="EP57" s="999"/>
      <c r="EQ57" s="999">
        <v>2</v>
      </c>
      <c r="ER57" s="999"/>
      <c r="ES57" s="999"/>
      <c r="ET57" s="999">
        <v>1</v>
      </c>
      <c r="EU57" s="864"/>
      <c r="EV57" s="864"/>
      <c r="EW57" s="980"/>
      <c r="EX57" s="864"/>
      <c r="EY57" s="864"/>
      <c r="EZ57" s="864"/>
      <c r="FA57" s="864"/>
      <c r="FB57" s="864"/>
      <c r="FC57" s="864"/>
      <c r="FD57" s="864"/>
      <c r="FE57" s="980"/>
      <c r="FF57" s="864"/>
      <c r="FG57" s="864"/>
      <c r="FH57" s="864"/>
      <c r="FI57" s="864"/>
      <c r="FJ57" s="864"/>
      <c r="FK57" s="1000"/>
      <c r="FL57" s="980"/>
      <c r="FM57" s="980"/>
      <c r="FN57" s="980"/>
      <c r="FO57" s="980"/>
      <c r="FP57" s="980"/>
      <c r="FQ57" s="980"/>
      <c r="FR57" s="864"/>
      <c r="FS57" s="864"/>
      <c r="FT57" s="864"/>
      <c r="FU57" s="864"/>
      <c r="FV57" s="864"/>
      <c r="FW57" s="864"/>
      <c r="FX57" s="864"/>
      <c r="FY57" s="864"/>
      <c r="FZ57" s="864"/>
      <c r="GA57" s="980"/>
      <c r="GB57" s="980"/>
      <c r="GC57" s="980"/>
      <c r="GD57" s="980"/>
      <c r="GE57" s="980">
        <v>1</v>
      </c>
      <c r="GF57" s="980"/>
      <c r="GG57" s="980"/>
      <c r="GH57" s="864"/>
      <c r="GI57" s="864"/>
      <c r="GJ57" s="864"/>
      <c r="GK57" s="864"/>
      <c r="GL57" s="864"/>
      <c r="GM57" s="864"/>
      <c r="GN57" s="864"/>
      <c r="GO57" s="1001"/>
      <c r="GP57" s="1002"/>
      <c r="GQ57" s="867"/>
      <c r="GR57" s="864"/>
      <c r="GS57" s="864"/>
      <c r="GT57" s="864"/>
      <c r="GU57" s="864"/>
      <c r="GV57" s="864"/>
      <c r="GW57" s="864"/>
      <c r="GX57" s="864"/>
      <c r="GY57" s="864"/>
      <c r="GZ57" s="864"/>
      <c r="HA57" s="864"/>
      <c r="HB57" s="864"/>
      <c r="HC57" s="864"/>
      <c r="HD57" s="864"/>
      <c r="HE57" s="980"/>
      <c r="HF57" s="980"/>
      <c r="HG57" s="864"/>
      <c r="HH57" s="999"/>
      <c r="HI57" s="980"/>
      <c r="HJ57" s="980"/>
      <c r="HK57" s="999"/>
      <c r="HL57" s="864"/>
      <c r="HM57" s="864"/>
      <c r="HN57" s="864"/>
      <c r="HO57" s="1004"/>
      <c r="HP57" s="980"/>
      <c r="HQ57" s="980"/>
      <c r="HR57" s="998"/>
      <c r="HS57" s="980"/>
      <c r="HT57" s="980"/>
      <c r="HU57" s="980"/>
      <c r="HV57" s="1000"/>
      <c r="HW57" s="980">
        <v>1</v>
      </c>
      <c r="HX57" s="980"/>
      <c r="HY57" s="980">
        <v>1</v>
      </c>
      <c r="HZ57" s="980"/>
      <c r="IA57" s="980"/>
      <c r="IB57" s="980"/>
      <c r="IC57" s="980"/>
      <c r="ID57" s="980"/>
      <c r="IE57" s="980"/>
      <c r="IF57" s="980"/>
      <c r="IG57" s="998"/>
      <c r="IH57" s="980"/>
      <c r="II57" s="980"/>
      <c r="IJ57" s="998"/>
      <c r="IK57" s="980"/>
      <c r="IL57" s="980"/>
      <c r="IM57" s="980"/>
      <c r="IN57" s="980"/>
      <c r="IO57" s="864"/>
      <c r="IP57" s="864"/>
      <c r="IQ57" s="864"/>
      <c r="IR57" s="998"/>
      <c r="IS57" s="980"/>
      <c r="IT57" s="980"/>
      <c r="IU57" s="980">
        <v>1</v>
      </c>
      <c r="IV57" s="980"/>
      <c r="IW57" s="980"/>
      <c r="IX57" s="999"/>
      <c r="IY57" s="980"/>
      <c r="IZ57" s="980"/>
      <c r="JA57" s="980">
        <v>1</v>
      </c>
      <c r="JB57" s="980"/>
      <c r="JC57" s="980"/>
      <c r="JD57" s="980"/>
      <c r="JE57" s="980"/>
      <c r="JF57" s="999">
        <v>1</v>
      </c>
      <c r="JG57" s="980"/>
      <c r="JH57" s="980"/>
      <c r="JI57" s="980"/>
      <c r="JJ57" s="980"/>
      <c r="JK57" s="980">
        <v>1</v>
      </c>
      <c r="JL57" s="980">
        <v>1</v>
      </c>
      <c r="JM57" s="980"/>
      <c r="JN57" s="980"/>
      <c r="JO57" s="980"/>
      <c r="JP57" s="980"/>
      <c r="JQ57" s="999"/>
      <c r="JR57" s="980"/>
      <c r="JS57" s="980"/>
      <c r="JT57" s="980">
        <v>1</v>
      </c>
      <c r="JU57" s="980"/>
      <c r="JV57" s="980"/>
      <c r="JW57" s="980">
        <v>1</v>
      </c>
      <c r="JX57" s="980"/>
      <c r="JY57" s="980">
        <v>1</v>
      </c>
      <c r="JZ57" s="980"/>
      <c r="KA57" s="980">
        <v>1</v>
      </c>
      <c r="KB57" s="980">
        <v>1</v>
      </c>
      <c r="KC57" s="980"/>
      <c r="KD57" s="980"/>
      <c r="KE57" s="998"/>
      <c r="KF57" s="998"/>
      <c r="KG57" s="998">
        <v>1</v>
      </c>
      <c r="KH57" s="998"/>
      <c r="KI57" s="998">
        <v>0</v>
      </c>
      <c r="KJ57" s="998"/>
      <c r="KK57" s="998"/>
      <c r="KL57" s="980"/>
      <c r="KM57" s="864"/>
      <c r="KN57" s="864"/>
      <c r="KO57" s="864"/>
      <c r="KP57" s="864"/>
      <c r="KQ57" s="864"/>
      <c r="KR57" s="980"/>
      <c r="KS57" s="864"/>
      <c r="KT57" s="980"/>
      <c r="KU57" s="864"/>
      <c r="KV57" s="980"/>
      <c r="KW57" s="980">
        <v>1</v>
      </c>
      <c r="KX57" s="980">
        <v>1</v>
      </c>
      <c r="KY57" s="858"/>
      <c r="KZ57" s="980">
        <v>1</v>
      </c>
      <c r="LA57" s="980">
        <v>2</v>
      </c>
      <c r="LB57" s="980"/>
      <c r="LC57" s="980"/>
      <c r="LD57" s="980">
        <v>1</v>
      </c>
      <c r="LE57" s="980"/>
      <c r="LF57" s="999"/>
      <c r="LG57" s="999"/>
      <c r="LH57" s="999"/>
      <c r="LI57" s="999"/>
      <c r="LJ57" s="999">
        <v>1</v>
      </c>
      <c r="LK57" s="999">
        <v>1</v>
      </c>
      <c r="LL57" s="999">
        <v>1</v>
      </c>
      <c r="LM57" s="999"/>
      <c r="LN57" s="999">
        <v>1</v>
      </c>
      <c r="LO57" s="999"/>
      <c r="LP57" s="999"/>
      <c r="LQ57" s="999"/>
      <c r="LR57" s="999"/>
      <c r="LS57" s="999"/>
      <c r="LT57" s="999"/>
      <c r="LU57" s="999"/>
      <c r="LV57" s="999"/>
      <c r="LW57" s="999"/>
      <c r="LX57" s="999"/>
      <c r="LY57" s="999"/>
    </row>
    <row r="58" spans="1:337" ht="31.5" customHeight="1" x14ac:dyDescent="0.25">
      <c r="A58" s="1584"/>
      <c r="B58" s="1617"/>
      <c r="C58" s="353" t="s">
        <v>117</v>
      </c>
      <c r="D58" s="354" t="s">
        <v>223</v>
      </c>
      <c r="E58" s="844" t="s">
        <v>53</v>
      </c>
      <c r="F58" s="863"/>
      <c r="G58" s="863"/>
      <c r="H58" s="864"/>
      <c r="I58" s="864"/>
      <c r="J58" s="864"/>
      <c r="K58" s="864"/>
      <c r="L58" s="864"/>
      <c r="M58" s="864"/>
      <c r="N58" s="852">
        <v>4</v>
      </c>
      <c r="O58" s="864"/>
      <c r="P58" s="864"/>
      <c r="Q58" s="864"/>
      <c r="R58" s="864"/>
      <c r="S58" s="864"/>
      <c r="T58" s="864"/>
      <c r="U58" s="864"/>
      <c r="V58" s="980"/>
      <c r="W58" s="980"/>
      <c r="X58" s="980"/>
      <c r="Y58" s="980"/>
      <c r="Z58" s="980"/>
      <c r="AA58" s="864"/>
      <c r="AB58" s="864"/>
      <c r="AC58" s="864"/>
      <c r="AD58" s="864"/>
      <c r="AE58" s="864"/>
      <c r="AF58" s="864"/>
      <c r="AG58" s="864"/>
      <c r="AH58" s="864"/>
      <c r="AI58" s="864"/>
      <c r="AJ58" s="864"/>
      <c r="AK58" s="864"/>
      <c r="AL58" s="864"/>
      <c r="AM58" s="864"/>
      <c r="AN58" s="864"/>
      <c r="AO58" s="864"/>
      <c r="AP58" s="864"/>
      <c r="AQ58" s="864"/>
      <c r="AR58" s="864"/>
      <c r="AS58" s="864"/>
      <c r="AT58" s="864"/>
      <c r="AU58" s="864"/>
      <c r="AV58" s="980"/>
      <c r="AW58" s="980"/>
      <c r="AX58" s="864"/>
      <c r="AY58" s="864"/>
      <c r="AZ58" s="864"/>
      <c r="BA58" s="852"/>
      <c r="BB58" s="980"/>
      <c r="BC58" s="980"/>
      <c r="BD58" s="980"/>
      <c r="BE58" s="864"/>
      <c r="BF58" s="864"/>
      <c r="BG58" s="864"/>
      <c r="BH58" s="864"/>
      <c r="BI58" s="864"/>
      <c r="BJ58" s="864"/>
      <c r="BK58" s="864"/>
      <c r="BL58" s="864"/>
      <c r="BM58" s="864"/>
      <c r="BN58" s="864"/>
      <c r="BO58" s="864"/>
      <c r="BP58" s="864"/>
      <c r="BQ58" s="864"/>
      <c r="BR58" s="864"/>
      <c r="BS58" s="864"/>
      <c r="BT58" s="980">
        <v>8</v>
      </c>
      <c r="BU58" s="980"/>
      <c r="BV58" s="980"/>
      <c r="BW58" s="980"/>
      <c r="BX58" s="864"/>
      <c r="BY58" s="864"/>
      <c r="BZ58" s="864"/>
      <c r="CA58" s="864"/>
      <c r="CB58" s="864"/>
      <c r="CC58" s="998"/>
      <c r="CD58" s="864"/>
      <c r="CE58" s="864"/>
      <c r="CF58" s="864"/>
      <c r="CG58" s="864"/>
      <c r="CH58" s="864"/>
      <c r="CI58" s="864"/>
      <c r="CJ58" s="864"/>
      <c r="CK58" s="980"/>
      <c r="CL58" s="980"/>
      <c r="CM58" s="864"/>
      <c r="CN58" s="864"/>
      <c r="CO58" s="864"/>
      <c r="CP58" s="864"/>
      <c r="CQ58" s="864"/>
      <c r="CR58" s="864"/>
      <c r="CS58" s="864"/>
      <c r="CT58" s="864"/>
      <c r="CU58" s="864"/>
      <c r="CV58" s="864"/>
      <c r="CW58" s="864"/>
      <c r="CX58" s="864"/>
      <c r="CY58" s="864"/>
      <c r="CZ58" s="864"/>
      <c r="DA58" s="864"/>
      <c r="DB58" s="864"/>
      <c r="DC58" s="864"/>
      <c r="DD58" s="864"/>
      <c r="DE58" s="864"/>
      <c r="DF58" s="980"/>
      <c r="DG58" s="864"/>
      <c r="DH58" s="980"/>
      <c r="DI58" s="980"/>
      <c r="DJ58" s="980">
        <v>3</v>
      </c>
      <c r="DK58" s="980"/>
      <c r="DL58" s="980">
        <v>3</v>
      </c>
      <c r="DM58" s="980">
        <v>1</v>
      </c>
      <c r="DN58" s="864"/>
      <c r="DO58" s="864"/>
      <c r="DP58" s="980"/>
      <c r="DQ58" s="864"/>
      <c r="DR58" s="864"/>
      <c r="DS58" s="864"/>
      <c r="DT58" s="864"/>
      <c r="DU58" s="864"/>
      <c r="DV58" s="864"/>
      <c r="DW58" s="864"/>
      <c r="DX58" s="864"/>
      <c r="DY58" s="864"/>
      <c r="DZ58" s="864"/>
      <c r="EA58" s="864"/>
      <c r="EB58" s="864"/>
      <c r="EC58" s="864"/>
      <c r="ED58" s="864"/>
      <c r="EE58" s="864"/>
      <c r="EF58" s="980"/>
      <c r="EG58" s="980"/>
      <c r="EH58" s="980"/>
      <c r="EI58" s="855"/>
      <c r="EJ58" s="999"/>
      <c r="EK58" s="999"/>
      <c r="EL58" s="999"/>
      <c r="EM58" s="999"/>
      <c r="EN58" s="999"/>
      <c r="EO58" s="999"/>
      <c r="EP58" s="999"/>
      <c r="EQ58" s="999"/>
      <c r="ER58" s="999"/>
      <c r="ES58" s="999"/>
      <c r="ET58" s="999"/>
      <c r="EU58" s="864"/>
      <c r="EV58" s="864"/>
      <c r="EW58" s="980">
        <v>1</v>
      </c>
      <c r="EX58" s="864"/>
      <c r="EY58" s="864"/>
      <c r="EZ58" s="864"/>
      <c r="FA58" s="864"/>
      <c r="FB58" s="864"/>
      <c r="FC58" s="864"/>
      <c r="FD58" s="864"/>
      <c r="FE58" s="980"/>
      <c r="FF58" s="864"/>
      <c r="FG58" s="864"/>
      <c r="FH58" s="864"/>
      <c r="FI58" s="864"/>
      <c r="FJ58" s="864"/>
      <c r="FK58" s="1000">
        <v>1</v>
      </c>
      <c r="FL58" s="980"/>
      <c r="FM58" s="980"/>
      <c r="FN58" s="980"/>
      <c r="FO58" s="980"/>
      <c r="FP58" s="980"/>
      <c r="FQ58" s="980"/>
      <c r="FR58" s="864"/>
      <c r="FS58" s="864"/>
      <c r="FT58" s="864"/>
      <c r="FU58" s="864"/>
      <c r="FV58" s="864"/>
      <c r="FW58" s="864"/>
      <c r="FX58" s="864"/>
      <c r="FY58" s="864"/>
      <c r="FZ58" s="864"/>
      <c r="GA58" s="980">
        <v>3</v>
      </c>
      <c r="GB58" s="980"/>
      <c r="GC58" s="980"/>
      <c r="GD58" s="980"/>
      <c r="GE58" s="980"/>
      <c r="GF58" s="980"/>
      <c r="GG58" s="980">
        <v>13</v>
      </c>
      <c r="GH58" s="864"/>
      <c r="GI58" s="864"/>
      <c r="GJ58" s="864"/>
      <c r="GK58" s="864"/>
      <c r="GL58" s="864"/>
      <c r="GM58" s="864"/>
      <c r="GN58" s="864"/>
      <c r="GO58" s="1001"/>
      <c r="GP58" s="1002"/>
      <c r="GQ58" s="867"/>
      <c r="GR58" s="864"/>
      <c r="GS58" s="864"/>
      <c r="GT58" s="864"/>
      <c r="GU58" s="864"/>
      <c r="GV58" s="864"/>
      <c r="GW58" s="864"/>
      <c r="GX58" s="864"/>
      <c r="GY58" s="864"/>
      <c r="GZ58" s="864"/>
      <c r="HA58" s="864"/>
      <c r="HB58" s="864"/>
      <c r="HC58" s="864"/>
      <c r="HD58" s="864"/>
      <c r="HE58" s="980"/>
      <c r="HF58" s="980"/>
      <c r="HG58" s="864"/>
      <c r="HH58" s="999"/>
      <c r="HI58" s="980"/>
      <c r="HJ58" s="980"/>
      <c r="HK58" s="999"/>
      <c r="HL58" s="864"/>
      <c r="HM58" s="864"/>
      <c r="HN58" s="864"/>
      <c r="HO58" s="1004"/>
      <c r="HP58" s="980"/>
      <c r="HQ58" s="980"/>
      <c r="HR58" s="998"/>
      <c r="HS58" s="980">
        <v>1</v>
      </c>
      <c r="HT58" s="980"/>
      <c r="HU58" s="980"/>
      <c r="HV58" s="1000"/>
      <c r="HW58" s="980"/>
      <c r="HX58" s="980"/>
      <c r="HY58" s="980"/>
      <c r="HZ58" s="980"/>
      <c r="IA58" s="980"/>
      <c r="IB58" s="980">
        <v>1</v>
      </c>
      <c r="IC58" s="980"/>
      <c r="ID58" s="980">
        <v>1</v>
      </c>
      <c r="IE58" s="980"/>
      <c r="IF58" s="980"/>
      <c r="IG58" s="998"/>
      <c r="IH58" s="980"/>
      <c r="II58" s="980">
        <v>4</v>
      </c>
      <c r="IJ58" s="998"/>
      <c r="IK58" s="980"/>
      <c r="IL58" s="980">
        <v>1</v>
      </c>
      <c r="IM58" s="980"/>
      <c r="IN58" s="980"/>
      <c r="IO58" s="864"/>
      <c r="IP58" s="864"/>
      <c r="IQ58" s="864"/>
      <c r="IR58" s="998"/>
      <c r="IS58" s="980"/>
      <c r="IT58" s="980"/>
      <c r="IU58" s="980"/>
      <c r="IV58" s="980"/>
      <c r="IW58" s="980">
        <v>8</v>
      </c>
      <c r="IX58" s="999"/>
      <c r="IY58" s="980"/>
      <c r="IZ58" s="980"/>
      <c r="JA58" s="980"/>
      <c r="JB58" s="980">
        <v>9</v>
      </c>
      <c r="JC58" s="980"/>
      <c r="JD58" s="980">
        <v>6</v>
      </c>
      <c r="JE58" s="980">
        <v>2</v>
      </c>
      <c r="JF58" s="999"/>
      <c r="JG58" s="980"/>
      <c r="JH58" s="980"/>
      <c r="JI58" s="980">
        <v>7</v>
      </c>
      <c r="JJ58" s="980">
        <v>4</v>
      </c>
      <c r="JK58" s="980"/>
      <c r="JL58" s="980"/>
      <c r="JM58" s="980"/>
      <c r="JN58" s="980"/>
      <c r="JO58" s="980"/>
      <c r="JP58" s="980"/>
      <c r="JQ58" s="999"/>
      <c r="JR58" s="980"/>
      <c r="JS58" s="980"/>
      <c r="JT58" s="980"/>
      <c r="JU58" s="980"/>
      <c r="JV58" s="980"/>
      <c r="JW58" s="980"/>
      <c r="JX58" s="980"/>
      <c r="JY58" s="980"/>
      <c r="JZ58" s="980"/>
      <c r="KA58" s="980"/>
      <c r="KB58" s="980"/>
      <c r="KC58" s="980"/>
      <c r="KD58" s="980"/>
      <c r="KE58" s="998"/>
      <c r="KF58" s="998"/>
      <c r="KG58" s="998"/>
      <c r="KH58" s="998"/>
      <c r="KI58" s="998">
        <v>0</v>
      </c>
      <c r="KJ58" s="998"/>
      <c r="KK58" s="998"/>
      <c r="KL58" s="980">
        <v>1</v>
      </c>
      <c r="KM58" s="864"/>
      <c r="KN58" s="864"/>
      <c r="KO58" s="864"/>
      <c r="KP58" s="864"/>
      <c r="KQ58" s="864"/>
      <c r="KR58" s="980"/>
      <c r="KS58" s="864"/>
      <c r="KT58" s="980"/>
      <c r="KU58" s="864"/>
      <c r="KV58" s="980"/>
      <c r="KW58" s="980"/>
      <c r="KX58" s="980"/>
      <c r="KY58" s="858"/>
      <c r="KZ58" s="980">
        <v>1</v>
      </c>
      <c r="LA58" s="980"/>
      <c r="LB58" s="980"/>
      <c r="LC58" s="980"/>
      <c r="LD58" s="980"/>
      <c r="LE58" s="980"/>
      <c r="LF58" s="999"/>
      <c r="LG58" s="999"/>
      <c r="LH58" s="999"/>
      <c r="LI58" s="999"/>
      <c r="LJ58" s="999"/>
      <c r="LK58" s="999"/>
      <c r="LL58" s="999"/>
      <c r="LM58" s="999"/>
      <c r="LN58" s="999"/>
      <c r="LO58" s="999"/>
      <c r="LP58" s="999"/>
      <c r="LQ58" s="999"/>
      <c r="LR58" s="999">
        <v>2</v>
      </c>
      <c r="LS58" s="999"/>
      <c r="LT58" s="999"/>
      <c r="LU58" s="999"/>
      <c r="LV58" s="999"/>
      <c r="LW58" s="999"/>
      <c r="LX58" s="999"/>
      <c r="LY58" s="999"/>
    </row>
    <row r="59" spans="1:337" ht="110.25" x14ac:dyDescent="0.25">
      <c r="A59" s="1584"/>
      <c r="B59" s="1617"/>
      <c r="C59" s="353" t="s">
        <v>118</v>
      </c>
      <c r="D59" s="354" t="s">
        <v>24</v>
      </c>
      <c r="E59" s="844" t="s">
        <v>53</v>
      </c>
      <c r="F59" s="863"/>
      <c r="G59" s="863"/>
      <c r="H59" s="864"/>
      <c r="I59" s="864"/>
      <c r="J59" s="864"/>
      <c r="K59" s="864"/>
      <c r="L59" s="864"/>
      <c r="M59" s="864"/>
      <c r="N59" s="852"/>
      <c r="O59" s="864"/>
      <c r="P59" s="864"/>
      <c r="Q59" s="864"/>
      <c r="R59" s="864"/>
      <c r="S59" s="864"/>
      <c r="T59" s="864"/>
      <c r="U59" s="864"/>
      <c r="V59" s="980"/>
      <c r="W59" s="980"/>
      <c r="X59" s="980"/>
      <c r="Y59" s="980"/>
      <c r="Z59" s="980"/>
      <c r="AA59" s="864"/>
      <c r="AB59" s="864"/>
      <c r="AC59" s="864"/>
      <c r="AD59" s="864"/>
      <c r="AE59" s="864"/>
      <c r="AF59" s="864"/>
      <c r="AG59" s="864"/>
      <c r="AH59" s="864"/>
      <c r="AI59" s="864"/>
      <c r="AJ59" s="864"/>
      <c r="AK59" s="864"/>
      <c r="AL59" s="864"/>
      <c r="AM59" s="864"/>
      <c r="AN59" s="864"/>
      <c r="AO59" s="864"/>
      <c r="AP59" s="864"/>
      <c r="AQ59" s="864"/>
      <c r="AR59" s="864"/>
      <c r="AS59" s="864"/>
      <c r="AT59" s="864"/>
      <c r="AU59" s="864"/>
      <c r="AV59" s="980"/>
      <c r="AW59" s="980"/>
      <c r="AX59" s="864"/>
      <c r="AY59" s="864"/>
      <c r="AZ59" s="864"/>
      <c r="BA59" s="852"/>
      <c r="BB59" s="980"/>
      <c r="BC59" s="980"/>
      <c r="BD59" s="980"/>
      <c r="BE59" s="864"/>
      <c r="BF59" s="864"/>
      <c r="BG59" s="864"/>
      <c r="BH59" s="864"/>
      <c r="BI59" s="864"/>
      <c r="BJ59" s="864"/>
      <c r="BK59" s="864"/>
      <c r="BL59" s="864"/>
      <c r="BM59" s="864"/>
      <c r="BN59" s="864"/>
      <c r="BO59" s="864"/>
      <c r="BP59" s="864"/>
      <c r="BQ59" s="864"/>
      <c r="BR59" s="864"/>
      <c r="BS59" s="864"/>
      <c r="BT59" s="980">
        <v>9</v>
      </c>
      <c r="BU59" s="980"/>
      <c r="BV59" s="980"/>
      <c r="BW59" s="980"/>
      <c r="BX59" s="864"/>
      <c r="BY59" s="864"/>
      <c r="BZ59" s="864"/>
      <c r="CA59" s="864"/>
      <c r="CB59" s="864"/>
      <c r="CC59" s="998"/>
      <c r="CD59" s="864"/>
      <c r="CE59" s="864"/>
      <c r="CF59" s="864"/>
      <c r="CG59" s="864"/>
      <c r="CH59" s="864"/>
      <c r="CI59" s="864"/>
      <c r="CJ59" s="864"/>
      <c r="CK59" s="980"/>
      <c r="CL59" s="980"/>
      <c r="CM59" s="864"/>
      <c r="CN59" s="864"/>
      <c r="CO59" s="864"/>
      <c r="CP59" s="864"/>
      <c r="CQ59" s="864"/>
      <c r="CR59" s="864"/>
      <c r="CS59" s="864"/>
      <c r="CT59" s="864"/>
      <c r="CU59" s="864"/>
      <c r="CV59" s="864"/>
      <c r="CW59" s="864"/>
      <c r="CX59" s="864"/>
      <c r="CY59" s="864"/>
      <c r="CZ59" s="864"/>
      <c r="DA59" s="864"/>
      <c r="DB59" s="864"/>
      <c r="DC59" s="864"/>
      <c r="DD59" s="864"/>
      <c r="DE59" s="864"/>
      <c r="DF59" s="980"/>
      <c r="DG59" s="864"/>
      <c r="DH59" s="980"/>
      <c r="DI59" s="980"/>
      <c r="DJ59" s="980"/>
      <c r="DK59" s="980"/>
      <c r="DL59" s="980"/>
      <c r="DM59" s="980"/>
      <c r="DN59" s="864"/>
      <c r="DO59" s="864"/>
      <c r="DP59" s="980"/>
      <c r="DQ59" s="864"/>
      <c r="DR59" s="864"/>
      <c r="DS59" s="864"/>
      <c r="DT59" s="864"/>
      <c r="DU59" s="864"/>
      <c r="DV59" s="864"/>
      <c r="DW59" s="864"/>
      <c r="DX59" s="864"/>
      <c r="DY59" s="864"/>
      <c r="DZ59" s="864"/>
      <c r="EA59" s="864"/>
      <c r="EB59" s="864"/>
      <c r="EC59" s="864"/>
      <c r="ED59" s="864"/>
      <c r="EE59" s="864"/>
      <c r="EF59" s="980"/>
      <c r="EG59" s="980"/>
      <c r="EH59" s="980"/>
      <c r="EI59" s="855"/>
      <c r="EJ59" s="999"/>
      <c r="EK59" s="999"/>
      <c r="EL59" s="999">
        <v>1</v>
      </c>
      <c r="EM59" s="999">
        <v>2</v>
      </c>
      <c r="EN59" s="999"/>
      <c r="EO59" s="999"/>
      <c r="EP59" s="999"/>
      <c r="EQ59" s="999"/>
      <c r="ER59" s="999"/>
      <c r="ES59" s="999"/>
      <c r="ET59" s="999"/>
      <c r="EU59" s="864"/>
      <c r="EV59" s="864"/>
      <c r="EW59" s="980">
        <v>1</v>
      </c>
      <c r="EX59" s="864"/>
      <c r="EY59" s="864"/>
      <c r="EZ59" s="864"/>
      <c r="FA59" s="864"/>
      <c r="FB59" s="864"/>
      <c r="FC59" s="864"/>
      <c r="FD59" s="864"/>
      <c r="FE59" s="980">
        <v>2</v>
      </c>
      <c r="FF59" s="864"/>
      <c r="FG59" s="864"/>
      <c r="FH59" s="864"/>
      <c r="FI59" s="864"/>
      <c r="FJ59" s="864"/>
      <c r="FK59" s="1000"/>
      <c r="FL59" s="980"/>
      <c r="FM59" s="980"/>
      <c r="FN59" s="980"/>
      <c r="FO59" s="980"/>
      <c r="FP59" s="980"/>
      <c r="FQ59" s="980"/>
      <c r="FR59" s="864"/>
      <c r="FS59" s="864"/>
      <c r="FT59" s="864"/>
      <c r="FU59" s="864"/>
      <c r="FV59" s="864"/>
      <c r="FW59" s="864"/>
      <c r="FX59" s="864"/>
      <c r="FY59" s="864"/>
      <c r="FZ59" s="864"/>
      <c r="GA59" s="980">
        <v>1</v>
      </c>
      <c r="GB59" s="980"/>
      <c r="GC59" s="980"/>
      <c r="GD59" s="980"/>
      <c r="GE59" s="980">
        <v>1</v>
      </c>
      <c r="GF59" s="980"/>
      <c r="GG59" s="980">
        <v>8</v>
      </c>
      <c r="GH59" s="864"/>
      <c r="GI59" s="864"/>
      <c r="GJ59" s="864"/>
      <c r="GK59" s="864"/>
      <c r="GL59" s="864"/>
      <c r="GM59" s="864"/>
      <c r="GN59" s="864"/>
      <c r="GO59" s="1001"/>
      <c r="GP59" s="1002"/>
      <c r="GQ59" s="867"/>
      <c r="GR59" s="864"/>
      <c r="GS59" s="864"/>
      <c r="GT59" s="864"/>
      <c r="GU59" s="864"/>
      <c r="GV59" s="864"/>
      <c r="GW59" s="864"/>
      <c r="GX59" s="864"/>
      <c r="GY59" s="864"/>
      <c r="GZ59" s="864"/>
      <c r="HA59" s="864"/>
      <c r="HB59" s="864"/>
      <c r="HC59" s="864"/>
      <c r="HD59" s="864"/>
      <c r="HE59" s="980"/>
      <c r="HF59" s="980"/>
      <c r="HG59" s="864"/>
      <c r="HH59" s="999"/>
      <c r="HI59" s="980"/>
      <c r="HJ59" s="980"/>
      <c r="HK59" s="999"/>
      <c r="HL59" s="864"/>
      <c r="HM59" s="864"/>
      <c r="HN59" s="864"/>
      <c r="HO59" s="1004"/>
      <c r="HP59" s="980"/>
      <c r="HQ59" s="980"/>
      <c r="HR59" s="998"/>
      <c r="HS59" s="980"/>
      <c r="HT59" s="980"/>
      <c r="HU59" s="980"/>
      <c r="HV59" s="1000"/>
      <c r="HW59" s="980"/>
      <c r="HX59" s="980"/>
      <c r="HY59" s="980"/>
      <c r="HZ59" s="980"/>
      <c r="IA59" s="980"/>
      <c r="IB59" s="980"/>
      <c r="IC59" s="980"/>
      <c r="ID59" s="980"/>
      <c r="IE59" s="980"/>
      <c r="IF59" s="980"/>
      <c r="IG59" s="998"/>
      <c r="IH59" s="980"/>
      <c r="II59" s="980"/>
      <c r="IJ59" s="998"/>
      <c r="IK59" s="980"/>
      <c r="IL59" s="980"/>
      <c r="IM59" s="980"/>
      <c r="IN59" s="980"/>
      <c r="IO59" s="864"/>
      <c r="IP59" s="864"/>
      <c r="IQ59" s="864"/>
      <c r="IR59" s="998"/>
      <c r="IS59" s="980"/>
      <c r="IT59" s="980">
        <v>3</v>
      </c>
      <c r="IU59" s="980"/>
      <c r="IV59" s="980"/>
      <c r="IW59" s="980"/>
      <c r="IX59" s="999"/>
      <c r="IY59" s="980"/>
      <c r="IZ59" s="980"/>
      <c r="JA59" s="980"/>
      <c r="JB59" s="980"/>
      <c r="JC59" s="980"/>
      <c r="JD59" s="980"/>
      <c r="JE59" s="980">
        <v>3</v>
      </c>
      <c r="JF59" s="999"/>
      <c r="JG59" s="980"/>
      <c r="JH59" s="980"/>
      <c r="JI59" s="980"/>
      <c r="JJ59" s="980">
        <v>1</v>
      </c>
      <c r="JK59" s="980"/>
      <c r="JL59" s="980"/>
      <c r="JM59" s="980"/>
      <c r="JN59" s="980"/>
      <c r="JO59" s="980"/>
      <c r="JP59" s="980"/>
      <c r="JQ59" s="999"/>
      <c r="JR59" s="980"/>
      <c r="JS59" s="980"/>
      <c r="JT59" s="980"/>
      <c r="JU59" s="980"/>
      <c r="JV59" s="980"/>
      <c r="JW59" s="980"/>
      <c r="JX59" s="980"/>
      <c r="JY59" s="980"/>
      <c r="JZ59" s="980"/>
      <c r="KA59" s="980"/>
      <c r="KB59" s="980"/>
      <c r="KC59" s="980"/>
      <c r="KD59" s="980"/>
      <c r="KE59" s="998"/>
      <c r="KF59" s="998"/>
      <c r="KG59" s="998"/>
      <c r="KH59" s="998"/>
      <c r="KI59" s="998">
        <v>0</v>
      </c>
      <c r="KJ59" s="998"/>
      <c r="KK59" s="998"/>
      <c r="KL59" s="980"/>
      <c r="KM59" s="864"/>
      <c r="KN59" s="864"/>
      <c r="KO59" s="864"/>
      <c r="KP59" s="864"/>
      <c r="KQ59" s="864"/>
      <c r="KR59" s="980"/>
      <c r="KS59" s="864"/>
      <c r="KT59" s="980"/>
      <c r="KU59" s="864"/>
      <c r="KV59" s="980"/>
      <c r="KW59" s="980">
        <v>1</v>
      </c>
      <c r="KX59" s="980"/>
      <c r="KY59" s="858"/>
      <c r="KZ59" s="980">
        <v>4</v>
      </c>
      <c r="LA59" s="980"/>
      <c r="LB59" s="980">
        <v>1</v>
      </c>
      <c r="LC59" s="980">
        <v>1</v>
      </c>
      <c r="LD59" s="980"/>
      <c r="LE59" s="980"/>
      <c r="LF59" s="999"/>
      <c r="LG59" s="999"/>
      <c r="LH59" s="999"/>
      <c r="LI59" s="999"/>
      <c r="LJ59" s="999"/>
      <c r="LK59" s="999"/>
      <c r="LL59" s="999"/>
      <c r="LM59" s="999"/>
      <c r="LN59" s="999">
        <v>4</v>
      </c>
      <c r="LO59" s="999"/>
      <c r="LP59" s="999"/>
      <c r="LQ59" s="999">
        <v>1</v>
      </c>
      <c r="LR59" s="999"/>
      <c r="LS59" s="999"/>
      <c r="LT59" s="999"/>
      <c r="LU59" s="999">
        <v>1</v>
      </c>
      <c r="LV59" s="999"/>
      <c r="LW59" s="999"/>
      <c r="LX59" s="999">
        <v>1</v>
      </c>
      <c r="LY59" s="999"/>
    </row>
    <row r="60" spans="1:337" ht="31.5" customHeight="1" x14ac:dyDescent="0.25">
      <c r="A60" s="1584"/>
      <c r="B60" s="1617"/>
      <c r="C60" s="353" t="s">
        <v>119</v>
      </c>
      <c r="D60" s="354" t="s">
        <v>25</v>
      </c>
      <c r="E60" s="844" t="s">
        <v>53</v>
      </c>
      <c r="F60" s="863"/>
      <c r="G60" s="863"/>
      <c r="H60" s="864"/>
      <c r="I60" s="864"/>
      <c r="J60" s="864"/>
      <c r="K60" s="864"/>
      <c r="L60" s="864"/>
      <c r="M60" s="864"/>
      <c r="N60" s="852"/>
      <c r="O60" s="864"/>
      <c r="P60" s="864"/>
      <c r="Q60" s="864"/>
      <c r="R60" s="864"/>
      <c r="S60" s="864"/>
      <c r="T60" s="864"/>
      <c r="U60" s="864"/>
      <c r="V60" s="980">
        <v>1</v>
      </c>
      <c r="W60" s="980"/>
      <c r="X60" s="980"/>
      <c r="Y60" s="980"/>
      <c r="Z60" s="980"/>
      <c r="AA60" s="864"/>
      <c r="AB60" s="864"/>
      <c r="AC60" s="864"/>
      <c r="AD60" s="864"/>
      <c r="AE60" s="864"/>
      <c r="AF60" s="864"/>
      <c r="AG60" s="864"/>
      <c r="AH60" s="864"/>
      <c r="AI60" s="864"/>
      <c r="AJ60" s="864"/>
      <c r="AK60" s="864"/>
      <c r="AL60" s="864"/>
      <c r="AM60" s="864"/>
      <c r="AN60" s="864"/>
      <c r="AO60" s="864"/>
      <c r="AP60" s="864"/>
      <c r="AQ60" s="864"/>
      <c r="AR60" s="864"/>
      <c r="AS60" s="864"/>
      <c r="AT60" s="864"/>
      <c r="AU60" s="864"/>
      <c r="AV60" s="980"/>
      <c r="AW60" s="980"/>
      <c r="AX60" s="864"/>
      <c r="AY60" s="864"/>
      <c r="AZ60" s="864"/>
      <c r="BA60" s="852">
        <v>2</v>
      </c>
      <c r="BB60" s="980">
        <v>1</v>
      </c>
      <c r="BC60" s="980"/>
      <c r="BD60" s="980"/>
      <c r="BE60" s="864"/>
      <c r="BF60" s="864"/>
      <c r="BG60" s="864"/>
      <c r="BH60" s="864"/>
      <c r="BI60" s="864"/>
      <c r="BJ60" s="864"/>
      <c r="BK60" s="864"/>
      <c r="BL60" s="864"/>
      <c r="BM60" s="864"/>
      <c r="BN60" s="864"/>
      <c r="BO60" s="864"/>
      <c r="BP60" s="864"/>
      <c r="BQ60" s="864"/>
      <c r="BR60" s="864"/>
      <c r="BS60" s="864"/>
      <c r="BT60" s="980">
        <v>3</v>
      </c>
      <c r="BU60" s="980"/>
      <c r="BV60" s="980"/>
      <c r="BW60" s="980"/>
      <c r="BX60" s="864"/>
      <c r="BY60" s="864"/>
      <c r="BZ60" s="864"/>
      <c r="CA60" s="864"/>
      <c r="CB60" s="864"/>
      <c r="CC60" s="998"/>
      <c r="CD60" s="864"/>
      <c r="CE60" s="864"/>
      <c r="CF60" s="864"/>
      <c r="CG60" s="864"/>
      <c r="CH60" s="864"/>
      <c r="CI60" s="864"/>
      <c r="CJ60" s="864"/>
      <c r="CK60" s="980"/>
      <c r="CL60" s="980"/>
      <c r="CM60" s="864"/>
      <c r="CN60" s="864"/>
      <c r="CO60" s="864"/>
      <c r="CP60" s="864"/>
      <c r="CQ60" s="864"/>
      <c r="CR60" s="864"/>
      <c r="CS60" s="864"/>
      <c r="CT60" s="864"/>
      <c r="CU60" s="864"/>
      <c r="CV60" s="864"/>
      <c r="CW60" s="864"/>
      <c r="CX60" s="864"/>
      <c r="CY60" s="864"/>
      <c r="CZ60" s="864"/>
      <c r="DA60" s="864"/>
      <c r="DB60" s="864"/>
      <c r="DC60" s="864"/>
      <c r="DD60" s="864"/>
      <c r="DE60" s="864"/>
      <c r="DF60" s="980"/>
      <c r="DG60" s="864"/>
      <c r="DH60" s="980"/>
      <c r="DI60" s="980"/>
      <c r="DJ60" s="980"/>
      <c r="DK60" s="980"/>
      <c r="DL60" s="980"/>
      <c r="DM60" s="980"/>
      <c r="DN60" s="864"/>
      <c r="DO60" s="864"/>
      <c r="DP60" s="980"/>
      <c r="DQ60" s="864"/>
      <c r="DR60" s="864"/>
      <c r="DS60" s="864"/>
      <c r="DT60" s="864"/>
      <c r="DU60" s="864"/>
      <c r="DV60" s="864"/>
      <c r="DW60" s="864"/>
      <c r="DX60" s="864"/>
      <c r="DY60" s="864"/>
      <c r="DZ60" s="864"/>
      <c r="EA60" s="864"/>
      <c r="EB60" s="864"/>
      <c r="EC60" s="864"/>
      <c r="ED60" s="864"/>
      <c r="EE60" s="864"/>
      <c r="EF60" s="980"/>
      <c r="EG60" s="980"/>
      <c r="EH60" s="980">
        <v>1</v>
      </c>
      <c r="EI60" s="855"/>
      <c r="EJ60" s="999"/>
      <c r="EK60" s="999">
        <v>1</v>
      </c>
      <c r="EL60" s="999"/>
      <c r="EM60" s="999"/>
      <c r="EN60" s="999"/>
      <c r="EO60" s="999"/>
      <c r="EP60" s="999"/>
      <c r="EQ60" s="999"/>
      <c r="ER60" s="999"/>
      <c r="ES60" s="999"/>
      <c r="ET60" s="999">
        <v>1</v>
      </c>
      <c r="EU60" s="864"/>
      <c r="EV60" s="864"/>
      <c r="EW60" s="980">
        <v>2</v>
      </c>
      <c r="EX60" s="864"/>
      <c r="EY60" s="864"/>
      <c r="EZ60" s="864"/>
      <c r="FA60" s="864"/>
      <c r="FB60" s="864"/>
      <c r="FC60" s="864"/>
      <c r="FD60" s="864"/>
      <c r="FE60" s="980">
        <v>4</v>
      </c>
      <c r="FF60" s="864"/>
      <c r="FG60" s="864"/>
      <c r="FH60" s="864"/>
      <c r="FI60" s="864"/>
      <c r="FJ60" s="864"/>
      <c r="FK60" s="1000">
        <v>1</v>
      </c>
      <c r="FL60" s="980"/>
      <c r="FM60" s="980"/>
      <c r="FN60" s="980">
        <v>2</v>
      </c>
      <c r="FO60" s="980"/>
      <c r="FP60" s="980"/>
      <c r="FQ60" s="980"/>
      <c r="FR60" s="864"/>
      <c r="FS60" s="864"/>
      <c r="FT60" s="864"/>
      <c r="FU60" s="864"/>
      <c r="FV60" s="864"/>
      <c r="FW60" s="864"/>
      <c r="FX60" s="864"/>
      <c r="FY60" s="864"/>
      <c r="FZ60" s="864"/>
      <c r="GA60" s="980">
        <v>2</v>
      </c>
      <c r="GB60" s="980"/>
      <c r="GC60" s="980"/>
      <c r="GD60" s="980">
        <v>1</v>
      </c>
      <c r="GE60" s="980">
        <v>1</v>
      </c>
      <c r="GF60" s="980"/>
      <c r="GG60" s="980">
        <v>3</v>
      </c>
      <c r="GH60" s="864"/>
      <c r="GI60" s="864"/>
      <c r="GJ60" s="864"/>
      <c r="GK60" s="864"/>
      <c r="GL60" s="864"/>
      <c r="GM60" s="864"/>
      <c r="GN60" s="864"/>
      <c r="GO60" s="1001">
        <v>3</v>
      </c>
      <c r="GP60" s="1002"/>
      <c r="GQ60" s="867"/>
      <c r="GR60" s="864"/>
      <c r="GS60" s="864"/>
      <c r="GT60" s="864"/>
      <c r="GU60" s="864"/>
      <c r="GV60" s="864"/>
      <c r="GW60" s="864"/>
      <c r="GX60" s="864"/>
      <c r="GY60" s="864"/>
      <c r="GZ60" s="864"/>
      <c r="HA60" s="864"/>
      <c r="HB60" s="864"/>
      <c r="HC60" s="864"/>
      <c r="HD60" s="864"/>
      <c r="HE60" s="980">
        <v>2</v>
      </c>
      <c r="HF60" s="980"/>
      <c r="HG60" s="864"/>
      <c r="HH60" s="999"/>
      <c r="HI60" s="980"/>
      <c r="HJ60" s="980"/>
      <c r="HK60" s="999"/>
      <c r="HL60" s="864"/>
      <c r="HM60" s="864"/>
      <c r="HN60" s="864"/>
      <c r="HO60" s="1004"/>
      <c r="HP60" s="980"/>
      <c r="HQ60" s="980"/>
      <c r="HR60" s="998"/>
      <c r="HS60" s="980"/>
      <c r="HT60" s="980"/>
      <c r="HU60" s="980"/>
      <c r="HV60" s="1000"/>
      <c r="HW60" s="980"/>
      <c r="HX60" s="980"/>
      <c r="HY60" s="980"/>
      <c r="HZ60" s="980"/>
      <c r="IA60" s="980"/>
      <c r="IB60" s="980"/>
      <c r="IC60" s="980">
        <v>1</v>
      </c>
      <c r="ID60" s="980"/>
      <c r="IE60" s="980"/>
      <c r="IF60" s="980"/>
      <c r="IG60" s="998">
        <v>1</v>
      </c>
      <c r="IH60" s="980"/>
      <c r="II60" s="980"/>
      <c r="IJ60" s="998"/>
      <c r="IK60" s="980"/>
      <c r="IL60" s="980">
        <v>2</v>
      </c>
      <c r="IM60" s="980"/>
      <c r="IN60" s="980"/>
      <c r="IO60" s="864"/>
      <c r="IP60" s="864"/>
      <c r="IQ60" s="864"/>
      <c r="IR60" s="998"/>
      <c r="IS60" s="980"/>
      <c r="IT60" s="980"/>
      <c r="IU60" s="980"/>
      <c r="IV60" s="980">
        <v>4</v>
      </c>
      <c r="IW60" s="980"/>
      <c r="IX60" s="999"/>
      <c r="IY60" s="980"/>
      <c r="IZ60" s="980"/>
      <c r="JA60" s="980"/>
      <c r="JB60" s="980">
        <v>2</v>
      </c>
      <c r="JC60" s="980"/>
      <c r="JD60" s="980">
        <v>1</v>
      </c>
      <c r="JE60" s="980"/>
      <c r="JF60" s="999">
        <v>4</v>
      </c>
      <c r="JG60" s="980">
        <v>1</v>
      </c>
      <c r="JH60" s="980"/>
      <c r="JI60" s="980">
        <v>3</v>
      </c>
      <c r="JJ60" s="980">
        <v>1</v>
      </c>
      <c r="JK60" s="980">
        <v>1</v>
      </c>
      <c r="JL60" s="980"/>
      <c r="JM60" s="980"/>
      <c r="JN60" s="980"/>
      <c r="JO60" s="980"/>
      <c r="JP60" s="980">
        <v>2</v>
      </c>
      <c r="JQ60" s="999"/>
      <c r="JR60" s="980"/>
      <c r="JS60" s="980"/>
      <c r="JT60" s="980">
        <v>1</v>
      </c>
      <c r="JU60" s="980"/>
      <c r="JV60" s="980"/>
      <c r="JW60" s="980">
        <v>1</v>
      </c>
      <c r="JX60" s="980"/>
      <c r="JY60" s="980"/>
      <c r="JZ60" s="980"/>
      <c r="KA60" s="980"/>
      <c r="KB60" s="980"/>
      <c r="KC60" s="980">
        <v>1</v>
      </c>
      <c r="KD60" s="980"/>
      <c r="KE60" s="998"/>
      <c r="KF60" s="998"/>
      <c r="KG60" s="998"/>
      <c r="KH60" s="998"/>
      <c r="KI60" s="998">
        <v>0</v>
      </c>
      <c r="KJ60" s="998"/>
      <c r="KK60" s="998"/>
      <c r="KL60" s="980"/>
      <c r="KM60" s="864"/>
      <c r="KN60" s="864"/>
      <c r="KO60" s="864"/>
      <c r="KP60" s="864"/>
      <c r="KQ60" s="864"/>
      <c r="KR60" s="980"/>
      <c r="KS60" s="864"/>
      <c r="KT60" s="980"/>
      <c r="KU60" s="864"/>
      <c r="KV60" s="980"/>
      <c r="KW60" s="980"/>
      <c r="KX60" s="980"/>
      <c r="KY60" s="858"/>
      <c r="KZ60" s="980">
        <v>4</v>
      </c>
      <c r="LA60" s="980"/>
      <c r="LB60" s="980">
        <v>1</v>
      </c>
      <c r="LC60" s="980">
        <v>1</v>
      </c>
      <c r="LD60" s="980"/>
      <c r="LE60" s="980"/>
      <c r="LF60" s="999">
        <v>2</v>
      </c>
      <c r="LG60" s="999"/>
      <c r="LH60" s="999"/>
      <c r="LI60" s="999"/>
      <c r="LJ60" s="999"/>
      <c r="LK60" s="999"/>
      <c r="LL60" s="999"/>
      <c r="LM60" s="999"/>
      <c r="LN60" s="999">
        <v>2</v>
      </c>
      <c r="LO60" s="999"/>
      <c r="LP60" s="999">
        <v>1</v>
      </c>
      <c r="LQ60" s="999"/>
      <c r="LR60" s="999">
        <v>3</v>
      </c>
      <c r="LS60" s="999"/>
      <c r="LT60" s="999"/>
      <c r="LU60" s="999">
        <v>1</v>
      </c>
      <c r="LV60" s="999">
        <v>1</v>
      </c>
      <c r="LW60" s="999"/>
      <c r="LX60" s="999">
        <v>1</v>
      </c>
      <c r="LY60" s="999"/>
    </row>
    <row r="61" spans="1:337" ht="29.25" customHeight="1" x14ac:dyDescent="0.25">
      <c r="A61" s="1584"/>
      <c r="B61" s="1617"/>
      <c r="C61" s="353" t="s">
        <v>120</v>
      </c>
      <c r="D61" s="354" t="s">
        <v>5358</v>
      </c>
      <c r="E61" s="844" t="s">
        <v>53</v>
      </c>
      <c r="F61" s="863"/>
      <c r="G61" s="863"/>
      <c r="H61" s="864"/>
      <c r="I61" s="864"/>
      <c r="J61" s="864"/>
      <c r="K61" s="864"/>
      <c r="L61" s="864"/>
      <c r="M61" s="864"/>
      <c r="N61" s="852"/>
      <c r="O61" s="864"/>
      <c r="P61" s="864"/>
      <c r="Q61" s="864"/>
      <c r="R61" s="864"/>
      <c r="S61" s="864"/>
      <c r="T61" s="864"/>
      <c r="U61" s="864"/>
      <c r="V61" s="980"/>
      <c r="W61" s="980"/>
      <c r="X61" s="980"/>
      <c r="Y61" s="980"/>
      <c r="Z61" s="980"/>
      <c r="AA61" s="864"/>
      <c r="AB61" s="864"/>
      <c r="AC61" s="864"/>
      <c r="AD61" s="864"/>
      <c r="AE61" s="864"/>
      <c r="AF61" s="864"/>
      <c r="AG61" s="864"/>
      <c r="AH61" s="864"/>
      <c r="AI61" s="864"/>
      <c r="AJ61" s="864"/>
      <c r="AK61" s="864"/>
      <c r="AL61" s="864"/>
      <c r="AM61" s="864"/>
      <c r="AN61" s="864"/>
      <c r="AO61" s="864"/>
      <c r="AP61" s="864"/>
      <c r="AQ61" s="864"/>
      <c r="AR61" s="864"/>
      <c r="AS61" s="864"/>
      <c r="AT61" s="864"/>
      <c r="AU61" s="864"/>
      <c r="AV61" s="980"/>
      <c r="AW61" s="980"/>
      <c r="AX61" s="864"/>
      <c r="AY61" s="864"/>
      <c r="AZ61" s="864"/>
      <c r="BA61" s="852">
        <v>4</v>
      </c>
      <c r="BB61" s="980"/>
      <c r="BC61" s="980"/>
      <c r="BD61" s="980"/>
      <c r="BE61" s="864"/>
      <c r="BF61" s="864"/>
      <c r="BG61" s="864"/>
      <c r="BH61" s="864"/>
      <c r="BI61" s="864"/>
      <c r="BJ61" s="864"/>
      <c r="BK61" s="864"/>
      <c r="BL61" s="864"/>
      <c r="BM61" s="864"/>
      <c r="BN61" s="864"/>
      <c r="BO61" s="864"/>
      <c r="BP61" s="864"/>
      <c r="BQ61" s="864"/>
      <c r="BR61" s="864"/>
      <c r="BS61" s="864"/>
      <c r="BT61" s="980">
        <v>30</v>
      </c>
      <c r="BU61" s="980"/>
      <c r="BV61" s="980"/>
      <c r="BW61" s="980"/>
      <c r="BX61" s="864"/>
      <c r="BY61" s="864"/>
      <c r="BZ61" s="864"/>
      <c r="CA61" s="864"/>
      <c r="CB61" s="864"/>
      <c r="CC61" s="1007">
        <v>1</v>
      </c>
      <c r="CD61" s="864"/>
      <c r="CE61" s="864"/>
      <c r="CF61" s="864"/>
      <c r="CG61" s="864"/>
      <c r="CH61" s="864"/>
      <c r="CI61" s="864"/>
      <c r="CJ61" s="864"/>
      <c r="CK61" s="980"/>
      <c r="CL61" s="980"/>
      <c r="CM61" s="864"/>
      <c r="CN61" s="864"/>
      <c r="CO61" s="864"/>
      <c r="CP61" s="864"/>
      <c r="CQ61" s="864"/>
      <c r="CR61" s="864"/>
      <c r="CS61" s="864"/>
      <c r="CT61" s="864"/>
      <c r="CU61" s="864"/>
      <c r="CV61" s="864"/>
      <c r="CW61" s="864"/>
      <c r="CX61" s="864"/>
      <c r="CY61" s="864"/>
      <c r="CZ61" s="864"/>
      <c r="DA61" s="864"/>
      <c r="DB61" s="864"/>
      <c r="DC61" s="864"/>
      <c r="DD61" s="864"/>
      <c r="DE61" s="864"/>
      <c r="DF61" s="980"/>
      <c r="DG61" s="864"/>
      <c r="DH61" s="980"/>
      <c r="DI61" s="980"/>
      <c r="DJ61" s="980"/>
      <c r="DK61" s="980"/>
      <c r="DL61" s="980"/>
      <c r="DM61" s="980"/>
      <c r="DN61" s="864"/>
      <c r="DO61" s="864"/>
      <c r="DP61" s="980"/>
      <c r="DQ61" s="864"/>
      <c r="DR61" s="864"/>
      <c r="DS61" s="864"/>
      <c r="DT61" s="864"/>
      <c r="DU61" s="864"/>
      <c r="DV61" s="864"/>
      <c r="DW61" s="864"/>
      <c r="DX61" s="864"/>
      <c r="DY61" s="864"/>
      <c r="DZ61" s="864"/>
      <c r="EA61" s="864"/>
      <c r="EB61" s="864"/>
      <c r="EC61" s="864"/>
      <c r="ED61" s="864"/>
      <c r="EE61" s="864"/>
      <c r="EF61" s="980">
        <v>1</v>
      </c>
      <c r="EG61" s="980"/>
      <c r="EH61" s="980"/>
      <c r="EI61" s="855"/>
      <c r="EJ61" s="999"/>
      <c r="EK61" s="999"/>
      <c r="EL61" s="999">
        <v>1</v>
      </c>
      <c r="EM61" s="999"/>
      <c r="EN61" s="999">
        <v>1</v>
      </c>
      <c r="EO61" s="999"/>
      <c r="EP61" s="999"/>
      <c r="EQ61" s="999"/>
      <c r="ER61" s="999">
        <v>1</v>
      </c>
      <c r="ES61" s="999"/>
      <c r="ET61" s="999"/>
      <c r="EU61" s="864"/>
      <c r="EV61" s="864"/>
      <c r="EW61" s="980">
        <v>7</v>
      </c>
      <c r="EX61" s="864"/>
      <c r="EY61" s="864"/>
      <c r="EZ61" s="864"/>
      <c r="FA61" s="864"/>
      <c r="FB61" s="864"/>
      <c r="FC61" s="864"/>
      <c r="FD61" s="864"/>
      <c r="FE61" s="980">
        <v>28</v>
      </c>
      <c r="FF61" s="864"/>
      <c r="FG61" s="864"/>
      <c r="FH61" s="864"/>
      <c r="FI61" s="864"/>
      <c r="FJ61" s="864"/>
      <c r="FK61" s="1000"/>
      <c r="FL61" s="980"/>
      <c r="FM61" s="980">
        <v>8</v>
      </c>
      <c r="FN61" s="980">
        <v>8</v>
      </c>
      <c r="FO61" s="980"/>
      <c r="FP61" s="980"/>
      <c r="FQ61" s="980">
        <v>3</v>
      </c>
      <c r="FR61" s="864"/>
      <c r="FS61" s="864"/>
      <c r="FT61" s="864"/>
      <c r="FU61" s="864"/>
      <c r="FV61" s="864"/>
      <c r="FW61" s="864"/>
      <c r="FX61" s="864"/>
      <c r="FY61" s="864"/>
      <c r="FZ61" s="864"/>
      <c r="GA61" s="980"/>
      <c r="GB61" s="980"/>
      <c r="GC61" s="980"/>
      <c r="GD61" s="980"/>
      <c r="GE61" s="980"/>
      <c r="GF61" s="980"/>
      <c r="GG61" s="980"/>
      <c r="GH61" s="864"/>
      <c r="GI61" s="864"/>
      <c r="GJ61" s="864"/>
      <c r="GK61" s="864"/>
      <c r="GL61" s="864"/>
      <c r="GM61" s="864"/>
      <c r="GN61" s="864"/>
      <c r="GO61" s="1001">
        <v>3</v>
      </c>
      <c r="GP61" s="1002"/>
      <c r="GQ61" s="867"/>
      <c r="GR61" s="864"/>
      <c r="GS61" s="864"/>
      <c r="GT61" s="864"/>
      <c r="GU61" s="864"/>
      <c r="GV61" s="864"/>
      <c r="GW61" s="864"/>
      <c r="GX61" s="864"/>
      <c r="GY61" s="864"/>
      <c r="GZ61" s="864"/>
      <c r="HA61" s="864"/>
      <c r="HB61" s="864"/>
      <c r="HC61" s="864"/>
      <c r="HD61" s="864"/>
      <c r="HE61" s="980"/>
      <c r="HF61" s="980">
        <v>5</v>
      </c>
      <c r="HG61" s="864"/>
      <c r="HH61" s="999"/>
      <c r="HI61" s="980"/>
      <c r="HJ61" s="980"/>
      <c r="HK61" s="999"/>
      <c r="HL61" s="864"/>
      <c r="HM61" s="864"/>
      <c r="HN61" s="864"/>
      <c r="HO61" s="1004"/>
      <c r="HP61" s="980"/>
      <c r="HQ61" s="980"/>
      <c r="HR61" s="998"/>
      <c r="HS61" s="980"/>
      <c r="HT61" s="980"/>
      <c r="HU61" s="980"/>
      <c r="HV61" s="1000"/>
      <c r="HW61" s="980"/>
      <c r="HX61" s="980"/>
      <c r="HY61" s="980"/>
      <c r="HZ61" s="980"/>
      <c r="IA61" s="980"/>
      <c r="IB61" s="980"/>
      <c r="IC61" s="980"/>
      <c r="ID61" s="980"/>
      <c r="IE61" s="980"/>
      <c r="IF61" s="980"/>
      <c r="IG61" s="998">
        <v>1</v>
      </c>
      <c r="IH61" s="980"/>
      <c r="II61" s="980"/>
      <c r="IJ61" s="998"/>
      <c r="IK61" s="980"/>
      <c r="IL61" s="980"/>
      <c r="IM61" s="980"/>
      <c r="IN61" s="980">
        <v>3</v>
      </c>
      <c r="IO61" s="864"/>
      <c r="IP61" s="864"/>
      <c r="IQ61" s="864"/>
      <c r="IR61" s="998"/>
      <c r="IS61" s="980"/>
      <c r="IT61" s="980"/>
      <c r="IU61" s="980"/>
      <c r="IV61" s="980"/>
      <c r="IW61" s="980"/>
      <c r="IX61" s="999"/>
      <c r="IY61" s="980">
        <v>1</v>
      </c>
      <c r="IZ61" s="980">
        <v>2</v>
      </c>
      <c r="JA61" s="980">
        <v>1</v>
      </c>
      <c r="JB61" s="980"/>
      <c r="JC61" s="980"/>
      <c r="JD61" s="980"/>
      <c r="JE61" s="980"/>
      <c r="JF61" s="999"/>
      <c r="JG61" s="980">
        <v>1</v>
      </c>
      <c r="JH61" s="980"/>
      <c r="JI61" s="980"/>
      <c r="JJ61" s="980"/>
      <c r="JK61" s="980"/>
      <c r="JL61" s="980">
        <v>1</v>
      </c>
      <c r="JM61" s="980"/>
      <c r="JN61" s="980"/>
      <c r="JO61" s="980">
        <v>1</v>
      </c>
      <c r="JP61" s="980"/>
      <c r="JQ61" s="999"/>
      <c r="JR61" s="980"/>
      <c r="JS61" s="980"/>
      <c r="JT61" s="980"/>
      <c r="JU61" s="980"/>
      <c r="JV61" s="980"/>
      <c r="JW61" s="980"/>
      <c r="JX61" s="980"/>
      <c r="JY61" s="980"/>
      <c r="JZ61" s="980"/>
      <c r="KA61" s="980"/>
      <c r="KB61" s="980"/>
      <c r="KC61" s="980"/>
      <c r="KD61" s="980"/>
      <c r="KE61" s="998">
        <f>1+1+1</f>
        <v>3</v>
      </c>
      <c r="KF61" s="998"/>
      <c r="KG61" s="998"/>
      <c r="KH61" s="998"/>
      <c r="KI61" s="998">
        <v>0</v>
      </c>
      <c r="KJ61" s="998"/>
      <c r="KK61" s="998"/>
      <c r="KL61" s="980"/>
      <c r="KM61" s="864"/>
      <c r="KN61" s="864"/>
      <c r="KO61" s="864"/>
      <c r="KP61" s="864"/>
      <c r="KQ61" s="864"/>
      <c r="KR61" s="980"/>
      <c r="KS61" s="864"/>
      <c r="KT61" s="980"/>
      <c r="KU61" s="864"/>
      <c r="KV61" s="980"/>
      <c r="KW61" s="980"/>
      <c r="KX61" s="980"/>
      <c r="KY61" s="858"/>
      <c r="KZ61" s="980"/>
      <c r="LA61" s="980"/>
      <c r="LB61" s="980"/>
      <c r="LC61" s="980"/>
      <c r="LD61" s="980"/>
      <c r="LE61" s="980"/>
      <c r="LF61" s="999"/>
      <c r="LG61" s="999"/>
      <c r="LH61" s="999"/>
      <c r="LI61" s="999"/>
      <c r="LJ61" s="999"/>
      <c r="LK61" s="999"/>
      <c r="LL61" s="999"/>
      <c r="LM61" s="999"/>
      <c r="LN61" s="999"/>
      <c r="LO61" s="999"/>
      <c r="LP61" s="999"/>
      <c r="LQ61" s="999"/>
      <c r="LR61" s="999"/>
      <c r="LS61" s="999"/>
      <c r="LT61" s="999"/>
      <c r="LU61" s="999"/>
      <c r="LV61" s="999"/>
      <c r="LW61" s="999"/>
      <c r="LX61" s="999"/>
      <c r="LY61" s="999"/>
    </row>
    <row r="62" spans="1:337" ht="29.25" customHeight="1" x14ac:dyDescent="0.25">
      <c r="A62" s="1584"/>
      <c r="B62" s="1617"/>
      <c r="C62" s="353" t="s">
        <v>121</v>
      </c>
      <c r="D62" s="354" t="s">
        <v>27</v>
      </c>
      <c r="E62" s="844" t="s">
        <v>53</v>
      </c>
      <c r="F62" s="863"/>
      <c r="G62" s="863"/>
      <c r="H62" s="864"/>
      <c r="I62" s="864"/>
      <c r="J62" s="864"/>
      <c r="K62" s="864"/>
      <c r="L62" s="864"/>
      <c r="M62" s="864"/>
      <c r="N62" s="852"/>
      <c r="O62" s="864"/>
      <c r="P62" s="864"/>
      <c r="Q62" s="864"/>
      <c r="R62" s="864"/>
      <c r="S62" s="864"/>
      <c r="T62" s="864"/>
      <c r="U62" s="864"/>
      <c r="V62" s="980">
        <v>1</v>
      </c>
      <c r="W62" s="980"/>
      <c r="X62" s="980"/>
      <c r="Y62" s="980"/>
      <c r="Z62" s="980">
        <v>1</v>
      </c>
      <c r="AA62" s="864"/>
      <c r="AB62" s="864"/>
      <c r="AC62" s="864"/>
      <c r="AD62" s="864"/>
      <c r="AE62" s="864"/>
      <c r="AF62" s="864"/>
      <c r="AG62" s="864"/>
      <c r="AH62" s="864"/>
      <c r="AI62" s="864"/>
      <c r="AJ62" s="864"/>
      <c r="AK62" s="864"/>
      <c r="AL62" s="864"/>
      <c r="AM62" s="864"/>
      <c r="AN62" s="864"/>
      <c r="AO62" s="864"/>
      <c r="AP62" s="864"/>
      <c r="AQ62" s="864"/>
      <c r="AR62" s="864"/>
      <c r="AS62" s="864"/>
      <c r="AT62" s="864"/>
      <c r="AU62" s="864"/>
      <c r="AV62" s="980">
        <v>2</v>
      </c>
      <c r="AW62" s="980"/>
      <c r="AX62" s="864"/>
      <c r="AY62" s="864"/>
      <c r="AZ62" s="864"/>
      <c r="BA62" s="852"/>
      <c r="BB62" s="980"/>
      <c r="BC62" s="980"/>
      <c r="BD62" s="980"/>
      <c r="BE62" s="864"/>
      <c r="BF62" s="864"/>
      <c r="BG62" s="864"/>
      <c r="BH62" s="864"/>
      <c r="BI62" s="864"/>
      <c r="BJ62" s="864"/>
      <c r="BK62" s="864"/>
      <c r="BL62" s="864"/>
      <c r="BM62" s="864"/>
      <c r="BN62" s="864"/>
      <c r="BO62" s="864"/>
      <c r="BP62" s="864"/>
      <c r="BQ62" s="864"/>
      <c r="BR62" s="864"/>
      <c r="BS62" s="864"/>
      <c r="BT62" s="980"/>
      <c r="BU62" s="980"/>
      <c r="BV62" s="980"/>
      <c r="BW62" s="980"/>
      <c r="BX62" s="864"/>
      <c r="BY62" s="864"/>
      <c r="BZ62" s="864"/>
      <c r="CA62" s="864"/>
      <c r="CB62" s="864"/>
      <c r="CC62" s="998"/>
      <c r="CD62" s="864"/>
      <c r="CE62" s="864"/>
      <c r="CF62" s="864"/>
      <c r="CG62" s="864"/>
      <c r="CH62" s="864"/>
      <c r="CI62" s="864"/>
      <c r="CJ62" s="864"/>
      <c r="CK62" s="980"/>
      <c r="CL62" s="980"/>
      <c r="CM62" s="864"/>
      <c r="CN62" s="864"/>
      <c r="CO62" s="864"/>
      <c r="CP62" s="864"/>
      <c r="CQ62" s="864"/>
      <c r="CR62" s="864"/>
      <c r="CS62" s="864"/>
      <c r="CT62" s="864"/>
      <c r="CU62" s="864"/>
      <c r="CV62" s="864"/>
      <c r="CW62" s="864"/>
      <c r="CX62" s="864"/>
      <c r="CY62" s="864"/>
      <c r="CZ62" s="864"/>
      <c r="DA62" s="864"/>
      <c r="DB62" s="864"/>
      <c r="DC62" s="864"/>
      <c r="DD62" s="864"/>
      <c r="DE62" s="864"/>
      <c r="DF62" s="980"/>
      <c r="DG62" s="864"/>
      <c r="DH62" s="980"/>
      <c r="DI62" s="980"/>
      <c r="DJ62" s="980"/>
      <c r="DK62" s="980"/>
      <c r="DL62" s="980"/>
      <c r="DM62" s="980"/>
      <c r="DN62" s="864"/>
      <c r="DO62" s="864"/>
      <c r="DP62" s="980">
        <v>1</v>
      </c>
      <c r="DQ62" s="864"/>
      <c r="DR62" s="864"/>
      <c r="DS62" s="864"/>
      <c r="DT62" s="864"/>
      <c r="DU62" s="864"/>
      <c r="DV62" s="864"/>
      <c r="DW62" s="864"/>
      <c r="DX62" s="864"/>
      <c r="DY62" s="864"/>
      <c r="DZ62" s="864"/>
      <c r="EA62" s="864"/>
      <c r="EB62" s="864"/>
      <c r="EC62" s="864"/>
      <c r="ED62" s="864"/>
      <c r="EE62" s="864"/>
      <c r="EF62" s="980"/>
      <c r="EG62" s="980"/>
      <c r="EH62" s="980"/>
      <c r="EI62" s="855">
        <v>1</v>
      </c>
      <c r="EJ62" s="999"/>
      <c r="EK62" s="999">
        <v>1</v>
      </c>
      <c r="EL62" s="999"/>
      <c r="EM62" s="999"/>
      <c r="EN62" s="999">
        <v>1</v>
      </c>
      <c r="EO62" s="999"/>
      <c r="EP62" s="999">
        <v>1</v>
      </c>
      <c r="EQ62" s="999">
        <v>1</v>
      </c>
      <c r="ER62" s="999"/>
      <c r="ES62" s="999"/>
      <c r="ET62" s="999">
        <v>1</v>
      </c>
      <c r="EU62" s="864"/>
      <c r="EV62" s="864"/>
      <c r="EW62" s="980">
        <v>2</v>
      </c>
      <c r="EX62" s="864"/>
      <c r="EY62" s="864"/>
      <c r="EZ62" s="864"/>
      <c r="FA62" s="864"/>
      <c r="FB62" s="864"/>
      <c r="FC62" s="864"/>
      <c r="FD62" s="864"/>
      <c r="FE62" s="980">
        <v>7</v>
      </c>
      <c r="FF62" s="864"/>
      <c r="FG62" s="864"/>
      <c r="FH62" s="864"/>
      <c r="FI62" s="864"/>
      <c r="FJ62" s="864"/>
      <c r="FK62" s="1000">
        <v>3</v>
      </c>
      <c r="FL62" s="980"/>
      <c r="FM62" s="980"/>
      <c r="FN62" s="980">
        <v>9</v>
      </c>
      <c r="FO62" s="980">
        <v>5</v>
      </c>
      <c r="FP62" s="980">
        <v>51</v>
      </c>
      <c r="FQ62" s="980"/>
      <c r="FR62" s="864"/>
      <c r="FS62" s="864"/>
      <c r="FT62" s="864"/>
      <c r="FU62" s="864"/>
      <c r="FV62" s="864"/>
      <c r="FW62" s="864"/>
      <c r="FX62" s="864"/>
      <c r="FY62" s="864"/>
      <c r="FZ62" s="864"/>
      <c r="GA62" s="980">
        <v>5</v>
      </c>
      <c r="GB62" s="980">
        <v>1</v>
      </c>
      <c r="GC62" s="980"/>
      <c r="GD62" s="980"/>
      <c r="GE62" s="980"/>
      <c r="GF62" s="980"/>
      <c r="GG62" s="980"/>
      <c r="GH62" s="864"/>
      <c r="GI62" s="864"/>
      <c r="GJ62" s="864"/>
      <c r="GK62" s="864"/>
      <c r="GL62" s="864"/>
      <c r="GM62" s="864"/>
      <c r="GN62" s="864"/>
      <c r="GO62" s="1001">
        <v>6</v>
      </c>
      <c r="GP62" s="1002">
        <v>1</v>
      </c>
      <c r="GQ62" s="867"/>
      <c r="GR62" s="864"/>
      <c r="GS62" s="864"/>
      <c r="GT62" s="864"/>
      <c r="GU62" s="864"/>
      <c r="GV62" s="864"/>
      <c r="GW62" s="864"/>
      <c r="GX62" s="864"/>
      <c r="GY62" s="864"/>
      <c r="GZ62" s="864"/>
      <c r="HA62" s="864"/>
      <c r="HB62" s="864"/>
      <c r="HC62" s="864"/>
      <c r="HD62" s="864"/>
      <c r="HE62" s="980">
        <v>4</v>
      </c>
      <c r="HF62" s="980"/>
      <c r="HG62" s="864"/>
      <c r="HH62" s="999">
        <v>1</v>
      </c>
      <c r="HI62" s="980">
        <v>2</v>
      </c>
      <c r="HJ62" s="980"/>
      <c r="HK62" s="999"/>
      <c r="HL62" s="864"/>
      <c r="HM62" s="864"/>
      <c r="HN62" s="864"/>
      <c r="HO62" s="1004"/>
      <c r="HP62" s="980"/>
      <c r="HQ62" s="980"/>
      <c r="HR62" s="998"/>
      <c r="HS62" s="980"/>
      <c r="HT62" s="980"/>
      <c r="HU62" s="980"/>
      <c r="HV62" s="1000">
        <v>1</v>
      </c>
      <c r="HW62" s="980"/>
      <c r="HX62" s="980">
        <v>1</v>
      </c>
      <c r="HY62" s="980"/>
      <c r="HZ62" s="980"/>
      <c r="IA62" s="980"/>
      <c r="IB62" s="980"/>
      <c r="IC62" s="980"/>
      <c r="ID62" s="980"/>
      <c r="IE62" s="980"/>
      <c r="IF62" s="980"/>
      <c r="IG62" s="998">
        <v>1</v>
      </c>
      <c r="IH62" s="980"/>
      <c r="II62" s="980"/>
      <c r="IJ62" s="998"/>
      <c r="IK62" s="980"/>
      <c r="IL62" s="980">
        <v>1</v>
      </c>
      <c r="IM62" s="980">
        <v>1</v>
      </c>
      <c r="IN62" s="980"/>
      <c r="IO62" s="864"/>
      <c r="IP62" s="864"/>
      <c r="IQ62" s="864"/>
      <c r="IR62" s="998"/>
      <c r="IS62" s="980">
        <v>1</v>
      </c>
      <c r="IT62" s="980"/>
      <c r="IU62" s="980"/>
      <c r="IV62" s="980"/>
      <c r="IW62" s="980"/>
      <c r="IX62" s="999"/>
      <c r="IY62" s="980"/>
      <c r="IZ62" s="980"/>
      <c r="JA62" s="980">
        <v>1</v>
      </c>
      <c r="JB62" s="980"/>
      <c r="JC62" s="980"/>
      <c r="JD62" s="980"/>
      <c r="JE62" s="980">
        <v>8</v>
      </c>
      <c r="JF62" s="999">
        <v>3</v>
      </c>
      <c r="JG62" s="980">
        <v>1</v>
      </c>
      <c r="JH62" s="980"/>
      <c r="JI62" s="980"/>
      <c r="JJ62" s="980"/>
      <c r="JK62" s="980"/>
      <c r="JL62" s="980">
        <v>1</v>
      </c>
      <c r="JM62" s="980"/>
      <c r="JN62" s="980">
        <v>1</v>
      </c>
      <c r="JO62" s="980"/>
      <c r="JP62" s="980"/>
      <c r="JQ62" s="999"/>
      <c r="JR62" s="980"/>
      <c r="JS62" s="980"/>
      <c r="JT62" s="980">
        <v>3</v>
      </c>
      <c r="JU62" s="980"/>
      <c r="JV62" s="980"/>
      <c r="JW62" s="980"/>
      <c r="JX62" s="980"/>
      <c r="JY62" s="980"/>
      <c r="JZ62" s="980"/>
      <c r="KA62" s="980"/>
      <c r="KB62" s="980"/>
      <c r="KC62" s="980"/>
      <c r="KD62" s="980">
        <v>2</v>
      </c>
      <c r="KE62" s="998"/>
      <c r="KF62" s="998"/>
      <c r="KG62" s="998">
        <v>1</v>
      </c>
      <c r="KH62" s="998">
        <v>1</v>
      </c>
      <c r="KI62" s="998">
        <v>0</v>
      </c>
      <c r="KJ62" s="998">
        <v>1</v>
      </c>
      <c r="KK62" s="998"/>
      <c r="KL62" s="980"/>
      <c r="KM62" s="864"/>
      <c r="KN62" s="864"/>
      <c r="KO62" s="864"/>
      <c r="KP62" s="864"/>
      <c r="KQ62" s="864"/>
      <c r="KR62" s="980"/>
      <c r="KS62" s="864"/>
      <c r="KT62" s="980"/>
      <c r="KU62" s="864"/>
      <c r="KV62" s="980"/>
      <c r="KW62" s="980">
        <v>2</v>
      </c>
      <c r="KX62" s="980"/>
      <c r="KY62" s="858">
        <v>1</v>
      </c>
      <c r="KZ62" s="980"/>
      <c r="LA62" s="980">
        <v>1</v>
      </c>
      <c r="LB62" s="980"/>
      <c r="LC62" s="980"/>
      <c r="LD62" s="980"/>
      <c r="LE62" s="980"/>
      <c r="LF62" s="999"/>
      <c r="LG62" s="999"/>
      <c r="LH62" s="999"/>
      <c r="LI62" s="999"/>
      <c r="LJ62" s="999"/>
      <c r="LK62" s="999"/>
      <c r="LL62" s="999"/>
      <c r="LM62" s="999"/>
      <c r="LN62" s="999"/>
      <c r="LO62" s="999"/>
      <c r="LP62" s="999"/>
      <c r="LQ62" s="999"/>
      <c r="LR62" s="999">
        <v>1</v>
      </c>
      <c r="LS62" s="999"/>
      <c r="LT62" s="999"/>
      <c r="LU62" s="999"/>
      <c r="LV62" s="999"/>
      <c r="LW62" s="999">
        <v>1</v>
      </c>
      <c r="LX62" s="999"/>
      <c r="LY62" s="999"/>
    </row>
    <row r="63" spans="1:337" ht="29.25" customHeight="1" x14ac:dyDescent="0.25">
      <c r="A63" s="1584"/>
      <c r="B63" s="1617"/>
      <c r="C63" s="353" t="s">
        <v>122</v>
      </c>
      <c r="D63" s="354" t="s">
        <v>2554</v>
      </c>
      <c r="E63" s="844" t="s">
        <v>53</v>
      </c>
      <c r="F63" s="863"/>
      <c r="G63" s="863"/>
      <c r="H63" s="864"/>
      <c r="I63" s="864"/>
      <c r="J63" s="864"/>
      <c r="K63" s="864"/>
      <c r="L63" s="864"/>
      <c r="M63" s="864"/>
      <c r="N63" s="852"/>
      <c r="O63" s="864"/>
      <c r="P63" s="864"/>
      <c r="Q63" s="864"/>
      <c r="R63" s="864"/>
      <c r="S63" s="864"/>
      <c r="T63" s="864"/>
      <c r="U63" s="864"/>
      <c r="V63" s="980"/>
      <c r="W63" s="980"/>
      <c r="X63" s="980"/>
      <c r="Y63" s="980"/>
      <c r="Z63" s="980"/>
      <c r="AA63" s="864"/>
      <c r="AB63" s="864"/>
      <c r="AC63" s="864"/>
      <c r="AD63" s="864"/>
      <c r="AE63" s="864"/>
      <c r="AF63" s="864"/>
      <c r="AG63" s="864"/>
      <c r="AH63" s="864"/>
      <c r="AI63" s="864"/>
      <c r="AJ63" s="864"/>
      <c r="AK63" s="864"/>
      <c r="AL63" s="864"/>
      <c r="AM63" s="864"/>
      <c r="AN63" s="864"/>
      <c r="AO63" s="864"/>
      <c r="AP63" s="864"/>
      <c r="AQ63" s="864"/>
      <c r="AR63" s="864"/>
      <c r="AS63" s="864"/>
      <c r="AT63" s="864"/>
      <c r="AU63" s="864"/>
      <c r="AV63" s="980">
        <v>1</v>
      </c>
      <c r="AW63" s="980">
        <v>9</v>
      </c>
      <c r="AX63" s="864"/>
      <c r="AY63" s="864"/>
      <c r="AZ63" s="864"/>
      <c r="BA63" s="852">
        <v>6</v>
      </c>
      <c r="BB63" s="980"/>
      <c r="BC63" s="980"/>
      <c r="BD63" s="980"/>
      <c r="BE63" s="864"/>
      <c r="BF63" s="864"/>
      <c r="BG63" s="864"/>
      <c r="BH63" s="864"/>
      <c r="BI63" s="864"/>
      <c r="BJ63" s="864"/>
      <c r="BK63" s="864"/>
      <c r="BL63" s="864"/>
      <c r="BM63" s="864"/>
      <c r="BN63" s="864"/>
      <c r="BO63" s="864"/>
      <c r="BP63" s="864"/>
      <c r="BQ63" s="864"/>
      <c r="BR63" s="864"/>
      <c r="BS63" s="864"/>
      <c r="BT63" s="980"/>
      <c r="BU63" s="980"/>
      <c r="BV63" s="980"/>
      <c r="BW63" s="980"/>
      <c r="BX63" s="864"/>
      <c r="BY63" s="864"/>
      <c r="BZ63" s="864"/>
      <c r="CA63" s="864"/>
      <c r="CB63" s="864"/>
      <c r="CC63" s="998">
        <v>1</v>
      </c>
      <c r="CD63" s="864"/>
      <c r="CE63" s="864"/>
      <c r="CF63" s="864"/>
      <c r="CG63" s="864"/>
      <c r="CH63" s="864"/>
      <c r="CI63" s="864"/>
      <c r="CJ63" s="864"/>
      <c r="CK63" s="980">
        <v>1</v>
      </c>
      <c r="CL63" s="980"/>
      <c r="CM63" s="864"/>
      <c r="CN63" s="864"/>
      <c r="CO63" s="864"/>
      <c r="CP63" s="864"/>
      <c r="CQ63" s="864"/>
      <c r="CR63" s="864"/>
      <c r="CS63" s="864"/>
      <c r="CT63" s="864"/>
      <c r="CU63" s="864"/>
      <c r="CV63" s="864"/>
      <c r="CW63" s="864"/>
      <c r="CX63" s="864"/>
      <c r="CY63" s="864"/>
      <c r="CZ63" s="864"/>
      <c r="DA63" s="864"/>
      <c r="DB63" s="864"/>
      <c r="DC63" s="864"/>
      <c r="DD63" s="864"/>
      <c r="DE63" s="864"/>
      <c r="DF63" s="980"/>
      <c r="DG63" s="864"/>
      <c r="DH63" s="980"/>
      <c r="DI63" s="980"/>
      <c r="DJ63" s="980"/>
      <c r="DK63" s="980"/>
      <c r="DL63" s="980"/>
      <c r="DM63" s="980"/>
      <c r="DN63" s="864"/>
      <c r="DO63" s="864"/>
      <c r="DP63" s="980"/>
      <c r="DQ63" s="864"/>
      <c r="DR63" s="864"/>
      <c r="DS63" s="864"/>
      <c r="DT63" s="864"/>
      <c r="DU63" s="864"/>
      <c r="DV63" s="864"/>
      <c r="DW63" s="864"/>
      <c r="DX63" s="864"/>
      <c r="DY63" s="864"/>
      <c r="DZ63" s="864"/>
      <c r="EA63" s="864"/>
      <c r="EB63" s="864"/>
      <c r="EC63" s="864"/>
      <c r="ED63" s="864"/>
      <c r="EE63" s="864"/>
      <c r="EF63" s="980"/>
      <c r="EG63" s="980"/>
      <c r="EH63" s="980"/>
      <c r="EI63" s="855"/>
      <c r="EJ63" s="999"/>
      <c r="EK63" s="999"/>
      <c r="EL63" s="999"/>
      <c r="EM63" s="999">
        <v>1</v>
      </c>
      <c r="EN63" s="999"/>
      <c r="EO63" s="999"/>
      <c r="EP63" s="999"/>
      <c r="EQ63" s="999">
        <v>1</v>
      </c>
      <c r="ER63" s="999"/>
      <c r="ES63" s="999"/>
      <c r="ET63" s="999"/>
      <c r="EU63" s="864"/>
      <c r="EV63" s="864"/>
      <c r="EW63" s="980">
        <v>2</v>
      </c>
      <c r="EX63" s="864"/>
      <c r="EY63" s="864"/>
      <c r="EZ63" s="864"/>
      <c r="FA63" s="864"/>
      <c r="FB63" s="864"/>
      <c r="FC63" s="864"/>
      <c r="FD63" s="864"/>
      <c r="FE63" s="980"/>
      <c r="FF63" s="864"/>
      <c r="FG63" s="864"/>
      <c r="FH63" s="864"/>
      <c r="FI63" s="864"/>
      <c r="FJ63" s="864"/>
      <c r="FK63" s="1000">
        <v>7</v>
      </c>
      <c r="FL63" s="980">
        <v>1</v>
      </c>
      <c r="FM63" s="980"/>
      <c r="FN63" s="980"/>
      <c r="FO63" s="980"/>
      <c r="FP63" s="980"/>
      <c r="FQ63" s="980"/>
      <c r="FR63" s="864"/>
      <c r="FS63" s="864"/>
      <c r="FT63" s="864"/>
      <c r="FU63" s="864"/>
      <c r="FV63" s="864"/>
      <c r="FW63" s="864"/>
      <c r="FX63" s="864"/>
      <c r="FY63" s="864"/>
      <c r="FZ63" s="864"/>
      <c r="GA63" s="980">
        <v>1</v>
      </c>
      <c r="GB63" s="980"/>
      <c r="GC63" s="980">
        <v>1</v>
      </c>
      <c r="GD63" s="980"/>
      <c r="GE63" s="980">
        <v>1</v>
      </c>
      <c r="GF63" s="980">
        <v>1</v>
      </c>
      <c r="GG63" s="980"/>
      <c r="GH63" s="864"/>
      <c r="GI63" s="864"/>
      <c r="GJ63" s="864"/>
      <c r="GK63" s="864"/>
      <c r="GL63" s="864"/>
      <c r="GM63" s="864"/>
      <c r="GN63" s="864"/>
      <c r="GO63" s="1001">
        <v>3</v>
      </c>
      <c r="GP63" s="1002">
        <v>1</v>
      </c>
      <c r="GQ63" s="867"/>
      <c r="GR63" s="864"/>
      <c r="GS63" s="864"/>
      <c r="GT63" s="864"/>
      <c r="GU63" s="864"/>
      <c r="GV63" s="864"/>
      <c r="GW63" s="864"/>
      <c r="GX63" s="864"/>
      <c r="GY63" s="864"/>
      <c r="GZ63" s="864"/>
      <c r="HA63" s="864"/>
      <c r="HB63" s="864"/>
      <c r="HC63" s="864"/>
      <c r="HD63" s="864"/>
      <c r="HE63" s="980">
        <v>2</v>
      </c>
      <c r="HF63" s="980"/>
      <c r="HG63" s="864"/>
      <c r="HH63" s="999"/>
      <c r="HI63" s="980"/>
      <c r="HJ63" s="980"/>
      <c r="HK63" s="999"/>
      <c r="HL63" s="864"/>
      <c r="HM63" s="864"/>
      <c r="HN63" s="864"/>
      <c r="HO63" s="1004"/>
      <c r="HP63" s="980">
        <v>2</v>
      </c>
      <c r="HQ63" s="980">
        <v>1</v>
      </c>
      <c r="HR63" s="998"/>
      <c r="HS63" s="980"/>
      <c r="HT63" s="980">
        <v>1</v>
      </c>
      <c r="HU63" s="980">
        <v>1</v>
      </c>
      <c r="HV63" s="1000"/>
      <c r="HW63" s="980"/>
      <c r="HX63" s="980"/>
      <c r="HY63" s="980"/>
      <c r="HZ63" s="980">
        <v>1</v>
      </c>
      <c r="IA63" s="980"/>
      <c r="IB63" s="980"/>
      <c r="IC63" s="980"/>
      <c r="ID63" s="980"/>
      <c r="IE63" s="980">
        <v>1</v>
      </c>
      <c r="IF63" s="980">
        <v>1</v>
      </c>
      <c r="IG63" s="998"/>
      <c r="IH63" s="980"/>
      <c r="II63" s="980"/>
      <c r="IJ63" s="998"/>
      <c r="IK63" s="980">
        <v>1</v>
      </c>
      <c r="IL63" s="980">
        <v>4</v>
      </c>
      <c r="IM63" s="980"/>
      <c r="IN63" s="980"/>
      <c r="IO63" s="864"/>
      <c r="IP63" s="864"/>
      <c r="IQ63" s="864"/>
      <c r="IR63" s="998">
        <v>1</v>
      </c>
      <c r="IS63" s="980"/>
      <c r="IT63" s="980">
        <v>3</v>
      </c>
      <c r="IU63" s="980"/>
      <c r="IV63" s="980">
        <v>1</v>
      </c>
      <c r="IW63" s="980"/>
      <c r="IX63" s="999">
        <v>4</v>
      </c>
      <c r="IY63" s="980">
        <v>1</v>
      </c>
      <c r="IZ63" s="980">
        <v>1</v>
      </c>
      <c r="JA63" s="980">
        <v>5</v>
      </c>
      <c r="JB63" s="980">
        <v>1</v>
      </c>
      <c r="JC63" s="980"/>
      <c r="JD63" s="980"/>
      <c r="JE63" s="980">
        <v>14</v>
      </c>
      <c r="JF63" s="999">
        <v>6</v>
      </c>
      <c r="JG63" s="980"/>
      <c r="JH63" s="980"/>
      <c r="JI63" s="980"/>
      <c r="JJ63" s="980"/>
      <c r="JK63" s="980">
        <v>1</v>
      </c>
      <c r="JL63" s="980">
        <v>1</v>
      </c>
      <c r="JM63" s="980"/>
      <c r="JN63" s="980">
        <v>1</v>
      </c>
      <c r="JO63" s="980"/>
      <c r="JP63" s="980">
        <v>3</v>
      </c>
      <c r="JQ63" s="999">
        <v>2</v>
      </c>
      <c r="JR63" s="980"/>
      <c r="JS63" s="980">
        <v>4</v>
      </c>
      <c r="JT63" s="980">
        <v>3</v>
      </c>
      <c r="JU63" s="980">
        <v>1</v>
      </c>
      <c r="JV63" s="980">
        <v>1</v>
      </c>
      <c r="JW63" s="980">
        <v>3</v>
      </c>
      <c r="JX63" s="980">
        <v>1</v>
      </c>
      <c r="JY63" s="980">
        <v>1</v>
      </c>
      <c r="JZ63" s="980">
        <v>1</v>
      </c>
      <c r="KA63" s="980">
        <v>2</v>
      </c>
      <c r="KB63" s="980"/>
      <c r="KC63" s="980"/>
      <c r="KD63" s="980"/>
      <c r="KE63" s="998">
        <f>1+1</f>
        <v>2</v>
      </c>
      <c r="KF63" s="998"/>
      <c r="KG63" s="998"/>
      <c r="KH63" s="998"/>
      <c r="KI63" s="998">
        <v>1</v>
      </c>
      <c r="KJ63" s="998"/>
      <c r="KK63" s="998">
        <v>1</v>
      </c>
      <c r="KL63" s="980"/>
      <c r="KM63" s="864"/>
      <c r="KN63" s="864"/>
      <c r="KO63" s="864"/>
      <c r="KP63" s="864"/>
      <c r="KQ63" s="864"/>
      <c r="KR63" s="980"/>
      <c r="KS63" s="864"/>
      <c r="KT63" s="980">
        <v>1</v>
      </c>
      <c r="KU63" s="864"/>
      <c r="KV63" s="980">
        <v>1</v>
      </c>
      <c r="KW63" s="980">
        <v>3</v>
      </c>
      <c r="KX63" s="980"/>
      <c r="KY63" s="858">
        <v>3</v>
      </c>
      <c r="KZ63" s="980">
        <v>1</v>
      </c>
      <c r="LA63" s="980">
        <v>2</v>
      </c>
      <c r="LB63" s="980"/>
      <c r="LC63" s="980"/>
      <c r="LD63" s="980"/>
      <c r="LE63" s="980"/>
      <c r="LF63" s="999"/>
      <c r="LG63" s="999"/>
      <c r="LH63" s="999">
        <v>1</v>
      </c>
      <c r="LI63" s="999"/>
      <c r="LJ63" s="999">
        <v>1</v>
      </c>
      <c r="LK63" s="999"/>
      <c r="LL63" s="999"/>
      <c r="LM63" s="999">
        <v>1</v>
      </c>
      <c r="LN63" s="999"/>
      <c r="LO63" s="999">
        <v>1</v>
      </c>
      <c r="LP63" s="999">
        <v>1</v>
      </c>
      <c r="LQ63" s="999"/>
      <c r="LR63" s="999">
        <v>4</v>
      </c>
      <c r="LS63" s="999">
        <v>1</v>
      </c>
      <c r="LT63" s="999">
        <v>1</v>
      </c>
      <c r="LU63" s="999">
        <v>2</v>
      </c>
      <c r="LV63" s="999"/>
      <c r="LW63" s="999"/>
      <c r="LX63" s="999">
        <v>1</v>
      </c>
      <c r="LY63" s="999">
        <v>1</v>
      </c>
    </row>
    <row r="64" spans="1:337" ht="29.25" customHeight="1" x14ac:dyDescent="0.25">
      <c r="A64" s="1584"/>
      <c r="B64" s="1617"/>
      <c r="C64" s="353" t="s">
        <v>123</v>
      </c>
      <c r="D64" s="354" t="s">
        <v>2555</v>
      </c>
      <c r="E64" s="844" t="s">
        <v>53</v>
      </c>
      <c r="F64" s="863"/>
      <c r="G64" s="863"/>
      <c r="H64" s="864"/>
      <c r="I64" s="864"/>
      <c r="J64" s="864"/>
      <c r="K64" s="864"/>
      <c r="L64" s="864"/>
      <c r="M64" s="864"/>
      <c r="N64" s="852"/>
      <c r="O64" s="864"/>
      <c r="P64" s="864"/>
      <c r="Q64" s="864"/>
      <c r="R64" s="864"/>
      <c r="S64" s="864"/>
      <c r="T64" s="864"/>
      <c r="U64" s="864"/>
      <c r="V64" s="980">
        <v>1</v>
      </c>
      <c r="W64" s="980"/>
      <c r="X64" s="980"/>
      <c r="Y64" s="980"/>
      <c r="Z64" s="980">
        <v>1</v>
      </c>
      <c r="AA64" s="864"/>
      <c r="AB64" s="864"/>
      <c r="AC64" s="864"/>
      <c r="AD64" s="864"/>
      <c r="AE64" s="864"/>
      <c r="AF64" s="864"/>
      <c r="AG64" s="864"/>
      <c r="AH64" s="864"/>
      <c r="AI64" s="864"/>
      <c r="AJ64" s="864"/>
      <c r="AK64" s="864"/>
      <c r="AL64" s="864"/>
      <c r="AM64" s="864"/>
      <c r="AN64" s="864"/>
      <c r="AO64" s="864"/>
      <c r="AP64" s="864"/>
      <c r="AQ64" s="864"/>
      <c r="AR64" s="864"/>
      <c r="AS64" s="864"/>
      <c r="AT64" s="864"/>
      <c r="AU64" s="864"/>
      <c r="AV64" s="980"/>
      <c r="AW64" s="980"/>
      <c r="AX64" s="864"/>
      <c r="AY64" s="864"/>
      <c r="AZ64" s="864"/>
      <c r="BA64" s="852"/>
      <c r="BB64" s="980"/>
      <c r="BC64" s="980"/>
      <c r="BD64" s="980">
        <v>3</v>
      </c>
      <c r="BE64" s="864"/>
      <c r="BF64" s="864"/>
      <c r="BG64" s="864"/>
      <c r="BH64" s="864"/>
      <c r="BI64" s="864"/>
      <c r="BJ64" s="864"/>
      <c r="BK64" s="864"/>
      <c r="BL64" s="864"/>
      <c r="BM64" s="864"/>
      <c r="BN64" s="864"/>
      <c r="BO64" s="864"/>
      <c r="BP64" s="864"/>
      <c r="BQ64" s="864"/>
      <c r="BR64" s="864"/>
      <c r="BS64" s="864"/>
      <c r="BT64" s="980"/>
      <c r="BU64" s="980"/>
      <c r="BV64" s="980"/>
      <c r="BW64" s="980"/>
      <c r="BX64" s="864"/>
      <c r="BY64" s="864"/>
      <c r="BZ64" s="864"/>
      <c r="CA64" s="864"/>
      <c r="CB64" s="864"/>
      <c r="CC64" s="998"/>
      <c r="CD64" s="864"/>
      <c r="CE64" s="864"/>
      <c r="CF64" s="864"/>
      <c r="CG64" s="864"/>
      <c r="CH64" s="864"/>
      <c r="CI64" s="864"/>
      <c r="CJ64" s="864"/>
      <c r="CK64" s="980"/>
      <c r="CL64" s="980"/>
      <c r="CM64" s="864"/>
      <c r="CN64" s="864"/>
      <c r="CO64" s="864"/>
      <c r="CP64" s="864"/>
      <c r="CQ64" s="864"/>
      <c r="CR64" s="864"/>
      <c r="CS64" s="864"/>
      <c r="CT64" s="864"/>
      <c r="CU64" s="864"/>
      <c r="CV64" s="864"/>
      <c r="CW64" s="864"/>
      <c r="CX64" s="864"/>
      <c r="CY64" s="864"/>
      <c r="CZ64" s="864"/>
      <c r="DA64" s="864"/>
      <c r="DB64" s="864"/>
      <c r="DC64" s="864"/>
      <c r="DD64" s="864"/>
      <c r="DE64" s="864"/>
      <c r="DF64" s="980">
        <v>1</v>
      </c>
      <c r="DG64" s="864"/>
      <c r="DH64" s="980"/>
      <c r="DI64" s="980"/>
      <c r="DJ64" s="980"/>
      <c r="DK64" s="980"/>
      <c r="DL64" s="980"/>
      <c r="DM64" s="980"/>
      <c r="DN64" s="864"/>
      <c r="DO64" s="864"/>
      <c r="DP64" s="980"/>
      <c r="DQ64" s="864"/>
      <c r="DR64" s="864"/>
      <c r="DS64" s="864"/>
      <c r="DT64" s="864"/>
      <c r="DU64" s="864"/>
      <c r="DV64" s="864"/>
      <c r="DW64" s="864"/>
      <c r="DX64" s="864"/>
      <c r="DY64" s="864"/>
      <c r="DZ64" s="864"/>
      <c r="EA64" s="864"/>
      <c r="EB64" s="864"/>
      <c r="EC64" s="864"/>
      <c r="ED64" s="864"/>
      <c r="EE64" s="864"/>
      <c r="EF64" s="980"/>
      <c r="EG64" s="980"/>
      <c r="EH64" s="980"/>
      <c r="EI64" s="855"/>
      <c r="EJ64" s="999"/>
      <c r="EK64" s="999">
        <v>1</v>
      </c>
      <c r="EL64" s="999"/>
      <c r="EM64" s="999">
        <v>2</v>
      </c>
      <c r="EN64" s="999">
        <v>1</v>
      </c>
      <c r="EO64" s="999"/>
      <c r="EP64" s="999"/>
      <c r="EQ64" s="999"/>
      <c r="ER64" s="999"/>
      <c r="ES64" s="999"/>
      <c r="ET64" s="999">
        <v>2</v>
      </c>
      <c r="EU64" s="864"/>
      <c r="EV64" s="864"/>
      <c r="EW64" s="980"/>
      <c r="EX64" s="864"/>
      <c r="EY64" s="864"/>
      <c r="EZ64" s="864"/>
      <c r="FA64" s="864"/>
      <c r="FB64" s="864"/>
      <c r="FC64" s="864"/>
      <c r="FD64" s="864"/>
      <c r="FE64" s="980"/>
      <c r="FF64" s="864"/>
      <c r="FG64" s="864"/>
      <c r="FH64" s="864"/>
      <c r="FI64" s="864"/>
      <c r="FJ64" s="864"/>
      <c r="FK64" s="1000"/>
      <c r="FL64" s="980"/>
      <c r="FM64" s="980"/>
      <c r="FN64" s="980"/>
      <c r="FO64" s="980"/>
      <c r="FP64" s="980"/>
      <c r="FQ64" s="980"/>
      <c r="FR64" s="864"/>
      <c r="FS64" s="864"/>
      <c r="FT64" s="864"/>
      <c r="FU64" s="864"/>
      <c r="FV64" s="864"/>
      <c r="FW64" s="864"/>
      <c r="FX64" s="864"/>
      <c r="FY64" s="864"/>
      <c r="FZ64" s="864"/>
      <c r="GA64" s="980"/>
      <c r="GB64" s="980"/>
      <c r="GC64" s="980"/>
      <c r="GD64" s="980"/>
      <c r="GE64" s="980"/>
      <c r="GF64" s="980"/>
      <c r="GG64" s="980"/>
      <c r="GH64" s="864"/>
      <c r="GI64" s="864"/>
      <c r="GJ64" s="864"/>
      <c r="GK64" s="864"/>
      <c r="GL64" s="864"/>
      <c r="GM64" s="864"/>
      <c r="GN64" s="864"/>
      <c r="GO64" s="1001">
        <v>1</v>
      </c>
      <c r="GP64" s="1002"/>
      <c r="GQ64" s="867"/>
      <c r="GR64" s="864"/>
      <c r="GS64" s="864"/>
      <c r="GT64" s="864"/>
      <c r="GU64" s="864"/>
      <c r="GV64" s="864"/>
      <c r="GW64" s="864"/>
      <c r="GX64" s="864"/>
      <c r="GY64" s="864"/>
      <c r="GZ64" s="864"/>
      <c r="HA64" s="864"/>
      <c r="HB64" s="864"/>
      <c r="HC64" s="864"/>
      <c r="HD64" s="864"/>
      <c r="HE64" s="980"/>
      <c r="HF64" s="980"/>
      <c r="HG64" s="864"/>
      <c r="HH64" s="999"/>
      <c r="HI64" s="980"/>
      <c r="HJ64" s="980"/>
      <c r="HK64" s="999">
        <v>1</v>
      </c>
      <c r="HL64" s="864"/>
      <c r="HM64" s="864"/>
      <c r="HN64" s="864"/>
      <c r="HO64" s="1004"/>
      <c r="HP64" s="980"/>
      <c r="HQ64" s="980"/>
      <c r="HR64" s="998"/>
      <c r="HS64" s="980"/>
      <c r="HT64" s="980"/>
      <c r="HU64" s="980"/>
      <c r="HV64" s="1000"/>
      <c r="HW64" s="980"/>
      <c r="HX64" s="980"/>
      <c r="HY64" s="980"/>
      <c r="HZ64" s="980"/>
      <c r="IA64" s="980"/>
      <c r="IB64" s="980"/>
      <c r="IC64" s="980"/>
      <c r="ID64" s="980"/>
      <c r="IE64" s="980"/>
      <c r="IF64" s="980"/>
      <c r="IG64" s="998"/>
      <c r="IH64" s="980"/>
      <c r="II64" s="980"/>
      <c r="IJ64" s="998"/>
      <c r="IK64" s="980"/>
      <c r="IL64" s="980"/>
      <c r="IM64" s="980"/>
      <c r="IN64" s="980"/>
      <c r="IO64" s="864"/>
      <c r="IP64" s="864"/>
      <c r="IQ64" s="864"/>
      <c r="IR64" s="998"/>
      <c r="IS64" s="980"/>
      <c r="IT64" s="980"/>
      <c r="IU64" s="980"/>
      <c r="IV64" s="980"/>
      <c r="IW64" s="980"/>
      <c r="IX64" s="999"/>
      <c r="IY64" s="980"/>
      <c r="IZ64" s="980"/>
      <c r="JA64" s="980">
        <v>2</v>
      </c>
      <c r="JB64" s="980"/>
      <c r="JC64" s="980"/>
      <c r="JD64" s="980"/>
      <c r="JE64" s="980"/>
      <c r="JF64" s="999"/>
      <c r="JG64" s="980"/>
      <c r="JH64" s="980"/>
      <c r="JI64" s="980"/>
      <c r="JJ64" s="980"/>
      <c r="JK64" s="980"/>
      <c r="JL64" s="980"/>
      <c r="JM64" s="980"/>
      <c r="JN64" s="980"/>
      <c r="JO64" s="980"/>
      <c r="JP64" s="980"/>
      <c r="JQ64" s="999"/>
      <c r="JR64" s="980"/>
      <c r="JS64" s="980"/>
      <c r="JT64" s="980"/>
      <c r="JU64" s="980"/>
      <c r="JV64" s="980"/>
      <c r="JW64" s="980"/>
      <c r="JX64" s="980"/>
      <c r="JY64" s="980"/>
      <c r="JZ64" s="980"/>
      <c r="KA64" s="980"/>
      <c r="KB64" s="980"/>
      <c r="KC64" s="980"/>
      <c r="KD64" s="980"/>
      <c r="KE64" s="998"/>
      <c r="KF64" s="998"/>
      <c r="KG64" s="998"/>
      <c r="KH64" s="998"/>
      <c r="KI64" s="998">
        <v>0</v>
      </c>
      <c r="KJ64" s="998"/>
      <c r="KK64" s="998"/>
      <c r="KL64" s="980"/>
      <c r="KM64" s="864"/>
      <c r="KN64" s="864"/>
      <c r="KO64" s="864"/>
      <c r="KP64" s="864"/>
      <c r="KQ64" s="864"/>
      <c r="KR64" s="980"/>
      <c r="KS64" s="864"/>
      <c r="KT64" s="980"/>
      <c r="KU64" s="864"/>
      <c r="KV64" s="980"/>
      <c r="KW64" s="980"/>
      <c r="KX64" s="980"/>
      <c r="KY64" s="858"/>
      <c r="KZ64" s="980"/>
      <c r="LA64" s="980"/>
      <c r="LB64" s="980"/>
      <c r="LC64" s="980"/>
      <c r="LD64" s="980"/>
      <c r="LE64" s="980"/>
      <c r="LF64" s="999">
        <v>1</v>
      </c>
      <c r="LG64" s="999">
        <v>1</v>
      </c>
      <c r="LH64" s="999"/>
      <c r="LI64" s="999">
        <v>1</v>
      </c>
      <c r="LJ64" s="999"/>
      <c r="LK64" s="999">
        <v>1</v>
      </c>
      <c r="LL64" s="999"/>
      <c r="LM64" s="999"/>
      <c r="LN64" s="999"/>
      <c r="LO64" s="999"/>
      <c r="LP64" s="999"/>
      <c r="LQ64" s="999"/>
      <c r="LR64" s="999"/>
      <c r="LS64" s="999"/>
      <c r="LT64" s="999"/>
      <c r="LU64" s="999"/>
      <c r="LV64" s="999"/>
      <c r="LW64" s="999"/>
      <c r="LX64" s="999"/>
      <c r="LY64" s="999"/>
    </row>
    <row r="65" spans="1:337" ht="29.25" customHeight="1" x14ac:dyDescent="0.25">
      <c r="A65" s="1584"/>
      <c r="B65" s="1617"/>
      <c r="C65" s="353" t="s">
        <v>124</v>
      </c>
      <c r="D65" s="354" t="s">
        <v>215</v>
      </c>
      <c r="E65" s="844" t="s">
        <v>53</v>
      </c>
      <c r="F65" s="863"/>
      <c r="G65" s="863"/>
      <c r="H65" s="864"/>
      <c r="I65" s="864"/>
      <c r="J65" s="864"/>
      <c r="K65" s="864"/>
      <c r="L65" s="864"/>
      <c r="M65" s="864"/>
      <c r="N65" s="852"/>
      <c r="O65" s="864"/>
      <c r="P65" s="864"/>
      <c r="Q65" s="864"/>
      <c r="R65" s="864"/>
      <c r="S65" s="864"/>
      <c r="T65" s="864"/>
      <c r="U65" s="864"/>
      <c r="V65" s="980"/>
      <c r="W65" s="980"/>
      <c r="X65" s="980"/>
      <c r="Y65" s="980"/>
      <c r="Z65" s="980"/>
      <c r="AA65" s="864"/>
      <c r="AB65" s="864"/>
      <c r="AC65" s="864"/>
      <c r="AD65" s="864"/>
      <c r="AE65" s="864"/>
      <c r="AF65" s="864"/>
      <c r="AG65" s="864"/>
      <c r="AH65" s="864"/>
      <c r="AI65" s="864"/>
      <c r="AJ65" s="864"/>
      <c r="AK65" s="864"/>
      <c r="AL65" s="864"/>
      <c r="AM65" s="864"/>
      <c r="AN65" s="864"/>
      <c r="AO65" s="864"/>
      <c r="AP65" s="864"/>
      <c r="AQ65" s="864"/>
      <c r="AR65" s="864"/>
      <c r="AS65" s="864"/>
      <c r="AT65" s="864"/>
      <c r="AU65" s="864"/>
      <c r="AV65" s="980"/>
      <c r="AW65" s="980"/>
      <c r="AX65" s="864"/>
      <c r="AY65" s="864"/>
      <c r="AZ65" s="864"/>
      <c r="BA65" s="852"/>
      <c r="BB65" s="980"/>
      <c r="BC65" s="980"/>
      <c r="BD65" s="980"/>
      <c r="BE65" s="864"/>
      <c r="BF65" s="864"/>
      <c r="BG65" s="864"/>
      <c r="BH65" s="864"/>
      <c r="BI65" s="864"/>
      <c r="BJ65" s="864"/>
      <c r="BK65" s="864"/>
      <c r="BL65" s="864"/>
      <c r="BM65" s="864"/>
      <c r="BN65" s="864"/>
      <c r="BO65" s="864"/>
      <c r="BP65" s="864"/>
      <c r="BQ65" s="864"/>
      <c r="BR65" s="864"/>
      <c r="BS65" s="864"/>
      <c r="BT65" s="980">
        <v>26</v>
      </c>
      <c r="BU65" s="980"/>
      <c r="BV65" s="980"/>
      <c r="BW65" s="980"/>
      <c r="BX65" s="864"/>
      <c r="BY65" s="864"/>
      <c r="BZ65" s="864"/>
      <c r="CA65" s="864"/>
      <c r="CB65" s="864"/>
      <c r="CC65" s="998"/>
      <c r="CD65" s="864"/>
      <c r="CE65" s="864"/>
      <c r="CF65" s="864"/>
      <c r="CG65" s="864"/>
      <c r="CH65" s="864"/>
      <c r="CI65" s="864"/>
      <c r="CJ65" s="864"/>
      <c r="CK65" s="980"/>
      <c r="CL65" s="980"/>
      <c r="CM65" s="864"/>
      <c r="CN65" s="864"/>
      <c r="CO65" s="864"/>
      <c r="CP65" s="864"/>
      <c r="CQ65" s="864"/>
      <c r="CR65" s="864"/>
      <c r="CS65" s="864"/>
      <c r="CT65" s="864"/>
      <c r="CU65" s="864"/>
      <c r="CV65" s="864"/>
      <c r="CW65" s="864"/>
      <c r="CX65" s="864"/>
      <c r="CY65" s="864"/>
      <c r="CZ65" s="864"/>
      <c r="DA65" s="864"/>
      <c r="DB65" s="864"/>
      <c r="DC65" s="864"/>
      <c r="DD65" s="864"/>
      <c r="DE65" s="864"/>
      <c r="DF65" s="980"/>
      <c r="DG65" s="864"/>
      <c r="DH65" s="980"/>
      <c r="DI65" s="980"/>
      <c r="DJ65" s="980"/>
      <c r="DK65" s="980"/>
      <c r="DL65" s="980"/>
      <c r="DM65" s="980"/>
      <c r="DN65" s="864"/>
      <c r="DO65" s="864"/>
      <c r="DP65" s="980"/>
      <c r="DQ65" s="864"/>
      <c r="DR65" s="864"/>
      <c r="DS65" s="864"/>
      <c r="DT65" s="864"/>
      <c r="DU65" s="864"/>
      <c r="DV65" s="864"/>
      <c r="DW65" s="864"/>
      <c r="DX65" s="864"/>
      <c r="DY65" s="864"/>
      <c r="DZ65" s="864"/>
      <c r="EA65" s="864"/>
      <c r="EB65" s="864"/>
      <c r="EC65" s="864"/>
      <c r="ED65" s="864"/>
      <c r="EE65" s="864"/>
      <c r="EF65" s="980"/>
      <c r="EG65" s="980"/>
      <c r="EH65" s="980"/>
      <c r="EI65" s="855"/>
      <c r="EJ65" s="999"/>
      <c r="EK65" s="999"/>
      <c r="EL65" s="999"/>
      <c r="EM65" s="999"/>
      <c r="EN65" s="999"/>
      <c r="EO65" s="999"/>
      <c r="EP65" s="999"/>
      <c r="EQ65" s="999"/>
      <c r="ER65" s="999"/>
      <c r="ES65" s="999"/>
      <c r="ET65" s="999"/>
      <c r="EU65" s="864"/>
      <c r="EV65" s="864"/>
      <c r="EW65" s="980"/>
      <c r="EX65" s="864"/>
      <c r="EY65" s="864"/>
      <c r="EZ65" s="864"/>
      <c r="FA65" s="864"/>
      <c r="FB65" s="864"/>
      <c r="FC65" s="864"/>
      <c r="FD65" s="864"/>
      <c r="FE65" s="980"/>
      <c r="FF65" s="864"/>
      <c r="FG65" s="864"/>
      <c r="FH65" s="864"/>
      <c r="FI65" s="864"/>
      <c r="FJ65" s="864"/>
      <c r="FK65" s="1000"/>
      <c r="FL65" s="980"/>
      <c r="FM65" s="980"/>
      <c r="FN65" s="980"/>
      <c r="FO65" s="980"/>
      <c r="FP65" s="980"/>
      <c r="FQ65" s="980"/>
      <c r="FR65" s="864"/>
      <c r="FS65" s="864"/>
      <c r="FT65" s="864"/>
      <c r="FU65" s="864"/>
      <c r="FV65" s="864"/>
      <c r="FW65" s="864"/>
      <c r="FX65" s="864"/>
      <c r="FY65" s="864"/>
      <c r="FZ65" s="864"/>
      <c r="GA65" s="980"/>
      <c r="GB65" s="980"/>
      <c r="GC65" s="980"/>
      <c r="GD65" s="980"/>
      <c r="GE65" s="980"/>
      <c r="GF65" s="980"/>
      <c r="GG65" s="980"/>
      <c r="GH65" s="864"/>
      <c r="GI65" s="864"/>
      <c r="GJ65" s="864"/>
      <c r="GK65" s="864"/>
      <c r="GL65" s="864"/>
      <c r="GM65" s="864"/>
      <c r="GN65" s="864"/>
      <c r="GO65" s="1001">
        <v>1</v>
      </c>
      <c r="GP65" s="1002"/>
      <c r="GQ65" s="867"/>
      <c r="GR65" s="864"/>
      <c r="GS65" s="864"/>
      <c r="GT65" s="864"/>
      <c r="GU65" s="864"/>
      <c r="GV65" s="864"/>
      <c r="GW65" s="864"/>
      <c r="GX65" s="864"/>
      <c r="GY65" s="864"/>
      <c r="GZ65" s="864"/>
      <c r="HA65" s="864"/>
      <c r="HB65" s="864"/>
      <c r="HC65" s="864"/>
      <c r="HD65" s="864"/>
      <c r="HE65" s="980"/>
      <c r="HF65" s="980"/>
      <c r="HG65" s="864"/>
      <c r="HH65" s="999"/>
      <c r="HI65" s="980"/>
      <c r="HJ65" s="980"/>
      <c r="HK65" s="999"/>
      <c r="HL65" s="864"/>
      <c r="HM65" s="864"/>
      <c r="HN65" s="864"/>
      <c r="HO65" s="1004"/>
      <c r="HP65" s="980"/>
      <c r="HQ65" s="980"/>
      <c r="HR65" s="998"/>
      <c r="HS65" s="980"/>
      <c r="HT65" s="980"/>
      <c r="HU65" s="980"/>
      <c r="HV65" s="1000"/>
      <c r="HW65" s="980"/>
      <c r="HX65" s="980"/>
      <c r="HY65" s="980"/>
      <c r="HZ65" s="980"/>
      <c r="IA65" s="980"/>
      <c r="IB65" s="980"/>
      <c r="IC65" s="980"/>
      <c r="ID65" s="980"/>
      <c r="IE65" s="980"/>
      <c r="IF65" s="980"/>
      <c r="IG65" s="998"/>
      <c r="IH65" s="980"/>
      <c r="II65" s="980"/>
      <c r="IJ65" s="998"/>
      <c r="IK65" s="980"/>
      <c r="IL65" s="980"/>
      <c r="IM65" s="980"/>
      <c r="IN65" s="980"/>
      <c r="IO65" s="864"/>
      <c r="IP65" s="864"/>
      <c r="IQ65" s="864"/>
      <c r="IR65" s="998"/>
      <c r="IS65" s="980"/>
      <c r="IT65" s="980"/>
      <c r="IU65" s="980"/>
      <c r="IV65" s="980"/>
      <c r="IW65" s="980"/>
      <c r="IX65" s="999"/>
      <c r="IY65" s="980"/>
      <c r="IZ65" s="980"/>
      <c r="JA65" s="980"/>
      <c r="JB65" s="980"/>
      <c r="JC65" s="980"/>
      <c r="JD65" s="980"/>
      <c r="JE65" s="980">
        <v>1</v>
      </c>
      <c r="JF65" s="999"/>
      <c r="JG65" s="980"/>
      <c r="JH65" s="980"/>
      <c r="JI65" s="980"/>
      <c r="JJ65" s="980"/>
      <c r="JK65" s="980"/>
      <c r="JL65" s="980"/>
      <c r="JM65" s="980"/>
      <c r="JN65" s="980"/>
      <c r="JO65" s="980"/>
      <c r="JP65" s="980"/>
      <c r="JQ65" s="999"/>
      <c r="JR65" s="980"/>
      <c r="JS65" s="980"/>
      <c r="JT65" s="980"/>
      <c r="JU65" s="980"/>
      <c r="JV65" s="980"/>
      <c r="JW65" s="980"/>
      <c r="JX65" s="980"/>
      <c r="JY65" s="980"/>
      <c r="JZ65" s="980"/>
      <c r="KA65" s="980"/>
      <c r="KB65" s="980"/>
      <c r="KC65" s="980"/>
      <c r="KD65" s="980"/>
      <c r="KE65" s="998"/>
      <c r="KF65" s="998"/>
      <c r="KG65" s="998"/>
      <c r="KH65" s="998"/>
      <c r="KI65" s="998">
        <v>0</v>
      </c>
      <c r="KJ65" s="998"/>
      <c r="KK65" s="998"/>
      <c r="KL65" s="980"/>
      <c r="KM65" s="864"/>
      <c r="KN65" s="864"/>
      <c r="KO65" s="864"/>
      <c r="KP65" s="864"/>
      <c r="KQ65" s="864"/>
      <c r="KR65" s="980"/>
      <c r="KS65" s="864"/>
      <c r="KT65" s="980">
        <v>1</v>
      </c>
      <c r="KU65" s="864"/>
      <c r="KV65" s="980"/>
      <c r="KW65" s="980"/>
      <c r="KX65" s="980"/>
      <c r="KY65" s="858"/>
      <c r="KZ65" s="980"/>
      <c r="LA65" s="980">
        <v>1</v>
      </c>
      <c r="LB65" s="980"/>
      <c r="LC65" s="980"/>
      <c r="LD65" s="980"/>
      <c r="LE65" s="980">
        <v>1</v>
      </c>
      <c r="LF65" s="999"/>
      <c r="LG65" s="999"/>
      <c r="LH65" s="999"/>
      <c r="LI65" s="999"/>
      <c r="LJ65" s="999"/>
      <c r="LK65" s="999"/>
      <c r="LL65" s="999"/>
      <c r="LM65" s="999"/>
      <c r="LN65" s="999"/>
      <c r="LO65" s="999"/>
      <c r="LP65" s="999"/>
      <c r="LQ65" s="999"/>
      <c r="LR65" s="999"/>
      <c r="LS65" s="999"/>
      <c r="LT65" s="999"/>
      <c r="LU65" s="999"/>
      <c r="LV65" s="999">
        <v>1</v>
      </c>
      <c r="LW65" s="999"/>
      <c r="LX65" s="999"/>
      <c r="LY65" s="999"/>
    </row>
    <row r="66" spans="1:337" ht="29.25" customHeight="1" x14ac:dyDescent="0.25">
      <c r="A66" s="1584"/>
      <c r="B66" s="1617"/>
      <c r="C66" s="353" t="s">
        <v>125</v>
      </c>
      <c r="D66" s="354" t="s">
        <v>32</v>
      </c>
      <c r="E66" s="844" t="s">
        <v>53</v>
      </c>
      <c r="F66" s="863"/>
      <c r="G66" s="863"/>
      <c r="H66" s="864"/>
      <c r="I66" s="864"/>
      <c r="J66" s="864"/>
      <c r="K66" s="864"/>
      <c r="L66" s="864"/>
      <c r="M66" s="864"/>
      <c r="N66" s="852"/>
      <c r="O66" s="864"/>
      <c r="P66" s="864"/>
      <c r="Q66" s="864"/>
      <c r="R66" s="864"/>
      <c r="S66" s="864"/>
      <c r="T66" s="864"/>
      <c r="U66" s="864"/>
      <c r="V66" s="980"/>
      <c r="W66" s="980"/>
      <c r="X66" s="980"/>
      <c r="Y66" s="980"/>
      <c r="Z66" s="980"/>
      <c r="AA66" s="864"/>
      <c r="AB66" s="864"/>
      <c r="AC66" s="864"/>
      <c r="AD66" s="864"/>
      <c r="AE66" s="864"/>
      <c r="AF66" s="864"/>
      <c r="AG66" s="864"/>
      <c r="AH66" s="864"/>
      <c r="AI66" s="864"/>
      <c r="AJ66" s="864"/>
      <c r="AK66" s="864"/>
      <c r="AL66" s="864"/>
      <c r="AM66" s="864"/>
      <c r="AN66" s="864"/>
      <c r="AO66" s="864"/>
      <c r="AP66" s="864"/>
      <c r="AQ66" s="864"/>
      <c r="AR66" s="864"/>
      <c r="AS66" s="864"/>
      <c r="AT66" s="864"/>
      <c r="AU66" s="864"/>
      <c r="AV66" s="980"/>
      <c r="AW66" s="980"/>
      <c r="AX66" s="864"/>
      <c r="AY66" s="864"/>
      <c r="AZ66" s="864"/>
      <c r="BA66" s="852"/>
      <c r="BB66" s="980"/>
      <c r="BC66" s="980"/>
      <c r="BD66" s="980"/>
      <c r="BE66" s="864"/>
      <c r="BF66" s="864"/>
      <c r="BG66" s="864"/>
      <c r="BH66" s="864"/>
      <c r="BI66" s="864"/>
      <c r="BJ66" s="864"/>
      <c r="BK66" s="864"/>
      <c r="BL66" s="864"/>
      <c r="BM66" s="864"/>
      <c r="BN66" s="864"/>
      <c r="BO66" s="864"/>
      <c r="BP66" s="864"/>
      <c r="BQ66" s="864"/>
      <c r="BR66" s="864"/>
      <c r="BS66" s="864"/>
      <c r="BT66" s="980"/>
      <c r="BU66" s="980"/>
      <c r="BV66" s="980"/>
      <c r="BW66" s="980"/>
      <c r="BX66" s="864"/>
      <c r="BY66" s="864"/>
      <c r="BZ66" s="864"/>
      <c r="CA66" s="864"/>
      <c r="CB66" s="864"/>
      <c r="CC66" s="998"/>
      <c r="CD66" s="864"/>
      <c r="CE66" s="864"/>
      <c r="CF66" s="864"/>
      <c r="CG66" s="864"/>
      <c r="CH66" s="864"/>
      <c r="CI66" s="864"/>
      <c r="CJ66" s="864"/>
      <c r="CK66" s="980"/>
      <c r="CL66" s="980"/>
      <c r="CM66" s="864"/>
      <c r="CN66" s="864"/>
      <c r="CO66" s="864"/>
      <c r="CP66" s="864"/>
      <c r="CQ66" s="864"/>
      <c r="CR66" s="864"/>
      <c r="CS66" s="864"/>
      <c r="CT66" s="864"/>
      <c r="CU66" s="864"/>
      <c r="CV66" s="864"/>
      <c r="CW66" s="864"/>
      <c r="CX66" s="864"/>
      <c r="CY66" s="864"/>
      <c r="CZ66" s="864"/>
      <c r="DA66" s="864"/>
      <c r="DB66" s="864"/>
      <c r="DC66" s="864"/>
      <c r="DD66" s="864"/>
      <c r="DE66" s="864"/>
      <c r="DF66" s="980"/>
      <c r="DG66" s="864"/>
      <c r="DH66" s="980"/>
      <c r="DI66" s="980"/>
      <c r="DJ66" s="980"/>
      <c r="DK66" s="980"/>
      <c r="DL66" s="980"/>
      <c r="DM66" s="980"/>
      <c r="DN66" s="864"/>
      <c r="DO66" s="864"/>
      <c r="DP66" s="980"/>
      <c r="DQ66" s="864"/>
      <c r="DR66" s="864"/>
      <c r="DS66" s="864"/>
      <c r="DT66" s="864"/>
      <c r="DU66" s="864"/>
      <c r="DV66" s="864"/>
      <c r="DW66" s="864"/>
      <c r="DX66" s="864"/>
      <c r="DY66" s="864"/>
      <c r="DZ66" s="864"/>
      <c r="EA66" s="864"/>
      <c r="EB66" s="864"/>
      <c r="EC66" s="864"/>
      <c r="ED66" s="864"/>
      <c r="EE66" s="864"/>
      <c r="EF66" s="980"/>
      <c r="EG66" s="980"/>
      <c r="EH66" s="980"/>
      <c r="EI66" s="855"/>
      <c r="EJ66" s="999"/>
      <c r="EK66" s="999"/>
      <c r="EL66" s="999"/>
      <c r="EM66" s="999"/>
      <c r="EN66" s="999"/>
      <c r="EO66" s="999"/>
      <c r="EP66" s="999"/>
      <c r="EQ66" s="999"/>
      <c r="ER66" s="999"/>
      <c r="ES66" s="999"/>
      <c r="ET66" s="999"/>
      <c r="EU66" s="864"/>
      <c r="EV66" s="864"/>
      <c r="EW66" s="980"/>
      <c r="EX66" s="864"/>
      <c r="EY66" s="864"/>
      <c r="EZ66" s="864"/>
      <c r="FA66" s="864"/>
      <c r="FB66" s="864"/>
      <c r="FC66" s="864"/>
      <c r="FD66" s="864"/>
      <c r="FE66" s="980"/>
      <c r="FF66" s="864"/>
      <c r="FG66" s="864"/>
      <c r="FH66" s="864"/>
      <c r="FI66" s="864"/>
      <c r="FJ66" s="864"/>
      <c r="FK66" s="1000"/>
      <c r="FL66" s="980">
        <v>9</v>
      </c>
      <c r="FM66" s="980"/>
      <c r="FN66" s="980"/>
      <c r="FO66" s="980"/>
      <c r="FP66" s="980"/>
      <c r="FQ66" s="980"/>
      <c r="FR66" s="864"/>
      <c r="FS66" s="864"/>
      <c r="FT66" s="864"/>
      <c r="FU66" s="864"/>
      <c r="FV66" s="864"/>
      <c r="FW66" s="864"/>
      <c r="FX66" s="864"/>
      <c r="FY66" s="864"/>
      <c r="FZ66" s="864"/>
      <c r="GA66" s="980"/>
      <c r="GB66" s="980"/>
      <c r="GC66" s="980"/>
      <c r="GD66" s="980"/>
      <c r="GE66" s="980">
        <v>9</v>
      </c>
      <c r="GF66" s="980"/>
      <c r="GG66" s="980"/>
      <c r="GH66" s="864"/>
      <c r="GI66" s="864"/>
      <c r="GJ66" s="864"/>
      <c r="GK66" s="864"/>
      <c r="GL66" s="864"/>
      <c r="GM66" s="864"/>
      <c r="GN66" s="864"/>
      <c r="GO66" s="1001"/>
      <c r="GP66" s="1002"/>
      <c r="GQ66" s="867"/>
      <c r="GR66" s="864"/>
      <c r="GS66" s="864"/>
      <c r="GT66" s="864"/>
      <c r="GU66" s="864"/>
      <c r="GV66" s="864"/>
      <c r="GW66" s="864"/>
      <c r="GX66" s="864"/>
      <c r="GY66" s="864"/>
      <c r="GZ66" s="864"/>
      <c r="HA66" s="864"/>
      <c r="HB66" s="864"/>
      <c r="HC66" s="864"/>
      <c r="HD66" s="864"/>
      <c r="HE66" s="980"/>
      <c r="HF66" s="980"/>
      <c r="HG66" s="864"/>
      <c r="HH66" s="999"/>
      <c r="HI66" s="980"/>
      <c r="HJ66" s="980"/>
      <c r="HK66" s="999"/>
      <c r="HL66" s="864"/>
      <c r="HM66" s="864"/>
      <c r="HN66" s="864"/>
      <c r="HO66" s="1004"/>
      <c r="HP66" s="980"/>
      <c r="HQ66" s="980"/>
      <c r="HR66" s="998"/>
      <c r="HS66" s="980"/>
      <c r="HT66" s="980"/>
      <c r="HU66" s="980"/>
      <c r="HV66" s="1000"/>
      <c r="HW66" s="980"/>
      <c r="HX66" s="980"/>
      <c r="HY66" s="980"/>
      <c r="HZ66" s="980"/>
      <c r="IA66" s="980"/>
      <c r="IB66" s="980"/>
      <c r="IC66" s="980"/>
      <c r="ID66" s="980"/>
      <c r="IE66" s="980"/>
      <c r="IF66" s="980"/>
      <c r="IG66" s="998"/>
      <c r="IH66" s="980"/>
      <c r="II66" s="980"/>
      <c r="IJ66" s="998"/>
      <c r="IK66" s="980"/>
      <c r="IL66" s="980"/>
      <c r="IM66" s="980"/>
      <c r="IN66" s="980"/>
      <c r="IO66" s="864"/>
      <c r="IP66" s="864"/>
      <c r="IQ66" s="864"/>
      <c r="IR66" s="998"/>
      <c r="IS66" s="980"/>
      <c r="IT66" s="980"/>
      <c r="IU66" s="980"/>
      <c r="IV66" s="980"/>
      <c r="IW66" s="980"/>
      <c r="IX66" s="999"/>
      <c r="IY66" s="980"/>
      <c r="IZ66" s="980"/>
      <c r="JA66" s="980"/>
      <c r="JB66" s="980"/>
      <c r="JC66" s="980"/>
      <c r="JD66" s="980"/>
      <c r="JE66" s="980">
        <v>1</v>
      </c>
      <c r="JF66" s="999">
        <v>1</v>
      </c>
      <c r="JG66" s="980"/>
      <c r="JH66" s="980"/>
      <c r="JI66" s="980"/>
      <c r="JJ66" s="980"/>
      <c r="JK66" s="980"/>
      <c r="JL66" s="980"/>
      <c r="JM66" s="980"/>
      <c r="JN66" s="980"/>
      <c r="JO66" s="980"/>
      <c r="JP66" s="980"/>
      <c r="JQ66" s="999"/>
      <c r="JR66" s="980"/>
      <c r="JS66" s="980"/>
      <c r="JT66" s="980"/>
      <c r="JU66" s="980"/>
      <c r="JV66" s="980"/>
      <c r="JW66" s="980"/>
      <c r="JX66" s="980"/>
      <c r="JY66" s="980"/>
      <c r="JZ66" s="980"/>
      <c r="KA66" s="980"/>
      <c r="KB66" s="980"/>
      <c r="KC66" s="980"/>
      <c r="KD66" s="980"/>
      <c r="KE66" s="998"/>
      <c r="KF66" s="998"/>
      <c r="KG66" s="998"/>
      <c r="KH66" s="998"/>
      <c r="KI66" s="998">
        <v>0</v>
      </c>
      <c r="KJ66" s="998"/>
      <c r="KK66" s="998"/>
      <c r="KL66" s="980"/>
      <c r="KM66" s="864"/>
      <c r="KN66" s="864"/>
      <c r="KO66" s="864"/>
      <c r="KP66" s="864"/>
      <c r="KQ66" s="864"/>
      <c r="KR66" s="980"/>
      <c r="KS66" s="864"/>
      <c r="KT66" s="980"/>
      <c r="KU66" s="864"/>
      <c r="KV66" s="980"/>
      <c r="KW66" s="980"/>
      <c r="KX66" s="980"/>
      <c r="KY66" s="858"/>
      <c r="KZ66" s="980"/>
      <c r="LA66" s="980">
        <v>1</v>
      </c>
      <c r="LB66" s="980"/>
      <c r="LC66" s="980"/>
      <c r="LD66" s="980"/>
      <c r="LE66" s="980"/>
      <c r="LF66" s="999"/>
      <c r="LG66" s="999"/>
      <c r="LH66" s="999"/>
      <c r="LI66" s="999"/>
      <c r="LJ66" s="999"/>
      <c r="LK66" s="999"/>
      <c r="LL66" s="999"/>
      <c r="LM66" s="999"/>
      <c r="LN66" s="999"/>
      <c r="LO66" s="999"/>
      <c r="LP66" s="999"/>
      <c r="LQ66" s="999"/>
      <c r="LR66" s="999"/>
      <c r="LS66" s="999"/>
      <c r="LT66" s="999"/>
      <c r="LU66" s="999">
        <v>1</v>
      </c>
      <c r="LV66" s="999">
        <v>1</v>
      </c>
      <c r="LW66" s="999"/>
      <c r="LX66" s="999"/>
      <c r="LY66" s="999"/>
    </row>
    <row r="67" spans="1:337" ht="29.25" customHeight="1" x14ac:dyDescent="0.25">
      <c r="A67" s="1584"/>
      <c r="B67" s="1617"/>
      <c r="C67" s="353" t="s">
        <v>126</v>
      </c>
      <c r="D67" s="354" t="s">
        <v>5359</v>
      </c>
      <c r="E67" s="844" t="s">
        <v>53</v>
      </c>
      <c r="F67" s="863"/>
      <c r="G67" s="863"/>
      <c r="H67" s="864"/>
      <c r="I67" s="864"/>
      <c r="J67" s="864"/>
      <c r="K67" s="864"/>
      <c r="L67" s="864"/>
      <c r="M67" s="864"/>
      <c r="N67" s="852"/>
      <c r="O67" s="864"/>
      <c r="P67" s="864"/>
      <c r="Q67" s="864"/>
      <c r="R67" s="864"/>
      <c r="S67" s="864"/>
      <c r="T67" s="864"/>
      <c r="U67" s="864"/>
      <c r="V67" s="980"/>
      <c r="W67" s="980"/>
      <c r="X67" s="980"/>
      <c r="Y67" s="980"/>
      <c r="Z67" s="980"/>
      <c r="AA67" s="864"/>
      <c r="AB67" s="864"/>
      <c r="AC67" s="864"/>
      <c r="AD67" s="864"/>
      <c r="AE67" s="864"/>
      <c r="AF67" s="864"/>
      <c r="AG67" s="864"/>
      <c r="AH67" s="864"/>
      <c r="AI67" s="864"/>
      <c r="AJ67" s="864"/>
      <c r="AK67" s="864"/>
      <c r="AL67" s="864"/>
      <c r="AM67" s="864"/>
      <c r="AN67" s="864"/>
      <c r="AO67" s="864"/>
      <c r="AP67" s="864"/>
      <c r="AQ67" s="864"/>
      <c r="AR67" s="864"/>
      <c r="AS67" s="864"/>
      <c r="AT67" s="864"/>
      <c r="AU67" s="864"/>
      <c r="AV67" s="980"/>
      <c r="AW67" s="980"/>
      <c r="AX67" s="864"/>
      <c r="AY67" s="864"/>
      <c r="AZ67" s="864"/>
      <c r="BA67" s="852"/>
      <c r="BB67" s="980"/>
      <c r="BC67" s="980"/>
      <c r="BD67" s="980"/>
      <c r="BE67" s="864"/>
      <c r="BF67" s="864"/>
      <c r="BG67" s="864"/>
      <c r="BH67" s="864"/>
      <c r="BI67" s="864"/>
      <c r="BJ67" s="864"/>
      <c r="BK67" s="864"/>
      <c r="BL67" s="864"/>
      <c r="BM67" s="864"/>
      <c r="BN67" s="864"/>
      <c r="BO67" s="864"/>
      <c r="BP67" s="864"/>
      <c r="BQ67" s="864"/>
      <c r="BR67" s="864"/>
      <c r="BS67" s="864"/>
      <c r="BT67" s="980"/>
      <c r="BU67" s="980"/>
      <c r="BV67" s="980"/>
      <c r="BW67" s="980"/>
      <c r="BX67" s="864"/>
      <c r="BY67" s="864"/>
      <c r="BZ67" s="864"/>
      <c r="CA67" s="864"/>
      <c r="CB67" s="864"/>
      <c r="CC67" s="998"/>
      <c r="CD67" s="864"/>
      <c r="CE67" s="864"/>
      <c r="CF67" s="864"/>
      <c r="CG67" s="864"/>
      <c r="CH67" s="864"/>
      <c r="CI67" s="864"/>
      <c r="CJ67" s="864"/>
      <c r="CK67" s="980"/>
      <c r="CL67" s="980"/>
      <c r="CM67" s="864"/>
      <c r="CN67" s="864"/>
      <c r="CO67" s="864"/>
      <c r="CP67" s="864"/>
      <c r="CQ67" s="864"/>
      <c r="CR67" s="864"/>
      <c r="CS67" s="864"/>
      <c r="CT67" s="864"/>
      <c r="CU67" s="864"/>
      <c r="CV67" s="864"/>
      <c r="CW67" s="864"/>
      <c r="CX67" s="864"/>
      <c r="CY67" s="864"/>
      <c r="CZ67" s="864"/>
      <c r="DA67" s="864"/>
      <c r="DB67" s="864"/>
      <c r="DC67" s="864"/>
      <c r="DD67" s="864"/>
      <c r="DE67" s="864"/>
      <c r="DF67" s="980"/>
      <c r="DG67" s="864"/>
      <c r="DH67" s="980"/>
      <c r="DI67" s="980"/>
      <c r="DJ67" s="980"/>
      <c r="DK67" s="980"/>
      <c r="DL67" s="980"/>
      <c r="DM67" s="980"/>
      <c r="DN67" s="864"/>
      <c r="DO67" s="864"/>
      <c r="DP67" s="980"/>
      <c r="DQ67" s="864"/>
      <c r="DR67" s="864"/>
      <c r="DS67" s="864"/>
      <c r="DT67" s="864"/>
      <c r="DU67" s="864"/>
      <c r="DV67" s="864"/>
      <c r="DW67" s="864"/>
      <c r="DX67" s="864"/>
      <c r="DY67" s="864"/>
      <c r="DZ67" s="864"/>
      <c r="EA67" s="864"/>
      <c r="EB67" s="864"/>
      <c r="EC67" s="864"/>
      <c r="ED67" s="864"/>
      <c r="EE67" s="864"/>
      <c r="EF67" s="980"/>
      <c r="EG67" s="980"/>
      <c r="EH67" s="980"/>
      <c r="EI67" s="855"/>
      <c r="EJ67" s="999"/>
      <c r="EK67" s="999"/>
      <c r="EL67" s="999"/>
      <c r="EM67" s="999"/>
      <c r="EN67" s="999"/>
      <c r="EO67" s="999"/>
      <c r="EP67" s="999"/>
      <c r="EQ67" s="999"/>
      <c r="ER67" s="999"/>
      <c r="ES67" s="999"/>
      <c r="ET67" s="999"/>
      <c r="EU67" s="864"/>
      <c r="EV67" s="864"/>
      <c r="EW67" s="980">
        <v>26</v>
      </c>
      <c r="EX67" s="864"/>
      <c r="EY67" s="864"/>
      <c r="EZ67" s="864"/>
      <c r="FA67" s="864"/>
      <c r="FB67" s="864"/>
      <c r="FC67" s="864"/>
      <c r="FD67" s="864"/>
      <c r="FE67" s="980"/>
      <c r="FF67" s="864"/>
      <c r="FG67" s="864"/>
      <c r="FH67" s="864"/>
      <c r="FI67" s="864"/>
      <c r="FJ67" s="864"/>
      <c r="FK67" s="1000"/>
      <c r="FL67" s="980"/>
      <c r="FM67" s="980"/>
      <c r="FN67" s="980"/>
      <c r="FO67" s="980"/>
      <c r="FP67" s="980"/>
      <c r="FQ67" s="980"/>
      <c r="FR67" s="864"/>
      <c r="FS67" s="864"/>
      <c r="FT67" s="864"/>
      <c r="FU67" s="864"/>
      <c r="FV67" s="864"/>
      <c r="FW67" s="864"/>
      <c r="FX67" s="864"/>
      <c r="FY67" s="864"/>
      <c r="FZ67" s="864"/>
      <c r="GA67" s="980"/>
      <c r="GB67" s="980"/>
      <c r="GC67" s="980"/>
      <c r="GD67" s="980"/>
      <c r="GE67" s="980"/>
      <c r="GF67" s="980"/>
      <c r="GG67" s="980"/>
      <c r="GH67" s="864"/>
      <c r="GI67" s="864"/>
      <c r="GJ67" s="864"/>
      <c r="GK67" s="864"/>
      <c r="GL67" s="864"/>
      <c r="GM67" s="864"/>
      <c r="GN67" s="864"/>
      <c r="GO67" s="1001"/>
      <c r="GP67" s="1002"/>
      <c r="GQ67" s="867"/>
      <c r="GR67" s="864"/>
      <c r="GS67" s="864"/>
      <c r="GT67" s="864"/>
      <c r="GU67" s="864"/>
      <c r="GV67" s="864"/>
      <c r="GW67" s="864"/>
      <c r="GX67" s="864"/>
      <c r="GY67" s="864"/>
      <c r="GZ67" s="864"/>
      <c r="HA67" s="864"/>
      <c r="HB67" s="864"/>
      <c r="HC67" s="864"/>
      <c r="HD67" s="864"/>
      <c r="HE67" s="980"/>
      <c r="HF67" s="980"/>
      <c r="HG67" s="864"/>
      <c r="HH67" s="999"/>
      <c r="HI67" s="980"/>
      <c r="HJ67" s="980"/>
      <c r="HK67" s="999"/>
      <c r="HL67" s="864"/>
      <c r="HM67" s="864"/>
      <c r="HN67" s="864"/>
      <c r="HO67" s="1004"/>
      <c r="HP67" s="980"/>
      <c r="HQ67" s="980"/>
      <c r="HR67" s="998"/>
      <c r="HS67" s="980"/>
      <c r="HT67" s="980"/>
      <c r="HU67" s="980"/>
      <c r="HV67" s="1000"/>
      <c r="HW67" s="980"/>
      <c r="HX67" s="980"/>
      <c r="HY67" s="980"/>
      <c r="HZ67" s="980"/>
      <c r="IA67" s="980"/>
      <c r="IB67" s="980"/>
      <c r="IC67" s="980"/>
      <c r="ID67" s="980"/>
      <c r="IE67" s="980"/>
      <c r="IF67" s="980"/>
      <c r="IG67" s="998"/>
      <c r="IH67" s="980"/>
      <c r="II67" s="980"/>
      <c r="IJ67" s="998"/>
      <c r="IK67" s="980"/>
      <c r="IL67" s="980"/>
      <c r="IM67" s="980"/>
      <c r="IN67" s="980">
        <v>1</v>
      </c>
      <c r="IO67" s="864"/>
      <c r="IP67" s="864"/>
      <c r="IQ67" s="864"/>
      <c r="IR67" s="998"/>
      <c r="IS67" s="980"/>
      <c r="IT67" s="980"/>
      <c r="IU67" s="980">
        <v>2</v>
      </c>
      <c r="IV67" s="980"/>
      <c r="IW67" s="980"/>
      <c r="IX67" s="999"/>
      <c r="IY67" s="980"/>
      <c r="IZ67" s="980"/>
      <c r="JA67" s="980"/>
      <c r="JB67" s="980"/>
      <c r="JC67" s="980"/>
      <c r="JD67" s="980"/>
      <c r="JE67" s="980"/>
      <c r="JF67" s="999"/>
      <c r="JG67" s="980"/>
      <c r="JH67" s="980"/>
      <c r="JI67" s="980"/>
      <c r="JJ67" s="980"/>
      <c r="JK67" s="980"/>
      <c r="JL67" s="980"/>
      <c r="JM67" s="980"/>
      <c r="JN67" s="980"/>
      <c r="JO67" s="980"/>
      <c r="JP67" s="980"/>
      <c r="JQ67" s="999"/>
      <c r="JR67" s="980"/>
      <c r="JS67" s="980"/>
      <c r="JT67" s="980"/>
      <c r="JU67" s="980"/>
      <c r="JV67" s="980"/>
      <c r="JW67" s="980"/>
      <c r="JX67" s="980"/>
      <c r="JY67" s="980"/>
      <c r="JZ67" s="980"/>
      <c r="KA67" s="980"/>
      <c r="KB67" s="980"/>
      <c r="KC67" s="980"/>
      <c r="KD67" s="980"/>
      <c r="KE67" s="998"/>
      <c r="KF67" s="998"/>
      <c r="KG67" s="998"/>
      <c r="KH67" s="998"/>
      <c r="KI67" s="998">
        <v>0</v>
      </c>
      <c r="KJ67" s="998"/>
      <c r="KK67" s="998"/>
      <c r="KL67" s="980"/>
      <c r="KM67" s="864"/>
      <c r="KN67" s="864"/>
      <c r="KO67" s="864"/>
      <c r="KP67" s="864"/>
      <c r="KQ67" s="864"/>
      <c r="KR67" s="980"/>
      <c r="KS67" s="864"/>
      <c r="KT67" s="980"/>
      <c r="KU67" s="864"/>
      <c r="KV67" s="980"/>
      <c r="KW67" s="980"/>
      <c r="KX67" s="980"/>
      <c r="KY67" s="858"/>
      <c r="KZ67" s="980"/>
      <c r="LA67" s="980"/>
      <c r="LB67" s="980"/>
      <c r="LC67" s="980"/>
      <c r="LD67" s="980"/>
      <c r="LE67" s="980"/>
      <c r="LF67" s="999"/>
      <c r="LG67" s="999"/>
      <c r="LH67" s="999"/>
      <c r="LI67" s="999"/>
      <c r="LJ67" s="999"/>
      <c r="LK67" s="999"/>
      <c r="LL67" s="999"/>
      <c r="LM67" s="999"/>
      <c r="LN67" s="999"/>
      <c r="LO67" s="999"/>
      <c r="LP67" s="999"/>
      <c r="LQ67" s="999"/>
      <c r="LR67" s="999"/>
      <c r="LS67" s="999"/>
      <c r="LT67" s="999"/>
      <c r="LU67" s="999"/>
      <c r="LV67" s="999"/>
      <c r="LW67" s="999"/>
      <c r="LX67" s="999"/>
      <c r="LY67" s="999"/>
    </row>
    <row r="68" spans="1:337" ht="29.25" customHeight="1" x14ac:dyDescent="0.25">
      <c r="A68" s="1584"/>
      <c r="B68" s="1617"/>
      <c r="C68" s="353" t="s">
        <v>127</v>
      </c>
      <c r="D68" s="354" t="s">
        <v>5360</v>
      </c>
      <c r="E68" s="844" t="s">
        <v>53</v>
      </c>
      <c r="F68" s="863"/>
      <c r="G68" s="863"/>
      <c r="H68" s="864"/>
      <c r="I68" s="864"/>
      <c r="J68" s="864"/>
      <c r="K68" s="864"/>
      <c r="L68" s="864"/>
      <c r="M68" s="864"/>
      <c r="N68" s="852"/>
      <c r="O68" s="864"/>
      <c r="P68" s="864"/>
      <c r="Q68" s="864"/>
      <c r="R68" s="864"/>
      <c r="S68" s="864"/>
      <c r="T68" s="864"/>
      <c r="U68" s="864"/>
      <c r="V68" s="980"/>
      <c r="W68" s="980"/>
      <c r="X68" s="980"/>
      <c r="Y68" s="980"/>
      <c r="Z68" s="980"/>
      <c r="AA68" s="864"/>
      <c r="AB68" s="864"/>
      <c r="AC68" s="864"/>
      <c r="AD68" s="864"/>
      <c r="AE68" s="864"/>
      <c r="AF68" s="864"/>
      <c r="AG68" s="864"/>
      <c r="AH68" s="864"/>
      <c r="AI68" s="864"/>
      <c r="AJ68" s="864"/>
      <c r="AK68" s="864"/>
      <c r="AL68" s="864"/>
      <c r="AM68" s="864"/>
      <c r="AN68" s="864"/>
      <c r="AO68" s="864"/>
      <c r="AP68" s="864"/>
      <c r="AQ68" s="864"/>
      <c r="AR68" s="864"/>
      <c r="AS68" s="864"/>
      <c r="AT68" s="864"/>
      <c r="AU68" s="864"/>
      <c r="AV68" s="980"/>
      <c r="AW68" s="980"/>
      <c r="AX68" s="864"/>
      <c r="AY68" s="864"/>
      <c r="AZ68" s="864"/>
      <c r="BA68" s="852"/>
      <c r="BB68" s="980"/>
      <c r="BC68" s="980"/>
      <c r="BD68" s="980"/>
      <c r="BE68" s="864"/>
      <c r="BF68" s="864"/>
      <c r="BG68" s="864"/>
      <c r="BH68" s="864"/>
      <c r="BI68" s="864"/>
      <c r="BJ68" s="864"/>
      <c r="BK68" s="864"/>
      <c r="BL68" s="864"/>
      <c r="BM68" s="864"/>
      <c r="BN68" s="864"/>
      <c r="BO68" s="864"/>
      <c r="BP68" s="864"/>
      <c r="BQ68" s="864"/>
      <c r="BR68" s="864"/>
      <c r="BS68" s="864"/>
      <c r="BT68" s="980"/>
      <c r="BU68" s="980"/>
      <c r="BV68" s="980"/>
      <c r="BW68" s="980"/>
      <c r="BX68" s="864"/>
      <c r="BY68" s="864"/>
      <c r="BZ68" s="864"/>
      <c r="CA68" s="864"/>
      <c r="CB68" s="864"/>
      <c r="CC68" s="998"/>
      <c r="CD68" s="864"/>
      <c r="CE68" s="864"/>
      <c r="CF68" s="864"/>
      <c r="CG68" s="864"/>
      <c r="CH68" s="864"/>
      <c r="CI68" s="864"/>
      <c r="CJ68" s="864"/>
      <c r="CK68" s="980"/>
      <c r="CL68" s="980"/>
      <c r="CM68" s="864"/>
      <c r="CN68" s="864"/>
      <c r="CO68" s="864"/>
      <c r="CP68" s="864"/>
      <c r="CQ68" s="864"/>
      <c r="CR68" s="864"/>
      <c r="CS68" s="864"/>
      <c r="CT68" s="864"/>
      <c r="CU68" s="864"/>
      <c r="CV68" s="864"/>
      <c r="CW68" s="864"/>
      <c r="CX68" s="864"/>
      <c r="CY68" s="864"/>
      <c r="CZ68" s="864"/>
      <c r="DA68" s="864"/>
      <c r="DB68" s="864"/>
      <c r="DC68" s="864"/>
      <c r="DD68" s="864"/>
      <c r="DE68" s="864"/>
      <c r="DF68" s="980"/>
      <c r="DG68" s="864"/>
      <c r="DH68" s="980"/>
      <c r="DI68" s="980"/>
      <c r="DJ68" s="980"/>
      <c r="DK68" s="980"/>
      <c r="DL68" s="980"/>
      <c r="DM68" s="980"/>
      <c r="DN68" s="864"/>
      <c r="DO68" s="864"/>
      <c r="DP68" s="980"/>
      <c r="DQ68" s="864"/>
      <c r="DR68" s="864"/>
      <c r="DS68" s="864"/>
      <c r="DT68" s="864"/>
      <c r="DU68" s="864"/>
      <c r="DV68" s="864"/>
      <c r="DW68" s="864"/>
      <c r="DX68" s="864"/>
      <c r="DY68" s="864"/>
      <c r="DZ68" s="864"/>
      <c r="EA68" s="864"/>
      <c r="EB68" s="864"/>
      <c r="EC68" s="864"/>
      <c r="ED68" s="864"/>
      <c r="EE68" s="864"/>
      <c r="EF68" s="980"/>
      <c r="EG68" s="980"/>
      <c r="EH68" s="980"/>
      <c r="EI68" s="855"/>
      <c r="EJ68" s="999"/>
      <c r="EK68" s="999"/>
      <c r="EL68" s="999"/>
      <c r="EM68" s="999"/>
      <c r="EN68" s="999"/>
      <c r="EO68" s="999"/>
      <c r="EP68" s="999"/>
      <c r="EQ68" s="999"/>
      <c r="ER68" s="999"/>
      <c r="ES68" s="999"/>
      <c r="ET68" s="999"/>
      <c r="EU68" s="864"/>
      <c r="EV68" s="864"/>
      <c r="EW68" s="980"/>
      <c r="EX68" s="864"/>
      <c r="EY68" s="864"/>
      <c r="EZ68" s="864"/>
      <c r="FA68" s="864"/>
      <c r="FB68" s="864"/>
      <c r="FC68" s="864"/>
      <c r="FD68" s="864"/>
      <c r="FE68" s="980"/>
      <c r="FF68" s="864"/>
      <c r="FG68" s="864"/>
      <c r="FH68" s="864"/>
      <c r="FI68" s="864"/>
      <c r="FJ68" s="864"/>
      <c r="FK68" s="1000"/>
      <c r="FL68" s="980"/>
      <c r="FM68" s="980"/>
      <c r="FN68" s="980"/>
      <c r="FO68" s="980"/>
      <c r="FP68" s="980"/>
      <c r="FQ68" s="980"/>
      <c r="FR68" s="864"/>
      <c r="FS68" s="864"/>
      <c r="FT68" s="864"/>
      <c r="FU68" s="864"/>
      <c r="FV68" s="864"/>
      <c r="FW68" s="864"/>
      <c r="FX68" s="864"/>
      <c r="FY68" s="864"/>
      <c r="FZ68" s="864"/>
      <c r="GA68" s="980"/>
      <c r="GB68" s="980"/>
      <c r="GC68" s="980"/>
      <c r="GD68" s="980"/>
      <c r="GE68" s="980"/>
      <c r="GF68" s="980"/>
      <c r="GG68" s="980"/>
      <c r="GH68" s="864"/>
      <c r="GI68" s="864"/>
      <c r="GJ68" s="864"/>
      <c r="GK68" s="864"/>
      <c r="GL68" s="864"/>
      <c r="GM68" s="864"/>
      <c r="GN68" s="864"/>
      <c r="GO68" s="1001"/>
      <c r="GP68" s="1002"/>
      <c r="GQ68" s="867"/>
      <c r="GR68" s="864"/>
      <c r="GS68" s="864"/>
      <c r="GT68" s="864"/>
      <c r="GU68" s="864"/>
      <c r="GV68" s="864"/>
      <c r="GW68" s="864"/>
      <c r="GX68" s="864"/>
      <c r="GY68" s="864"/>
      <c r="GZ68" s="864"/>
      <c r="HA68" s="864"/>
      <c r="HB68" s="864"/>
      <c r="HC68" s="864"/>
      <c r="HD68" s="864"/>
      <c r="HE68" s="980"/>
      <c r="HF68" s="980"/>
      <c r="HG68" s="864"/>
      <c r="HH68" s="999"/>
      <c r="HI68" s="980"/>
      <c r="HJ68" s="980"/>
      <c r="HK68" s="999"/>
      <c r="HL68" s="864"/>
      <c r="HM68" s="864"/>
      <c r="HN68" s="864"/>
      <c r="HO68" s="1004"/>
      <c r="HP68" s="980"/>
      <c r="HQ68" s="980"/>
      <c r="HR68" s="998"/>
      <c r="HS68" s="980"/>
      <c r="HT68" s="980"/>
      <c r="HU68" s="980"/>
      <c r="HV68" s="1000"/>
      <c r="HW68" s="980"/>
      <c r="HX68" s="980"/>
      <c r="HY68" s="980"/>
      <c r="HZ68" s="980"/>
      <c r="IA68" s="980"/>
      <c r="IB68" s="980"/>
      <c r="IC68" s="980"/>
      <c r="ID68" s="980"/>
      <c r="IE68" s="980"/>
      <c r="IF68" s="980"/>
      <c r="IG68" s="998"/>
      <c r="IH68" s="980"/>
      <c r="II68" s="980"/>
      <c r="IJ68" s="998"/>
      <c r="IK68" s="980"/>
      <c r="IL68" s="980"/>
      <c r="IM68" s="980"/>
      <c r="IN68" s="980"/>
      <c r="IO68" s="864"/>
      <c r="IP68" s="864"/>
      <c r="IQ68" s="864"/>
      <c r="IR68" s="998"/>
      <c r="IS68" s="980"/>
      <c r="IT68" s="980"/>
      <c r="IU68" s="980"/>
      <c r="IV68" s="980"/>
      <c r="IW68" s="980"/>
      <c r="IX68" s="999"/>
      <c r="IY68" s="980"/>
      <c r="IZ68" s="980"/>
      <c r="JA68" s="980"/>
      <c r="JB68" s="980"/>
      <c r="JC68" s="980"/>
      <c r="JD68" s="980"/>
      <c r="JE68" s="980"/>
      <c r="JF68" s="999"/>
      <c r="JG68" s="980"/>
      <c r="JH68" s="980"/>
      <c r="JI68" s="980"/>
      <c r="JJ68" s="980"/>
      <c r="JK68" s="980"/>
      <c r="JL68" s="980"/>
      <c r="JM68" s="980"/>
      <c r="JN68" s="980"/>
      <c r="JO68" s="980"/>
      <c r="JP68" s="980"/>
      <c r="JQ68" s="999"/>
      <c r="JR68" s="980"/>
      <c r="JS68" s="980"/>
      <c r="JT68" s="980"/>
      <c r="JU68" s="980"/>
      <c r="JV68" s="980"/>
      <c r="JW68" s="980"/>
      <c r="JX68" s="980"/>
      <c r="JY68" s="980"/>
      <c r="JZ68" s="980"/>
      <c r="KA68" s="980"/>
      <c r="KB68" s="980"/>
      <c r="KC68" s="980"/>
      <c r="KD68" s="980"/>
      <c r="KE68" s="998"/>
      <c r="KF68" s="998"/>
      <c r="KG68" s="998"/>
      <c r="KH68" s="998"/>
      <c r="KI68" s="998">
        <v>0</v>
      </c>
      <c r="KJ68" s="998"/>
      <c r="KK68" s="998"/>
      <c r="KL68" s="980"/>
      <c r="KM68" s="864"/>
      <c r="KN68" s="864"/>
      <c r="KO68" s="864"/>
      <c r="KP68" s="864"/>
      <c r="KQ68" s="864"/>
      <c r="KR68" s="980"/>
      <c r="KS68" s="864"/>
      <c r="KT68" s="980"/>
      <c r="KU68" s="864"/>
      <c r="KV68" s="980"/>
      <c r="KW68" s="980"/>
      <c r="KX68" s="980"/>
      <c r="KY68" s="858"/>
      <c r="KZ68" s="980"/>
      <c r="LA68" s="980"/>
      <c r="LB68" s="980"/>
      <c r="LC68" s="980"/>
      <c r="LD68" s="980"/>
      <c r="LE68" s="980"/>
      <c r="LF68" s="999"/>
      <c r="LG68" s="999"/>
      <c r="LH68" s="999"/>
      <c r="LI68" s="999"/>
      <c r="LJ68" s="999"/>
      <c r="LK68" s="999"/>
      <c r="LL68" s="999"/>
      <c r="LM68" s="999"/>
      <c r="LN68" s="999"/>
      <c r="LO68" s="999"/>
      <c r="LP68" s="999"/>
      <c r="LQ68" s="999"/>
      <c r="LR68" s="999"/>
      <c r="LS68" s="999"/>
      <c r="LT68" s="999"/>
      <c r="LU68" s="999"/>
      <c r="LV68" s="999"/>
      <c r="LW68" s="999"/>
      <c r="LX68" s="999"/>
      <c r="LY68" s="999"/>
    </row>
    <row r="69" spans="1:337" ht="29.25" customHeight="1" x14ac:dyDescent="0.25">
      <c r="A69" s="1584"/>
      <c r="B69" s="1617"/>
      <c r="C69" s="353" t="s">
        <v>128</v>
      </c>
      <c r="D69" s="354" t="s">
        <v>36</v>
      </c>
      <c r="E69" s="844" t="s">
        <v>53</v>
      </c>
      <c r="F69" s="863"/>
      <c r="G69" s="863"/>
      <c r="H69" s="864"/>
      <c r="I69" s="864"/>
      <c r="J69" s="864"/>
      <c r="K69" s="864"/>
      <c r="L69" s="864"/>
      <c r="M69" s="864"/>
      <c r="N69" s="852"/>
      <c r="O69" s="864"/>
      <c r="P69" s="864"/>
      <c r="Q69" s="864"/>
      <c r="R69" s="864"/>
      <c r="S69" s="864"/>
      <c r="T69" s="864"/>
      <c r="U69" s="864"/>
      <c r="V69" s="980"/>
      <c r="W69" s="980"/>
      <c r="X69" s="980"/>
      <c r="Y69" s="980"/>
      <c r="Z69" s="980"/>
      <c r="AA69" s="864"/>
      <c r="AB69" s="864"/>
      <c r="AC69" s="864"/>
      <c r="AD69" s="864"/>
      <c r="AE69" s="864"/>
      <c r="AF69" s="864"/>
      <c r="AG69" s="864"/>
      <c r="AH69" s="864"/>
      <c r="AI69" s="864"/>
      <c r="AJ69" s="864"/>
      <c r="AK69" s="864"/>
      <c r="AL69" s="864"/>
      <c r="AM69" s="864"/>
      <c r="AN69" s="864"/>
      <c r="AO69" s="864"/>
      <c r="AP69" s="864"/>
      <c r="AQ69" s="864"/>
      <c r="AR69" s="864"/>
      <c r="AS69" s="864"/>
      <c r="AT69" s="864"/>
      <c r="AU69" s="864"/>
      <c r="AV69" s="980"/>
      <c r="AW69" s="980"/>
      <c r="AX69" s="864"/>
      <c r="AY69" s="864"/>
      <c r="AZ69" s="864"/>
      <c r="BA69" s="852"/>
      <c r="BB69" s="980"/>
      <c r="BC69" s="980"/>
      <c r="BD69" s="980"/>
      <c r="BE69" s="864"/>
      <c r="BF69" s="864"/>
      <c r="BG69" s="864"/>
      <c r="BH69" s="864"/>
      <c r="BI69" s="864"/>
      <c r="BJ69" s="864"/>
      <c r="BK69" s="864"/>
      <c r="BL69" s="864"/>
      <c r="BM69" s="864"/>
      <c r="BN69" s="864"/>
      <c r="BO69" s="864"/>
      <c r="BP69" s="864"/>
      <c r="BQ69" s="864"/>
      <c r="BR69" s="864"/>
      <c r="BS69" s="864"/>
      <c r="BT69" s="980"/>
      <c r="BU69" s="980"/>
      <c r="BV69" s="980"/>
      <c r="BW69" s="980"/>
      <c r="BX69" s="864"/>
      <c r="BY69" s="864"/>
      <c r="BZ69" s="864"/>
      <c r="CA69" s="864"/>
      <c r="CB69" s="864"/>
      <c r="CC69" s="998"/>
      <c r="CD69" s="864"/>
      <c r="CE69" s="864"/>
      <c r="CF69" s="864"/>
      <c r="CG69" s="864"/>
      <c r="CH69" s="864"/>
      <c r="CI69" s="864"/>
      <c r="CJ69" s="864"/>
      <c r="CK69" s="980"/>
      <c r="CL69" s="980"/>
      <c r="CM69" s="864"/>
      <c r="CN69" s="864"/>
      <c r="CO69" s="864"/>
      <c r="CP69" s="864"/>
      <c r="CQ69" s="864"/>
      <c r="CR69" s="864"/>
      <c r="CS69" s="864"/>
      <c r="CT69" s="864"/>
      <c r="CU69" s="864"/>
      <c r="CV69" s="864"/>
      <c r="CW69" s="864"/>
      <c r="CX69" s="864"/>
      <c r="CY69" s="864"/>
      <c r="CZ69" s="864"/>
      <c r="DA69" s="864"/>
      <c r="DB69" s="864"/>
      <c r="DC69" s="864"/>
      <c r="DD69" s="864"/>
      <c r="DE69" s="864"/>
      <c r="DF69" s="980"/>
      <c r="DG69" s="864"/>
      <c r="DH69" s="980">
        <v>2</v>
      </c>
      <c r="DI69" s="980"/>
      <c r="DJ69" s="980"/>
      <c r="DK69" s="980"/>
      <c r="DL69" s="980"/>
      <c r="DM69" s="980"/>
      <c r="DN69" s="864"/>
      <c r="DO69" s="864"/>
      <c r="DP69" s="980"/>
      <c r="DQ69" s="864"/>
      <c r="DR69" s="864"/>
      <c r="DS69" s="864"/>
      <c r="DT69" s="864"/>
      <c r="DU69" s="864"/>
      <c r="DV69" s="864"/>
      <c r="DW69" s="864"/>
      <c r="DX69" s="864"/>
      <c r="DY69" s="864"/>
      <c r="DZ69" s="864"/>
      <c r="EA69" s="864"/>
      <c r="EB69" s="864"/>
      <c r="EC69" s="864"/>
      <c r="ED69" s="864"/>
      <c r="EE69" s="864"/>
      <c r="EF69" s="980"/>
      <c r="EG69" s="980"/>
      <c r="EH69" s="980"/>
      <c r="EI69" s="855"/>
      <c r="EJ69" s="999"/>
      <c r="EK69" s="999"/>
      <c r="EL69" s="999"/>
      <c r="EM69" s="999"/>
      <c r="EN69" s="999"/>
      <c r="EO69" s="999"/>
      <c r="EP69" s="999"/>
      <c r="EQ69" s="999"/>
      <c r="ER69" s="999"/>
      <c r="ES69" s="999"/>
      <c r="ET69" s="999"/>
      <c r="EU69" s="864"/>
      <c r="EV69" s="864"/>
      <c r="EW69" s="980">
        <v>1</v>
      </c>
      <c r="EX69" s="864"/>
      <c r="EY69" s="864"/>
      <c r="EZ69" s="864"/>
      <c r="FA69" s="864"/>
      <c r="FB69" s="864"/>
      <c r="FC69" s="864"/>
      <c r="FD69" s="864"/>
      <c r="FE69" s="980"/>
      <c r="FF69" s="864"/>
      <c r="FG69" s="864"/>
      <c r="FH69" s="864"/>
      <c r="FI69" s="864"/>
      <c r="FJ69" s="864"/>
      <c r="FK69" s="1000"/>
      <c r="FL69" s="980"/>
      <c r="FM69" s="980"/>
      <c r="FN69" s="980"/>
      <c r="FO69" s="980"/>
      <c r="FP69" s="980"/>
      <c r="FQ69" s="980"/>
      <c r="FR69" s="864"/>
      <c r="FS69" s="864"/>
      <c r="FT69" s="864"/>
      <c r="FU69" s="864"/>
      <c r="FV69" s="864"/>
      <c r="FW69" s="864"/>
      <c r="FX69" s="864"/>
      <c r="FY69" s="864"/>
      <c r="FZ69" s="864"/>
      <c r="GA69" s="980"/>
      <c r="GB69" s="980"/>
      <c r="GC69" s="980"/>
      <c r="GD69" s="980"/>
      <c r="GE69" s="980"/>
      <c r="GF69" s="980"/>
      <c r="GG69" s="980"/>
      <c r="GH69" s="864"/>
      <c r="GI69" s="864"/>
      <c r="GJ69" s="864"/>
      <c r="GK69" s="864"/>
      <c r="GL69" s="864"/>
      <c r="GM69" s="864"/>
      <c r="GN69" s="864"/>
      <c r="GO69" s="1001"/>
      <c r="GP69" s="1002"/>
      <c r="GQ69" s="867"/>
      <c r="GR69" s="864"/>
      <c r="GS69" s="864"/>
      <c r="GT69" s="864"/>
      <c r="GU69" s="864"/>
      <c r="GV69" s="864"/>
      <c r="GW69" s="864"/>
      <c r="GX69" s="864"/>
      <c r="GY69" s="864"/>
      <c r="GZ69" s="864"/>
      <c r="HA69" s="864"/>
      <c r="HB69" s="864"/>
      <c r="HC69" s="864"/>
      <c r="HD69" s="864"/>
      <c r="HE69" s="980"/>
      <c r="HF69" s="980"/>
      <c r="HG69" s="864"/>
      <c r="HH69" s="999"/>
      <c r="HI69" s="980"/>
      <c r="HJ69" s="980"/>
      <c r="HK69" s="999"/>
      <c r="HL69" s="864"/>
      <c r="HM69" s="864"/>
      <c r="HN69" s="864"/>
      <c r="HO69" s="1004"/>
      <c r="HP69" s="980"/>
      <c r="HQ69" s="980"/>
      <c r="HR69" s="998"/>
      <c r="HS69" s="980"/>
      <c r="HT69" s="980"/>
      <c r="HU69" s="980"/>
      <c r="HV69" s="1000"/>
      <c r="HW69" s="980"/>
      <c r="HX69" s="980"/>
      <c r="HY69" s="980"/>
      <c r="HZ69" s="980"/>
      <c r="IA69" s="980"/>
      <c r="IB69" s="980"/>
      <c r="IC69" s="980"/>
      <c r="ID69" s="980"/>
      <c r="IE69" s="980"/>
      <c r="IF69" s="980"/>
      <c r="IG69" s="998"/>
      <c r="IH69" s="980"/>
      <c r="II69" s="980"/>
      <c r="IJ69" s="998"/>
      <c r="IK69" s="980"/>
      <c r="IL69" s="980"/>
      <c r="IM69" s="980"/>
      <c r="IN69" s="980"/>
      <c r="IO69" s="864"/>
      <c r="IP69" s="864"/>
      <c r="IQ69" s="864"/>
      <c r="IR69" s="998"/>
      <c r="IS69" s="980"/>
      <c r="IT69" s="980"/>
      <c r="IU69" s="980"/>
      <c r="IV69" s="980">
        <v>1</v>
      </c>
      <c r="IW69" s="980"/>
      <c r="IX69" s="999"/>
      <c r="IY69" s="980"/>
      <c r="IZ69" s="980"/>
      <c r="JA69" s="980"/>
      <c r="JB69" s="980"/>
      <c r="JC69" s="980"/>
      <c r="JD69" s="980"/>
      <c r="JE69" s="980"/>
      <c r="JF69" s="999"/>
      <c r="JG69" s="980"/>
      <c r="JH69" s="980"/>
      <c r="JI69" s="980"/>
      <c r="JJ69" s="980"/>
      <c r="JK69" s="980"/>
      <c r="JL69" s="980"/>
      <c r="JM69" s="980"/>
      <c r="JN69" s="980"/>
      <c r="JO69" s="980"/>
      <c r="JP69" s="980"/>
      <c r="JQ69" s="999"/>
      <c r="JR69" s="980"/>
      <c r="JS69" s="980"/>
      <c r="JT69" s="980"/>
      <c r="JU69" s="980"/>
      <c r="JV69" s="980"/>
      <c r="JW69" s="980"/>
      <c r="JX69" s="980"/>
      <c r="JY69" s="980"/>
      <c r="JZ69" s="980"/>
      <c r="KA69" s="980">
        <v>1</v>
      </c>
      <c r="KB69" s="980"/>
      <c r="KC69" s="980"/>
      <c r="KD69" s="980"/>
      <c r="KE69" s="998"/>
      <c r="KF69" s="998"/>
      <c r="KG69" s="998"/>
      <c r="KH69" s="998"/>
      <c r="KI69" s="998">
        <v>0</v>
      </c>
      <c r="KJ69" s="998"/>
      <c r="KK69" s="998"/>
      <c r="KL69" s="980"/>
      <c r="KM69" s="864"/>
      <c r="KN69" s="864"/>
      <c r="KO69" s="864"/>
      <c r="KP69" s="864"/>
      <c r="KQ69" s="864"/>
      <c r="KR69" s="980"/>
      <c r="KS69" s="864"/>
      <c r="KT69" s="980"/>
      <c r="KU69" s="864"/>
      <c r="KV69" s="980"/>
      <c r="KW69" s="980"/>
      <c r="KX69" s="980"/>
      <c r="KY69" s="858"/>
      <c r="KZ69" s="980">
        <v>1</v>
      </c>
      <c r="LA69" s="980"/>
      <c r="LB69" s="980">
        <v>1</v>
      </c>
      <c r="LC69" s="980"/>
      <c r="LD69" s="980"/>
      <c r="LE69" s="980"/>
      <c r="LF69" s="999"/>
      <c r="LG69" s="999"/>
      <c r="LH69" s="999"/>
      <c r="LI69" s="999"/>
      <c r="LJ69" s="999"/>
      <c r="LK69" s="999"/>
      <c r="LL69" s="999"/>
      <c r="LM69" s="999"/>
      <c r="LN69" s="999"/>
      <c r="LO69" s="999"/>
      <c r="LP69" s="999"/>
      <c r="LQ69" s="999"/>
      <c r="LR69" s="999">
        <v>2</v>
      </c>
      <c r="LS69" s="999"/>
      <c r="LT69" s="999"/>
      <c r="LU69" s="999"/>
      <c r="LV69" s="999"/>
      <c r="LW69" s="999"/>
      <c r="LX69" s="999"/>
      <c r="LY69" s="999"/>
    </row>
    <row r="70" spans="1:337" ht="29.25" customHeight="1" x14ac:dyDescent="0.25">
      <c r="A70" s="1584"/>
      <c r="B70" s="1617"/>
      <c r="C70" s="353" t="s">
        <v>129</v>
      </c>
      <c r="D70" s="354" t="s">
        <v>38</v>
      </c>
      <c r="E70" s="844" t="s">
        <v>53</v>
      </c>
      <c r="F70" s="863"/>
      <c r="G70" s="863"/>
      <c r="H70" s="864"/>
      <c r="I70" s="864"/>
      <c r="J70" s="864"/>
      <c r="K70" s="864"/>
      <c r="L70" s="864"/>
      <c r="M70" s="864"/>
      <c r="N70" s="852"/>
      <c r="O70" s="864"/>
      <c r="P70" s="864"/>
      <c r="Q70" s="864"/>
      <c r="R70" s="864"/>
      <c r="S70" s="864"/>
      <c r="T70" s="864"/>
      <c r="U70" s="864"/>
      <c r="V70" s="980"/>
      <c r="W70" s="980"/>
      <c r="X70" s="980"/>
      <c r="Y70" s="980"/>
      <c r="Z70" s="980"/>
      <c r="AA70" s="864"/>
      <c r="AB70" s="864"/>
      <c r="AC70" s="864"/>
      <c r="AD70" s="864"/>
      <c r="AE70" s="864"/>
      <c r="AF70" s="864"/>
      <c r="AG70" s="864"/>
      <c r="AH70" s="864"/>
      <c r="AI70" s="864"/>
      <c r="AJ70" s="864"/>
      <c r="AK70" s="864"/>
      <c r="AL70" s="864"/>
      <c r="AM70" s="864"/>
      <c r="AN70" s="864"/>
      <c r="AO70" s="864"/>
      <c r="AP70" s="864"/>
      <c r="AQ70" s="864"/>
      <c r="AR70" s="864"/>
      <c r="AS70" s="864"/>
      <c r="AT70" s="864"/>
      <c r="AU70" s="864"/>
      <c r="AV70" s="980"/>
      <c r="AW70" s="980"/>
      <c r="AX70" s="864"/>
      <c r="AY70" s="864"/>
      <c r="AZ70" s="864"/>
      <c r="BA70" s="852"/>
      <c r="BB70" s="980"/>
      <c r="BC70" s="980"/>
      <c r="BD70" s="980"/>
      <c r="BE70" s="864"/>
      <c r="BF70" s="864"/>
      <c r="BG70" s="864"/>
      <c r="BH70" s="864"/>
      <c r="BI70" s="864"/>
      <c r="BJ70" s="864"/>
      <c r="BK70" s="864"/>
      <c r="BL70" s="864"/>
      <c r="BM70" s="864"/>
      <c r="BN70" s="864"/>
      <c r="BO70" s="864"/>
      <c r="BP70" s="864"/>
      <c r="BQ70" s="864"/>
      <c r="BR70" s="864"/>
      <c r="BS70" s="864"/>
      <c r="BT70" s="980">
        <v>3</v>
      </c>
      <c r="BU70" s="980"/>
      <c r="BV70" s="980"/>
      <c r="BW70" s="980"/>
      <c r="BX70" s="864"/>
      <c r="BY70" s="864"/>
      <c r="BZ70" s="864"/>
      <c r="CA70" s="864"/>
      <c r="CB70" s="864"/>
      <c r="CC70" s="998"/>
      <c r="CD70" s="864"/>
      <c r="CE70" s="864"/>
      <c r="CF70" s="864"/>
      <c r="CG70" s="864"/>
      <c r="CH70" s="864"/>
      <c r="CI70" s="864"/>
      <c r="CJ70" s="864"/>
      <c r="CK70" s="980"/>
      <c r="CL70" s="980"/>
      <c r="CM70" s="864"/>
      <c r="CN70" s="864"/>
      <c r="CO70" s="864"/>
      <c r="CP70" s="864"/>
      <c r="CQ70" s="864"/>
      <c r="CR70" s="864"/>
      <c r="CS70" s="864"/>
      <c r="CT70" s="864"/>
      <c r="CU70" s="864"/>
      <c r="CV70" s="864"/>
      <c r="CW70" s="864"/>
      <c r="CX70" s="864"/>
      <c r="CY70" s="864"/>
      <c r="CZ70" s="864"/>
      <c r="DA70" s="864"/>
      <c r="DB70" s="864"/>
      <c r="DC70" s="864"/>
      <c r="DD70" s="864"/>
      <c r="DE70" s="864"/>
      <c r="DF70" s="980"/>
      <c r="DG70" s="864"/>
      <c r="DH70" s="980"/>
      <c r="DI70" s="980"/>
      <c r="DJ70" s="980"/>
      <c r="DK70" s="980"/>
      <c r="DL70" s="980"/>
      <c r="DM70" s="980"/>
      <c r="DN70" s="864"/>
      <c r="DO70" s="864"/>
      <c r="DP70" s="980"/>
      <c r="DQ70" s="864"/>
      <c r="DR70" s="864"/>
      <c r="DS70" s="864"/>
      <c r="DT70" s="864"/>
      <c r="DU70" s="864"/>
      <c r="DV70" s="864"/>
      <c r="DW70" s="864"/>
      <c r="DX70" s="864"/>
      <c r="DY70" s="864"/>
      <c r="DZ70" s="864"/>
      <c r="EA70" s="864"/>
      <c r="EB70" s="864"/>
      <c r="EC70" s="864"/>
      <c r="ED70" s="864"/>
      <c r="EE70" s="864"/>
      <c r="EF70" s="980"/>
      <c r="EG70" s="980"/>
      <c r="EH70" s="980"/>
      <c r="EI70" s="855"/>
      <c r="EJ70" s="999"/>
      <c r="EK70" s="999"/>
      <c r="EL70" s="999"/>
      <c r="EM70" s="999"/>
      <c r="EN70" s="999"/>
      <c r="EO70" s="999"/>
      <c r="EP70" s="999"/>
      <c r="EQ70" s="999"/>
      <c r="ER70" s="999"/>
      <c r="ES70" s="999"/>
      <c r="ET70" s="999"/>
      <c r="EU70" s="864"/>
      <c r="EV70" s="864"/>
      <c r="EW70" s="980">
        <v>1</v>
      </c>
      <c r="EX70" s="864"/>
      <c r="EY70" s="864"/>
      <c r="EZ70" s="864"/>
      <c r="FA70" s="864"/>
      <c r="FB70" s="864"/>
      <c r="FC70" s="864"/>
      <c r="FD70" s="864"/>
      <c r="FE70" s="980"/>
      <c r="FF70" s="864"/>
      <c r="FG70" s="864"/>
      <c r="FH70" s="864"/>
      <c r="FI70" s="864"/>
      <c r="FJ70" s="864"/>
      <c r="FK70" s="1000">
        <v>1</v>
      </c>
      <c r="FL70" s="980">
        <v>3</v>
      </c>
      <c r="FM70" s="1008"/>
      <c r="FN70" s="980"/>
      <c r="FO70" s="980"/>
      <c r="FP70" s="980"/>
      <c r="FQ70" s="980"/>
      <c r="FR70" s="864"/>
      <c r="FS70" s="864"/>
      <c r="FT70" s="864"/>
      <c r="FU70" s="864"/>
      <c r="FV70" s="864"/>
      <c r="FW70" s="864"/>
      <c r="FX70" s="864"/>
      <c r="FY70" s="864"/>
      <c r="FZ70" s="864"/>
      <c r="GA70" s="980"/>
      <c r="GB70" s="980"/>
      <c r="GC70" s="980"/>
      <c r="GD70" s="980"/>
      <c r="GE70" s="980"/>
      <c r="GF70" s="980"/>
      <c r="GG70" s="980"/>
      <c r="GH70" s="864"/>
      <c r="GI70" s="864"/>
      <c r="GJ70" s="864"/>
      <c r="GK70" s="864"/>
      <c r="GL70" s="864"/>
      <c r="GM70" s="864"/>
      <c r="GN70" s="864"/>
      <c r="GO70" s="1001"/>
      <c r="GP70" s="1002"/>
      <c r="GQ70" s="867"/>
      <c r="GR70" s="864"/>
      <c r="GS70" s="864"/>
      <c r="GT70" s="864"/>
      <c r="GU70" s="864"/>
      <c r="GV70" s="864"/>
      <c r="GW70" s="864"/>
      <c r="GX70" s="864"/>
      <c r="GY70" s="864"/>
      <c r="GZ70" s="864"/>
      <c r="HA70" s="864"/>
      <c r="HB70" s="864"/>
      <c r="HC70" s="864"/>
      <c r="HD70" s="864"/>
      <c r="HE70" s="980"/>
      <c r="HF70" s="980"/>
      <c r="HG70" s="864"/>
      <c r="HH70" s="999"/>
      <c r="HI70" s="980"/>
      <c r="HJ70" s="980"/>
      <c r="HK70" s="999"/>
      <c r="HL70" s="864"/>
      <c r="HM70" s="864"/>
      <c r="HN70" s="864"/>
      <c r="HO70" s="1004"/>
      <c r="HP70" s="980"/>
      <c r="HQ70" s="980"/>
      <c r="HR70" s="998"/>
      <c r="HS70" s="980"/>
      <c r="HT70" s="980"/>
      <c r="HU70" s="980"/>
      <c r="HV70" s="1000"/>
      <c r="HW70" s="980"/>
      <c r="HX70" s="980"/>
      <c r="HY70" s="980"/>
      <c r="HZ70" s="980"/>
      <c r="IA70" s="980"/>
      <c r="IB70" s="980"/>
      <c r="IC70" s="980"/>
      <c r="ID70" s="980"/>
      <c r="IE70" s="980"/>
      <c r="IF70" s="980"/>
      <c r="IG70" s="998"/>
      <c r="IH70" s="980"/>
      <c r="II70" s="980"/>
      <c r="IJ70" s="998"/>
      <c r="IK70" s="980"/>
      <c r="IL70" s="980"/>
      <c r="IM70" s="980"/>
      <c r="IN70" s="980"/>
      <c r="IO70" s="864"/>
      <c r="IP70" s="864"/>
      <c r="IQ70" s="864"/>
      <c r="IR70" s="998"/>
      <c r="IS70" s="980"/>
      <c r="IT70" s="980"/>
      <c r="IU70" s="980"/>
      <c r="IV70" s="980"/>
      <c r="IW70" s="980"/>
      <c r="IX70" s="999"/>
      <c r="IY70" s="980"/>
      <c r="IZ70" s="980"/>
      <c r="JA70" s="980"/>
      <c r="JB70" s="980"/>
      <c r="JC70" s="980"/>
      <c r="JD70" s="980"/>
      <c r="JE70" s="980"/>
      <c r="JF70" s="999"/>
      <c r="JG70" s="980"/>
      <c r="JH70" s="980"/>
      <c r="JI70" s="980"/>
      <c r="JJ70" s="980"/>
      <c r="JK70" s="980"/>
      <c r="JL70" s="980"/>
      <c r="JM70" s="980"/>
      <c r="JN70" s="980"/>
      <c r="JO70" s="980"/>
      <c r="JP70" s="980"/>
      <c r="JQ70" s="999"/>
      <c r="JR70" s="980"/>
      <c r="JS70" s="980"/>
      <c r="JT70" s="980"/>
      <c r="JU70" s="980"/>
      <c r="JV70" s="980"/>
      <c r="JW70" s="980"/>
      <c r="JX70" s="980"/>
      <c r="JY70" s="980"/>
      <c r="JZ70" s="980"/>
      <c r="KA70" s="980"/>
      <c r="KB70" s="980"/>
      <c r="KC70" s="980"/>
      <c r="KD70" s="980"/>
      <c r="KE70" s="998"/>
      <c r="KF70" s="998"/>
      <c r="KG70" s="998"/>
      <c r="KH70" s="998"/>
      <c r="KI70" s="998">
        <v>0</v>
      </c>
      <c r="KJ70" s="998"/>
      <c r="KK70" s="998"/>
      <c r="KL70" s="980"/>
      <c r="KM70" s="864"/>
      <c r="KN70" s="864"/>
      <c r="KO70" s="864"/>
      <c r="KP70" s="864"/>
      <c r="KQ70" s="864"/>
      <c r="KR70" s="980"/>
      <c r="KS70" s="864"/>
      <c r="KT70" s="980"/>
      <c r="KU70" s="864"/>
      <c r="KV70" s="980"/>
      <c r="KW70" s="980"/>
      <c r="KX70" s="980"/>
      <c r="KY70" s="858"/>
      <c r="KZ70" s="980"/>
      <c r="LA70" s="980"/>
      <c r="LB70" s="980"/>
      <c r="LC70" s="980"/>
      <c r="LD70" s="980"/>
      <c r="LE70" s="980"/>
      <c r="LF70" s="999"/>
      <c r="LG70" s="999"/>
      <c r="LH70" s="999"/>
      <c r="LI70" s="999"/>
      <c r="LJ70" s="999"/>
      <c r="LK70" s="999"/>
      <c r="LL70" s="999"/>
      <c r="LM70" s="999"/>
      <c r="LN70" s="999"/>
      <c r="LO70" s="999"/>
      <c r="LP70" s="999"/>
      <c r="LQ70" s="999"/>
      <c r="LR70" s="999">
        <v>2</v>
      </c>
      <c r="LS70" s="999"/>
      <c r="LT70" s="999"/>
      <c r="LU70" s="999"/>
      <c r="LV70" s="999"/>
      <c r="LW70" s="999"/>
      <c r="LX70" s="999"/>
      <c r="LY70" s="999"/>
    </row>
    <row r="71" spans="1:337" ht="29.25" customHeight="1" x14ac:dyDescent="0.25">
      <c r="A71" s="1584"/>
      <c r="B71" s="1617"/>
      <c r="C71" s="353" t="s">
        <v>130</v>
      </c>
      <c r="D71" s="354" t="s">
        <v>226</v>
      </c>
      <c r="E71" s="844" t="s">
        <v>53</v>
      </c>
      <c r="F71" s="863"/>
      <c r="G71" s="863"/>
      <c r="H71" s="864"/>
      <c r="I71" s="864"/>
      <c r="J71" s="864"/>
      <c r="K71" s="864"/>
      <c r="L71" s="864"/>
      <c r="M71" s="864"/>
      <c r="N71" s="852">
        <v>3</v>
      </c>
      <c r="O71" s="864"/>
      <c r="P71" s="864"/>
      <c r="Q71" s="864"/>
      <c r="R71" s="864"/>
      <c r="S71" s="864"/>
      <c r="T71" s="864"/>
      <c r="U71" s="864"/>
      <c r="V71" s="980"/>
      <c r="W71" s="980"/>
      <c r="X71" s="980"/>
      <c r="Y71" s="980"/>
      <c r="Z71" s="980"/>
      <c r="AA71" s="864"/>
      <c r="AB71" s="864"/>
      <c r="AC71" s="864"/>
      <c r="AD71" s="864"/>
      <c r="AE71" s="864"/>
      <c r="AF71" s="864"/>
      <c r="AG71" s="864"/>
      <c r="AH71" s="864"/>
      <c r="AI71" s="864"/>
      <c r="AJ71" s="864"/>
      <c r="AK71" s="864"/>
      <c r="AL71" s="864"/>
      <c r="AM71" s="864"/>
      <c r="AN71" s="864"/>
      <c r="AO71" s="864"/>
      <c r="AP71" s="864"/>
      <c r="AQ71" s="864"/>
      <c r="AR71" s="864"/>
      <c r="AS71" s="864"/>
      <c r="AT71" s="864"/>
      <c r="AU71" s="864"/>
      <c r="AV71" s="980"/>
      <c r="AW71" s="980"/>
      <c r="AX71" s="864"/>
      <c r="AY71" s="864"/>
      <c r="AZ71" s="864"/>
      <c r="BA71" s="852"/>
      <c r="BB71" s="980"/>
      <c r="BC71" s="980"/>
      <c r="BD71" s="980"/>
      <c r="BE71" s="864"/>
      <c r="BF71" s="864"/>
      <c r="BG71" s="864"/>
      <c r="BH71" s="864"/>
      <c r="BI71" s="864"/>
      <c r="BJ71" s="864"/>
      <c r="BK71" s="864"/>
      <c r="BL71" s="864"/>
      <c r="BM71" s="864"/>
      <c r="BN71" s="864"/>
      <c r="BO71" s="864"/>
      <c r="BP71" s="864"/>
      <c r="BQ71" s="864"/>
      <c r="BR71" s="864"/>
      <c r="BS71" s="864"/>
      <c r="BT71" s="980">
        <v>4</v>
      </c>
      <c r="BU71" s="980"/>
      <c r="BV71" s="980"/>
      <c r="BW71" s="980"/>
      <c r="BX71" s="864"/>
      <c r="BY71" s="864"/>
      <c r="BZ71" s="864"/>
      <c r="CA71" s="864"/>
      <c r="CB71" s="864"/>
      <c r="CC71" s="998"/>
      <c r="CD71" s="864"/>
      <c r="CE71" s="864"/>
      <c r="CF71" s="864"/>
      <c r="CG71" s="864"/>
      <c r="CH71" s="864"/>
      <c r="CI71" s="864"/>
      <c r="CJ71" s="864"/>
      <c r="CK71" s="980"/>
      <c r="CL71" s="980">
        <v>8</v>
      </c>
      <c r="CM71" s="864"/>
      <c r="CN71" s="864"/>
      <c r="CO71" s="864"/>
      <c r="CP71" s="864"/>
      <c r="CQ71" s="864"/>
      <c r="CR71" s="864"/>
      <c r="CS71" s="864"/>
      <c r="CT71" s="864"/>
      <c r="CU71" s="864"/>
      <c r="CV71" s="864"/>
      <c r="CW71" s="864"/>
      <c r="CX71" s="864"/>
      <c r="CY71" s="864"/>
      <c r="CZ71" s="864"/>
      <c r="DA71" s="864"/>
      <c r="DB71" s="864"/>
      <c r="DC71" s="864"/>
      <c r="DD71" s="864"/>
      <c r="DE71" s="864"/>
      <c r="DF71" s="980"/>
      <c r="DG71" s="864"/>
      <c r="DH71" s="980"/>
      <c r="DI71" s="980">
        <v>3</v>
      </c>
      <c r="DJ71" s="980"/>
      <c r="DK71" s="980">
        <v>2</v>
      </c>
      <c r="DL71" s="980"/>
      <c r="DM71" s="980"/>
      <c r="DN71" s="864"/>
      <c r="DO71" s="864"/>
      <c r="DP71" s="980"/>
      <c r="DQ71" s="864"/>
      <c r="DR71" s="864"/>
      <c r="DS71" s="864"/>
      <c r="DT71" s="864"/>
      <c r="DU71" s="864"/>
      <c r="DV71" s="864"/>
      <c r="DW71" s="864"/>
      <c r="DX71" s="864"/>
      <c r="DY71" s="864"/>
      <c r="DZ71" s="864"/>
      <c r="EA71" s="864"/>
      <c r="EB71" s="864"/>
      <c r="EC71" s="864"/>
      <c r="ED71" s="864"/>
      <c r="EE71" s="864"/>
      <c r="EF71" s="980"/>
      <c r="EG71" s="980"/>
      <c r="EH71" s="980"/>
      <c r="EI71" s="855"/>
      <c r="EJ71" s="999"/>
      <c r="EK71" s="999"/>
      <c r="EL71" s="999"/>
      <c r="EM71" s="999"/>
      <c r="EN71" s="999"/>
      <c r="EO71" s="999"/>
      <c r="EP71" s="999"/>
      <c r="EQ71" s="999"/>
      <c r="ER71" s="999"/>
      <c r="ES71" s="999"/>
      <c r="ET71" s="999"/>
      <c r="EU71" s="864"/>
      <c r="EV71" s="864"/>
      <c r="EW71" s="980"/>
      <c r="EX71" s="864"/>
      <c r="EY71" s="864"/>
      <c r="EZ71" s="864"/>
      <c r="FA71" s="864"/>
      <c r="FB71" s="864"/>
      <c r="FC71" s="864"/>
      <c r="FD71" s="864"/>
      <c r="FE71" s="980"/>
      <c r="FF71" s="864"/>
      <c r="FG71" s="864"/>
      <c r="FH71" s="864"/>
      <c r="FI71" s="864"/>
      <c r="FJ71" s="864"/>
      <c r="FK71" s="1000"/>
      <c r="FL71" s="980"/>
      <c r="FM71" s="980"/>
      <c r="FN71" s="980"/>
      <c r="FO71" s="980"/>
      <c r="FP71" s="980"/>
      <c r="FQ71" s="980"/>
      <c r="FR71" s="864"/>
      <c r="FS71" s="864"/>
      <c r="FT71" s="864"/>
      <c r="FU71" s="864"/>
      <c r="FV71" s="864"/>
      <c r="FW71" s="864"/>
      <c r="FX71" s="864"/>
      <c r="FY71" s="864"/>
      <c r="FZ71" s="864"/>
      <c r="GA71" s="980"/>
      <c r="GB71" s="980"/>
      <c r="GC71" s="980"/>
      <c r="GD71" s="980"/>
      <c r="GE71" s="980"/>
      <c r="GF71" s="980"/>
      <c r="GG71" s="980"/>
      <c r="GH71" s="864"/>
      <c r="GI71" s="864"/>
      <c r="GJ71" s="864"/>
      <c r="GK71" s="864"/>
      <c r="GL71" s="864"/>
      <c r="GM71" s="864"/>
      <c r="GN71" s="864"/>
      <c r="GO71" s="1001"/>
      <c r="GP71" s="1002"/>
      <c r="GQ71" s="867"/>
      <c r="GR71" s="864"/>
      <c r="GS71" s="864"/>
      <c r="GT71" s="864"/>
      <c r="GU71" s="864"/>
      <c r="GV71" s="864"/>
      <c r="GW71" s="864"/>
      <c r="GX71" s="864"/>
      <c r="GY71" s="864"/>
      <c r="GZ71" s="864"/>
      <c r="HA71" s="864"/>
      <c r="HB71" s="864"/>
      <c r="HC71" s="864"/>
      <c r="HD71" s="864"/>
      <c r="HE71" s="980"/>
      <c r="HF71" s="980"/>
      <c r="HG71" s="864"/>
      <c r="HH71" s="999"/>
      <c r="HI71" s="980"/>
      <c r="HJ71" s="980"/>
      <c r="HK71" s="999"/>
      <c r="HL71" s="864"/>
      <c r="HM71" s="864"/>
      <c r="HN71" s="864"/>
      <c r="HO71" s="1004"/>
      <c r="HP71" s="980"/>
      <c r="HQ71" s="980"/>
      <c r="HR71" s="998"/>
      <c r="HS71" s="980"/>
      <c r="HT71" s="980"/>
      <c r="HU71" s="980"/>
      <c r="HV71" s="1000"/>
      <c r="HW71" s="980"/>
      <c r="HX71" s="980"/>
      <c r="HY71" s="980"/>
      <c r="HZ71" s="980"/>
      <c r="IA71" s="980"/>
      <c r="IB71" s="980"/>
      <c r="IC71" s="980"/>
      <c r="ID71" s="980"/>
      <c r="IE71" s="980"/>
      <c r="IF71" s="980"/>
      <c r="IG71" s="998"/>
      <c r="IH71" s="980"/>
      <c r="II71" s="980"/>
      <c r="IJ71" s="998"/>
      <c r="IK71" s="980"/>
      <c r="IL71" s="980"/>
      <c r="IM71" s="980"/>
      <c r="IN71" s="980"/>
      <c r="IO71" s="864"/>
      <c r="IP71" s="864"/>
      <c r="IQ71" s="864"/>
      <c r="IR71" s="998"/>
      <c r="IS71" s="980"/>
      <c r="IT71" s="980"/>
      <c r="IU71" s="980"/>
      <c r="IV71" s="980"/>
      <c r="IW71" s="980"/>
      <c r="IX71" s="999"/>
      <c r="IY71" s="980"/>
      <c r="IZ71" s="980"/>
      <c r="JA71" s="980"/>
      <c r="JB71" s="980"/>
      <c r="JC71" s="980"/>
      <c r="JD71" s="980"/>
      <c r="JE71" s="980"/>
      <c r="JF71" s="999"/>
      <c r="JG71" s="980"/>
      <c r="JH71" s="980"/>
      <c r="JI71" s="980"/>
      <c r="JJ71" s="980"/>
      <c r="JK71" s="980"/>
      <c r="JL71" s="980"/>
      <c r="JM71" s="980"/>
      <c r="JN71" s="980"/>
      <c r="JO71" s="980"/>
      <c r="JP71" s="980"/>
      <c r="JQ71" s="999"/>
      <c r="JR71" s="980"/>
      <c r="JS71" s="980"/>
      <c r="JT71" s="980"/>
      <c r="JU71" s="980"/>
      <c r="JV71" s="980"/>
      <c r="JW71" s="980"/>
      <c r="JX71" s="980"/>
      <c r="JY71" s="980"/>
      <c r="JZ71" s="980"/>
      <c r="KA71" s="980"/>
      <c r="KB71" s="980"/>
      <c r="KC71" s="980"/>
      <c r="KD71" s="980"/>
      <c r="KE71" s="998"/>
      <c r="KF71" s="998"/>
      <c r="KG71" s="998"/>
      <c r="KH71" s="998"/>
      <c r="KI71" s="998">
        <v>0</v>
      </c>
      <c r="KJ71" s="998"/>
      <c r="KK71" s="998"/>
      <c r="KL71" s="980"/>
      <c r="KM71" s="864"/>
      <c r="KN71" s="864"/>
      <c r="KO71" s="864"/>
      <c r="KP71" s="864"/>
      <c r="KQ71" s="864"/>
      <c r="KR71" s="980"/>
      <c r="KS71" s="864"/>
      <c r="KT71" s="980"/>
      <c r="KU71" s="864"/>
      <c r="KV71" s="980">
        <v>6</v>
      </c>
      <c r="KW71" s="980">
        <v>5</v>
      </c>
      <c r="KX71" s="980">
        <v>16</v>
      </c>
      <c r="KY71" s="858">
        <v>15</v>
      </c>
      <c r="KZ71" s="980">
        <v>8</v>
      </c>
      <c r="LA71" s="980">
        <v>12</v>
      </c>
      <c r="LB71" s="980">
        <v>18</v>
      </c>
      <c r="LC71" s="980"/>
      <c r="LD71" s="980"/>
      <c r="LE71" s="980"/>
      <c r="LF71" s="999">
        <v>10</v>
      </c>
      <c r="LG71" s="999"/>
      <c r="LH71" s="999"/>
      <c r="LI71" s="999"/>
      <c r="LJ71" s="999"/>
      <c r="LK71" s="999"/>
      <c r="LL71" s="999"/>
      <c r="LM71" s="999"/>
      <c r="LN71" s="999">
        <v>9</v>
      </c>
      <c r="LO71" s="999"/>
      <c r="LP71" s="999">
        <v>10</v>
      </c>
      <c r="LQ71" s="999">
        <v>7</v>
      </c>
      <c r="LR71" s="999">
        <v>22</v>
      </c>
      <c r="LS71" s="999"/>
      <c r="LT71" s="999"/>
      <c r="LU71" s="999"/>
      <c r="LV71" s="999"/>
      <c r="LW71" s="999"/>
      <c r="LX71" s="999"/>
      <c r="LY71" s="999"/>
    </row>
    <row r="72" spans="1:337" ht="29.25" customHeight="1" x14ac:dyDescent="0.25">
      <c r="A72" s="1584"/>
      <c r="B72" s="1617"/>
      <c r="C72" s="353" t="s">
        <v>131</v>
      </c>
      <c r="D72" s="365" t="s">
        <v>5361</v>
      </c>
      <c r="E72" s="844" t="s">
        <v>53</v>
      </c>
      <c r="F72" s="863"/>
      <c r="G72" s="863"/>
      <c r="H72" s="864"/>
      <c r="I72" s="864"/>
      <c r="J72" s="864"/>
      <c r="K72" s="864"/>
      <c r="L72" s="864"/>
      <c r="M72" s="864"/>
      <c r="N72" s="852"/>
      <c r="O72" s="864"/>
      <c r="P72" s="864"/>
      <c r="Q72" s="864"/>
      <c r="R72" s="864"/>
      <c r="S72" s="864"/>
      <c r="T72" s="864"/>
      <c r="U72" s="864"/>
      <c r="V72" s="980"/>
      <c r="W72" s="980"/>
      <c r="X72" s="980"/>
      <c r="Y72" s="980"/>
      <c r="Z72" s="980">
        <v>1</v>
      </c>
      <c r="AA72" s="864"/>
      <c r="AB72" s="864"/>
      <c r="AC72" s="864"/>
      <c r="AD72" s="864"/>
      <c r="AE72" s="864"/>
      <c r="AF72" s="864"/>
      <c r="AG72" s="864"/>
      <c r="AH72" s="864"/>
      <c r="AI72" s="864"/>
      <c r="AJ72" s="864"/>
      <c r="AK72" s="864"/>
      <c r="AL72" s="864"/>
      <c r="AM72" s="864"/>
      <c r="AN72" s="864"/>
      <c r="AO72" s="864"/>
      <c r="AP72" s="864"/>
      <c r="AQ72" s="864"/>
      <c r="AR72" s="864"/>
      <c r="AS72" s="864"/>
      <c r="AT72" s="864"/>
      <c r="AU72" s="864"/>
      <c r="AV72" s="980"/>
      <c r="AW72" s="980"/>
      <c r="AX72" s="864"/>
      <c r="AY72" s="864"/>
      <c r="AZ72" s="864"/>
      <c r="BA72" s="852"/>
      <c r="BB72" s="980"/>
      <c r="BC72" s="980"/>
      <c r="BD72" s="980"/>
      <c r="BE72" s="864"/>
      <c r="BF72" s="864"/>
      <c r="BG72" s="864"/>
      <c r="BH72" s="864"/>
      <c r="BI72" s="864"/>
      <c r="BJ72" s="864"/>
      <c r="BK72" s="864"/>
      <c r="BL72" s="864"/>
      <c r="BM72" s="864"/>
      <c r="BN72" s="864"/>
      <c r="BO72" s="864"/>
      <c r="BP72" s="864"/>
      <c r="BQ72" s="864"/>
      <c r="BR72" s="864"/>
      <c r="BS72" s="864"/>
      <c r="BT72" s="980"/>
      <c r="BU72" s="980">
        <v>2</v>
      </c>
      <c r="BV72" s="980"/>
      <c r="BW72" s="980"/>
      <c r="BX72" s="864"/>
      <c r="BY72" s="864"/>
      <c r="BZ72" s="864"/>
      <c r="CA72" s="864"/>
      <c r="CB72" s="864"/>
      <c r="CC72" s="998"/>
      <c r="CD72" s="864"/>
      <c r="CE72" s="864"/>
      <c r="CF72" s="864"/>
      <c r="CG72" s="864"/>
      <c r="CH72" s="864"/>
      <c r="CI72" s="864"/>
      <c r="CJ72" s="864"/>
      <c r="CK72" s="980"/>
      <c r="CL72" s="980"/>
      <c r="CM72" s="864"/>
      <c r="CN72" s="864"/>
      <c r="CO72" s="864"/>
      <c r="CP72" s="864"/>
      <c r="CQ72" s="864"/>
      <c r="CR72" s="864"/>
      <c r="CS72" s="864"/>
      <c r="CT72" s="864"/>
      <c r="CU72" s="864"/>
      <c r="CV72" s="864"/>
      <c r="CW72" s="864"/>
      <c r="CX72" s="864"/>
      <c r="CY72" s="864"/>
      <c r="CZ72" s="864"/>
      <c r="DA72" s="864"/>
      <c r="DB72" s="864"/>
      <c r="DC72" s="864"/>
      <c r="DD72" s="864"/>
      <c r="DE72" s="864"/>
      <c r="DF72" s="980"/>
      <c r="DG72" s="864"/>
      <c r="DH72" s="980">
        <v>1</v>
      </c>
      <c r="DI72" s="980"/>
      <c r="DJ72" s="980"/>
      <c r="DK72" s="980"/>
      <c r="DL72" s="980"/>
      <c r="DM72" s="980"/>
      <c r="DN72" s="864"/>
      <c r="DO72" s="864"/>
      <c r="DP72" s="980"/>
      <c r="DQ72" s="864"/>
      <c r="DR72" s="864"/>
      <c r="DS72" s="864"/>
      <c r="DT72" s="864"/>
      <c r="DU72" s="864"/>
      <c r="DV72" s="864"/>
      <c r="DW72" s="864"/>
      <c r="DX72" s="864"/>
      <c r="DY72" s="864"/>
      <c r="DZ72" s="864"/>
      <c r="EA72" s="864"/>
      <c r="EB72" s="864"/>
      <c r="EC72" s="864"/>
      <c r="ED72" s="864"/>
      <c r="EE72" s="864"/>
      <c r="EF72" s="980"/>
      <c r="EG72" s="980"/>
      <c r="EH72" s="980"/>
      <c r="EI72" s="855"/>
      <c r="EJ72" s="999">
        <v>1</v>
      </c>
      <c r="EK72" s="999"/>
      <c r="EL72" s="999"/>
      <c r="EM72" s="999"/>
      <c r="EN72" s="999"/>
      <c r="EO72" s="999"/>
      <c r="EP72" s="999">
        <v>1</v>
      </c>
      <c r="EQ72" s="999"/>
      <c r="ER72" s="999"/>
      <c r="ES72" s="999"/>
      <c r="ET72" s="999"/>
      <c r="EU72" s="864"/>
      <c r="EV72" s="864"/>
      <c r="EW72" s="980"/>
      <c r="EX72" s="864"/>
      <c r="EY72" s="864"/>
      <c r="EZ72" s="864"/>
      <c r="FA72" s="864"/>
      <c r="FB72" s="864"/>
      <c r="FC72" s="864"/>
      <c r="FD72" s="864"/>
      <c r="FE72" s="980"/>
      <c r="FF72" s="864"/>
      <c r="FG72" s="864"/>
      <c r="FH72" s="864"/>
      <c r="FI72" s="864"/>
      <c r="FJ72" s="864"/>
      <c r="FK72" s="1000">
        <v>2</v>
      </c>
      <c r="FL72" s="980"/>
      <c r="FM72" s="855"/>
      <c r="FN72" s="980"/>
      <c r="FO72" s="980"/>
      <c r="FP72" s="980"/>
      <c r="FQ72" s="980"/>
      <c r="FR72" s="864"/>
      <c r="FS72" s="864"/>
      <c r="FT72" s="864"/>
      <c r="FU72" s="864"/>
      <c r="FV72" s="864"/>
      <c r="FW72" s="864"/>
      <c r="FX72" s="864"/>
      <c r="FY72" s="864"/>
      <c r="FZ72" s="864"/>
      <c r="GA72" s="980"/>
      <c r="GB72" s="980"/>
      <c r="GC72" s="980"/>
      <c r="GD72" s="980"/>
      <c r="GE72" s="980"/>
      <c r="GF72" s="980"/>
      <c r="GG72" s="980">
        <v>8</v>
      </c>
      <c r="GH72" s="864"/>
      <c r="GI72" s="864"/>
      <c r="GJ72" s="864"/>
      <c r="GK72" s="864"/>
      <c r="GL72" s="864"/>
      <c r="GM72" s="864"/>
      <c r="GN72" s="864"/>
      <c r="GO72" s="1001">
        <v>1</v>
      </c>
      <c r="GP72" s="1002"/>
      <c r="GQ72" s="867"/>
      <c r="GR72" s="864"/>
      <c r="GS72" s="864"/>
      <c r="GT72" s="864"/>
      <c r="GU72" s="864"/>
      <c r="GV72" s="864"/>
      <c r="GW72" s="864"/>
      <c r="GX72" s="864"/>
      <c r="GY72" s="864"/>
      <c r="GZ72" s="864"/>
      <c r="HA72" s="864"/>
      <c r="HB72" s="864"/>
      <c r="HC72" s="864"/>
      <c r="HD72" s="864"/>
      <c r="HE72" s="980">
        <v>1</v>
      </c>
      <c r="HF72" s="980"/>
      <c r="HG72" s="864"/>
      <c r="HH72" s="999"/>
      <c r="HI72" s="980"/>
      <c r="HJ72" s="980"/>
      <c r="HK72" s="999"/>
      <c r="HL72" s="864"/>
      <c r="HM72" s="864"/>
      <c r="HN72" s="864"/>
      <c r="HO72" s="1004">
        <v>1</v>
      </c>
      <c r="HP72" s="980"/>
      <c r="HQ72" s="980"/>
      <c r="HR72" s="998"/>
      <c r="HS72" s="980"/>
      <c r="HT72" s="980"/>
      <c r="HU72" s="980"/>
      <c r="HV72" s="1000"/>
      <c r="HW72" s="980"/>
      <c r="HX72" s="980"/>
      <c r="HY72" s="980"/>
      <c r="HZ72" s="980"/>
      <c r="IA72" s="980"/>
      <c r="IB72" s="980"/>
      <c r="IC72" s="980"/>
      <c r="ID72" s="980"/>
      <c r="IE72" s="980"/>
      <c r="IF72" s="980"/>
      <c r="IG72" s="998"/>
      <c r="IH72" s="980">
        <v>1</v>
      </c>
      <c r="II72" s="980"/>
      <c r="IJ72" s="998"/>
      <c r="IK72" s="980"/>
      <c r="IL72" s="980"/>
      <c r="IM72" s="980"/>
      <c r="IN72" s="980"/>
      <c r="IO72" s="864"/>
      <c r="IP72" s="864"/>
      <c r="IQ72" s="864"/>
      <c r="IR72" s="998"/>
      <c r="IS72" s="980"/>
      <c r="IT72" s="980">
        <v>1</v>
      </c>
      <c r="IU72" s="980">
        <v>4</v>
      </c>
      <c r="IV72" s="980">
        <v>1</v>
      </c>
      <c r="IW72" s="980"/>
      <c r="IX72" s="999"/>
      <c r="IY72" s="980"/>
      <c r="IZ72" s="980"/>
      <c r="JA72" s="980"/>
      <c r="JB72" s="980"/>
      <c r="JC72" s="980">
        <v>1</v>
      </c>
      <c r="JD72" s="980"/>
      <c r="JE72" s="980"/>
      <c r="JF72" s="999">
        <v>5</v>
      </c>
      <c r="JG72" s="980"/>
      <c r="JH72" s="980"/>
      <c r="JI72" s="980"/>
      <c r="JJ72" s="980">
        <v>2</v>
      </c>
      <c r="JK72" s="980"/>
      <c r="JL72" s="980"/>
      <c r="JM72" s="980"/>
      <c r="JN72" s="980"/>
      <c r="JO72" s="980"/>
      <c r="JP72" s="980"/>
      <c r="JQ72" s="999"/>
      <c r="JR72" s="980"/>
      <c r="JS72" s="980"/>
      <c r="JT72" s="980"/>
      <c r="JU72" s="980"/>
      <c r="JV72" s="980"/>
      <c r="JW72" s="980"/>
      <c r="JX72" s="980"/>
      <c r="JY72" s="980"/>
      <c r="JZ72" s="980"/>
      <c r="KA72" s="980"/>
      <c r="KB72" s="980"/>
      <c r="KC72" s="980"/>
      <c r="KD72" s="980"/>
      <c r="KE72" s="998"/>
      <c r="KF72" s="998"/>
      <c r="KG72" s="998"/>
      <c r="KH72" s="998"/>
      <c r="KI72" s="998">
        <v>0</v>
      </c>
      <c r="KJ72" s="998"/>
      <c r="KK72" s="998"/>
      <c r="KL72" s="980"/>
      <c r="KM72" s="864"/>
      <c r="KN72" s="864"/>
      <c r="KO72" s="864"/>
      <c r="KP72" s="864"/>
      <c r="KQ72" s="864"/>
      <c r="KR72" s="980"/>
      <c r="KS72" s="864"/>
      <c r="KT72" s="980"/>
      <c r="KU72" s="864"/>
      <c r="KV72" s="980"/>
      <c r="KW72" s="980">
        <v>1</v>
      </c>
      <c r="KX72" s="980"/>
      <c r="KY72" s="858"/>
      <c r="KZ72" s="980">
        <v>2</v>
      </c>
      <c r="LA72" s="980"/>
      <c r="LB72" s="980"/>
      <c r="LC72" s="980"/>
      <c r="LD72" s="980"/>
      <c r="LE72" s="980"/>
      <c r="LF72" s="999"/>
      <c r="LG72" s="999"/>
      <c r="LH72" s="999"/>
      <c r="LI72" s="999"/>
      <c r="LJ72" s="999"/>
      <c r="LK72" s="999"/>
      <c r="LL72" s="999"/>
      <c r="LM72" s="999"/>
      <c r="LN72" s="999"/>
      <c r="LO72" s="999"/>
      <c r="LP72" s="999"/>
      <c r="LQ72" s="999"/>
      <c r="LR72" s="999"/>
      <c r="LS72" s="999"/>
      <c r="LT72" s="999"/>
      <c r="LU72" s="999"/>
      <c r="LV72" s="999"/>
      <c r="LW72" s="999"/>
      <c r="LX72" s="999"/>
      <c r="LY72" s="999"/>
    </row>
    <row r="73" spans="1:337" ht="29.25" customHeight="1" thickBot="1" x14ac:dyDescent="0.3">
      <c r="A73" s="1585"/>
      <c r="B73" s="1618"/>
      <c r="C73" s="344" t="s">
        <v>236</v>
      </c>
      <c r="D73" s="366" t="s">
        <v>5362</v>
      </c>
      <c r="E73" s="845" t="s">
        <v>5363</v>
      </c>
      <c r="F73" s="863"/>
      <c r="G73" s="863"/>
      <c r="H73" s="864"/>
      <c r="I73" s="864"/>
      <c r="J73" s="864"/>
      <c r="K73" s="864"/>
      <c r="L73" s="864"/>
      <c r="M73" s="864"/>
      <c r="N73" s="852">
        <f>SUM(N52:N72)</f>
        <v>7</v>
      </c>
      <c r="O73" s="864"/>
      <c r="P73" s="864"/>
      <c r="Q73" s="864"/>
      <c r="R73" s="864"/>
      <c r="S73" s="864"/>
      <c r="T73" s="864"/>
      <c r="U73" s="864"/>
      <c r="V73" s="1008">
        <v>3</v>
      </c>
      <c r="W73" s="1008">
        <f>SUM(W52:W72)</f>
        <v>4</v>
      </c>
      <c r="X73" s="1008">
        <f>SUM(X52:X72)</f>
        <v>1</v>
      </c>
      <c r="Y73" s="1008">
        <f>SUM(Y52:Y72)</f>
        <v>1</v>
      </c>
      <c r="Z73" s="1008">
        <f>SUM(Z52:Z72)</f>
        <v>10</v>
      </c>
      <c r="AA73" s="864"/>
      <c r="AB73" s="864"/>
      <c r="AC73" s="864"/>
      <c r="AD73" s="864"/>
      <c r="AE73" s="864"/>
      <c r="AF73" s="864"/>
      <c r="AG73" s="864"/>
      <c r="AH73" s="864"/>
      <c r="AI73" s="864"/>
      <c r="AJ73" s="864"/>
      <c r="AK73" s="864"/>
      <c r="AL73" s="864"/>
      <c r="AM73" s="864"/>
      <c r="AN73" s="864"/>
      <c r="AO73" s="864"/>
      <c r="AP73" s="864"/>
      <c r="AQ73" s="864"/>
      <c r="AR73" s="864"/>
      <c r="AS73" s="864"/>
      <c r="AT73" s="864"/>
      <c r="AU73" s="864"/>
      <c r="AV73" s="1008">
        <f>SUM(AV52:AV72)</f>
        <v>3</v>
      </c>
      <c r="AW73" s="1008">
        <f>SUM(AW52:AW72)</f>
        <v>10</v>
      </c>
      <c r="AX73" s="864"/>
      <c r="AY73" s="864"/>
      <c r="AZ73" s="864"/>
      <c r="BA73" s="852">
        <f>SUM(BA52:BA72)</f>
        <v>12</v>
      </c>
      <c r="BB73" s="1008">
        <v>1</v>
      </c>
      <c r="BC73" s="1008">
        <f>SUM(BC52:BC72)</f>
        <v>5</v>
      </c>
      <c r="BD73" s="980">
        <f>SUM(BD52:BD72)</f>
        <v>6</v>
      </c>
      <c r="BE73" s="864"/>
      <c r="BF73" s="864"/>
      <c r="BG73" s="864"/>
      <c r="BH73" s="864"/>
      <c r="BI73" s="864"/>
      <c r="BJ73" s="864"/>
      <c r="BK73" s="864"/>
      <c r="BL73" s="864"/>
      <c r="BM73" s="864"/>
      <c r="BN73" s="864"/>
      <c r="BO73" s="864"/>
      <c r="BP73" s="864"/>
      <c r="BQ73" s="864"/>
      <c r="BR73" s="864"/>
      <c r="BS73" s="864"/>
      <c r="BT73" s="1008">
        <f>SUM(BT52:BT72)</f>
        <v>212</v>
      </c>
      <c r="BU73" s="1008">
        <f>SUM(BU52:BU72)</f>
        <v>2</v>
      </c>
      <c r="BV73" s="1008">
        <v>1</v>
      </c>
      <c r="BW73" s="1008">
        <f>SUM(BW52:BW72)</f>
        <v>1</v>
      </c>
      <c r="BX73" s="864"/>
      <c r="BY73" s="864"/>
      <c r="BZ73" s="864"/>
      <c r="CA73" s="864"/>
      <c r="CB73" s="864"/>
      <c r="CC73" s="1009">
        <f>SUM(CC52:CC72)</f>
        <v>3</v>
      </c>
      <c r="CD73" s="864"/>
      <c r="CE73" s="864"/>
      <c r="CF73" s="864"/>
      <c r="CG73" s="864"/>
      <c r="CH73" s="864"/>
      <c r="CI73" s="864"/>
      <c r="CJ73" s="864"/>
      <c r="CK73" s="1008">
        <f>SUM(CK52:CK72)</f>
        <v>1</v>
      </c>
      <c r="CL73" s="1008">
        <f>SUM(CL52:CL72)</f>
        <v>8</v>
      </c>
      <c r="CM73" s="864"/>
      <c r="CN73" s="864"/>
      <c r="CO73" s="864"/>
      <c r="CP73" s="864"/>
      <c r="CQ73" s="864"/>
      <c r="CR73" s="864"/>
      <c r="CS73" s="864"/>
      <c r="CT73" s="864"/>
      <c r="CU73" s="864"/>
      <c r="CV73" s="864"/>
      <c r="CW73" s="864"/>
      <c r="CX73" s="864"/>
      <c r="CY73" s="864"/>
      <c r="CZ73" s="864"/>
      <c r="DA73" s="864"/>
      <c r="DB73" s="864"/>
      <c r="DC73" s="864"/>
      <c r="DD73" s="864"/>
      <c r="DE73" s="864"/>
      <c r="DF73" s="1008">
        <f>SUM(DF52:DF72)</f>
        <v>1</v>
      </c>
      <c r="DG73" s="864"/>
      <c r="DH73" s="1008">
        <f t="shared" ref="DH73:DM73" si="2">SUM(DH52:DH72)</f>
        <v>3</v>
      </c>
      <c r="DI73" s="1008">
        <f t="shared" si="2"/>
        <v>3</v>
      </c>
      <c r="DJ73" s="1008">
        <f t="shared" si="2"/>
        <v>3</v>
      </c>
      <c r="DK73" s="1008">
        <f t="shared" si="2"/>
        <v>2</v>
      </c>
      <c r="DL73" s="1008">
        <f t="shared" si="2"/>
        <v>3</v>
      </c>
      <c r="DM73" s="1008">
        <f t="shared" si="2"/>
        <v>1</v>
      </c>
      <c r="DN73" s="864"/>
      <c r="DO73" s="864"/>
      <c r="DP73" s="1008">
        <f>SUM(DP52:DP72)</f>
        <v>1</v>
      </c>
      <c r="DQ73" s="864"/>
      <c r="DR73" s="864"/>
      <c r="DS73" s="864"/>
      <c r="DT73" s="864"/>
      <c r="DU73" s="864"/>
      <c r="DV73" s="864"/>
      <c r="DW73" s="864"/>
      <c r="DX73" s="864"/>
      <c r="DY73" s="864"/>
      <c r="DZ73" s="864"/>
      <c r="EA73" s="864"/>
      <c r="EB73" s="864"/>
      <c r="EC73" s="864"/>
      <c r="ED73" s="864"/>
      <c r="EE73" s="864"/>
      <c r="EF73" s="1008">
        <f t="shared" ref="EF73:ET73" si="3">SUM(EF52:EF72)</f>
        <v>1</v>
      </c>
      <c r="EG73" s="1008">
        <f t="shared" si="3"/>
        <v>1</v>
      </c>
      <c r="EH73" s="1008">
        <f t="shared" si="3"/>
        <v>2</v>
      </c>
      <c r="EI73" s="855">
        <f t="shared" si="3"/>
        <v>1</v>
      </c>
      <c r="EJ73" s="1010">
        <f t="shared" si="3"/>
        <v>1</v>
      </c>
      <c r="EK73" s="1010">
        <f t="shared" si="3"/>
        <v>4</v>
      </c>
      <c r="EL73" s="1010">
        <f t="shared" si="3"/>
        <v>3</v>
      </c>
      <c r="EM73" s="1010">
        <f t="shared" si="3"/>
        <v>6</v>
      </c>
      <c r="EN73" s="1010">
        <f t="shared" si="3"/>
        <v>5</v>
      </c>
      <c r="EO73" s="1010">
        <f t="shared" si="3"/>
        <v>2</v>
      </c>
      <c r="EP73" s="1010">
        <f t="shared" si="3"/>
        <v>2</v>
      </c>
      <c r="EQ73" s="1010">
        <f t="shared" si="3"/>
        <v>4</v>
      </c>
      <c r="ER73" s="1010">
        <f t="shared" si="3"/>
        <v>1</v>
      </c>
      <c r="ES73" s="1010">
        <f t="shared" si="3"/>
        <v>1</v>
      </c>
      <c r="ET73" s="1010">
        <f t="shared" si="3"/>
        <v>5</v>
      </c>
      <c r="EU73" s="864"/>
      <c r="EV73" s="864"/>
      <c r="EW73" s="1008">
        <f>SUM(EW52:EW72)</f>
        <v>46</v>
      </c>
      <c r="EX73" s="864"/>
      <c r="EY73" s="864"/>
      <c r="EZ73" s="864"/>
      <c r="FA73" s="864"/>
      <c r="FB73" s="864"/>
      <c r="FC73" s="864"/>
      <c r="FD73" s="864"/>
      <c r="FE73" s="1008">
        <f>SUM(FE52:FE72)</f>
        <v>98</v>
      </c>
      <c r="FF73" s="864"/>
      <c r="FG73" s="864"/>
      <c r="FH73" s="864"/>
      <c r="FI73" s="864"/>
      <c r="FJ73" s="864"/>
      <c r="FK73" s="1008">
        <f>SUM(FK52:FK72)</f>
        <v>15</v>
      </c>
      <c r="FL73" s="1008">
        <f>SUM(FL52:FL72)</f>
        <v>13</v>
      </c>
      <c r="FM73" s="1008">
        <f>SUM(FM53:FM72)</f>
        <v>8</v>
      </c>
      <c r="FN73" s="1008">
        <f>SUM(FN52:FN72)</f>
        <v>19</v>
      </c>
      <c r="FO73" s="1008">
        <f>SUM(FO52:FO72)</f>
        <v>5</v>
      </c>
      <c r="FP73" s="1008">
        <f>SUM(FP52:FP72)</f>
        <v>51</v>
      </c>
      <c r="FQ73" s="1008">
        <f>SUM(FQ52:FQ72)</f>
        <v>3</v>
      </c>
      <c r="FR73" s="864"/>
      <c r="FS73" s="864"/>
      <c r="FT73" s="864"/>
      <c r="FU73" s="864"/>
      <c r="FV73" s="864"/>
      <c r="FW73" s="864"/>
      <c r="FX73" s="864"/>
      <c r="FY73" s="864"/>
      <c r="FZ73" s="864"/>
      <c r="GA73" s="980">
        <f>SUM(GA52:GA72)</f>
        <v>12</v>
      </c>
      <c r="GB73" s="980">
        <f>SUM(GB52:GB72)</f>
        <v>1</v>
      </c>
      <c r="GC73" s="980">
        <f>SUM(GC52:GC72)</f>
        <v>1</v>
      </c>
      <c r="GD73" s="980">
        <f>SUM(GD52:GD72)</f>
        <v>1</v>
      </c>
      <c r="GE73" s="980">
        <f>SUM(GE52:GE72)</f>
        <v>13</v>
      </c>
      <c r="GF73" s="980">
        <v>1</v>
      </c>
      <c r="GG73" s="980">
        <f>SUM(GG52:GG72)</f>
        <v>32</v>
      </c>
      <c r="GH73" s="864"/>
      <c r="GI73" s="864"/>
      <c r="GJ73" s="864"/>
      <c r="GK73" s="864"/>
      <c r="GL73" s="864"/>
      <c r="GM73" s="864"/>
      <c r="GN73" s="864"/>
      <c r="GO73" s="1011">
        <f>SUM(GO52:GO72)</f>
        <v>40</v>
      </c>
      <c r="GP73" s="1012">
        <f>SUM(GP52:GP72)</f>
        <v>3</v>
      </c>
      <c r="GQ73" s="1013">
        <f>SUM(GQ52:GQ72)</f>
        <v>9</v>
      </c>
      <c r="GR73" s="864"/>
      <c r="GS73" s="864"/>
      <c r="GT73" s="864"/>
      <c r="GU73" s="864"/>
      <c r="GV73" s="864"/>
      <c r="GW73" s="864"/>
      <c r="GX73" s="864"/>
      <c r="GY73" s="864"/>
      <c r="GZ73" s="864"/>
      <c r="HA73" s="864"/>
      <c r="HB73" s="864"/>
      <c r="HC73" s="864"/>
      <c r="HD73" s="864"/>
      <c r="HE73" s="1008">
        <f>SUM(HE52:HE72)</f>
        <v>10</v>
      </c>
      <c r="HF73" s="1008">
        <f>SUM(HF52:HF72)</f>
        <v>5</v>
      </c>
      <c r="HG73" s="864"/>
      <c r="HH73" s="1010">
        <f>SUM(HH52:HH72)</f>
        <v>14</v>
      </c>
      <c r="HI73" s="1008">
        <f>SUM(HI52:HI72)</f>
        <v>21</v>
      </c>
      <c r="HJ73" s="1008">
        <f>SUM(HJ52:HJ72)</f>
        <v>2</v>
      </c>
      <c r="HK73" s="1010">
        <f>SUM(HK52:HK72)</f>
        <v>2</v>
      </c>
      <c r="HL73" s="864"/>
      <c r="HM73" s="864"/>
      <c r="HN73" s="864"/>
      <c r="HO73" s="1014">
        <f t="shared" ref="HO73:IN73" si="4">SUM(HO52:HO72)</f>
        <v>1</v>
      </c>
      <c r="HP73" s="1008">
        <f t="shared" si="4"/>
        <v>2</v>
      </c>
      <c r="HQ73" s="1008">
        <f t="shared" si="4"/>
        <v>1</v>
      </c>
      <c r="HR73" s="1009">
        <f t="shared" si="4"/>
        <v>1</v>
      </c>
      <c r="HS73" s="1008">
        <f t="shared" si="4"/>
        <v>1</v>
      </c>
      <c r="HT73" s="1008">
        <f t="shared" si="4"/>
        <v>1</v>
      </c>
      <c r="HU73" s="1008">
        <f t="shared" si="4"/>
        <v>1</v>
      </c>
      <c r="HV73" s="1015">
        <f t="shared" si="4"/>
        <v>1</v>
      </c>
      <c r="HW73" s="1008">
        <f t="shared" si="4"/>
        <v>1</v>
      </c>
      <c r="HX73" s="1008">
        <f t="shared" si="4"/>
        <v>1</v>
      </c>
      <c r="HY73" s="1008">
        <f t="shared" si="4"/>
        <v>1</v>
      </c>
      <c r="HZ73" s="1008">
        <f t="shared" si="4"/>
        <v>1</v>
      </c>
      <c r="IA73" s="1008">
        <f t="shared" si="4"/>
        <v>1</v>
      </c>
      <c r="IB73" s="1008">
        <f t="shared" si="4"/>
        <v>1</v>
      </c>
      <c r="IC73" s="1008">
        <f t="shared" si="4"/>
        <v>1</v>
      </c>
      <c r="ID73" s="1008">
        <f t="shared" si="4"/>
        <v>1</v>
      </c>
      <c r="IE73" s="1008">
        <f t="shared" si="4"/>
        <v>1</v>
      </c>
      <c r="IF73" s="1008">
        <f t="shared" si="4"/>
        <v>1</v>
      </c>
      <c r="IG73" s="1009">
        <f t="shared" si="4"/>
        <v>3</v>
      </c>
      <c r="IH73" s="1008">
        <f t="shared" si="4"/>
        <v>1</v>
      </c>
      <c r="II73" s="1008">
        <f t="shared" si="4"/>
        <v>4</v>
      </c>
      <c r="IJ73" s="1009">
        <f t="shared" si="4"/>
        <v>1</v>
      </c>
      <c r="IK73" s="1008">
        <f t="shared" si="4"/>
        <v>1</v>
      </c>
      <c r="IL73" s="1008">
        <f t="shared" si="4"/>
        <v>8</v>
      </c>
      <c r="IM73" s="980">
        <f t="shared" si="4"/>
        <v>1</v>
      </c>
      <c r="IN73" s="1008">
        <f t="shared" si="4"/>
        <v>4</v>
      </c>
      <c r="IO73" s="864"/>
      <c r="IP73" s="864"/>
      <c r="IQ73" s="864"/>
      <c r="IR73" s="1009">
        <f>SUM(IR52:IR72)</f>
        <v>2</v>
      </c>
      <c r="IS73" s="1008">
        <v>1</v>
      </c>
      <c r="IT73" s="1008">
        <f t="shared" ref="IT73:JQ73" si="5">SUM(IT52:IT72)</f>
        <v>8</v>
      </c>
      <c r="IU73" s="1008">
        <f t="shared" si="5"/>
        <v>7</v>
      </c>
      <c r="IV73" s="1008">
        <f t="shared" si="5"/>
        <v>7</v>
      </c>
      <c r="IW73" s="1008">
        <f t="shared" si="5"/>
        <v>8</v>
      </c>
      <c r="IX73" s="1010">
        <f t="shared" si="5"/>
        <v>4</v>
      </c>
      <c r="IY73" s="1008">
        <f t="shared" si="5"/>
        <v>2</v>
      </c>
      <c r="IZ73" s="1008">
        <f t="shared" si="5"/>
        <v>3</v>
      </c>
      <c r="JA73" s="1008">
        <f t="shared" si="5"/>
        <v>11</v>
      </c>
      <c r="JB73" s="1008">
        <f t="shared" si="5"/>
        <v>12</v>
      </c>
      <c r="JC73" s="1008">
        <f t="shared" si="5"/>
        <v>1</v>
      </c>
      <c r="JD73" s="1008">
        <f t="shared" si="5"/>
        <v>7</v>
      </c>
      <c r="JE73" s="1008">
        <f t="shared" si="5"/>
        <v>29</v>
      </c>
      <c r="JF73" s="1010">
        <f t="shared" si="5"/>
        <v>21</v>
      </c>
      <c r="JG73" s="1008">
        <f t="shared" si="5"/>
        <v>3</v>
      </c>
      <c r="JH73" s="1008">
        <f t="shared" si="5"/>
        <v>2</v>
      </c>
      <c r="JI73" s="1008">
        <f t="shared" si="5"/>
        <v>10</v>
      </c>
      <c r="JJ73" s="1008">
        <f t="shared" si="5"/>
        <v>8</v>
      </c>
      <c r="JK73" s="1008">
        <f t="shared" si="5"/>
        <v>4</v>
      </c>
      <c r="JL73" s="1008">
        <f t="shared" si="5"/>
        <v>7</v>
      </c>
      <c r="JM73" s="1008">
        <f t="shared" si="5"/>
        <v>1</v>
      </c>
      <c r="JN73" s="1008">
        <f t="shared" si="5"/>
        <v>2</v>
      </c>
      <c r="JO73" s="1008">
        <f t="shared" si="5"/>
        <v>1</v>
      </c>
      <c r="JP73" s="1008">
        <f t="shared" si="5"/>
        <v>5</v>
      </c>
      <c r="JQ73" s="1010">
        <f t="shared" si="5"/>
        <v>2</v>
      </c>
      <c r="JR73" s="1008"/>
      <c r="JS73" s="1008">
        <f t="shared" ref="JS73:KB73" si="6">SUM(JS52:JS72)</f>
        <v>4</v>
      </c>
      <c r="JT73" s="1008">
        <f t="shared" si="6"/>
        <v>8</v>
      </c>
      <c r="JU73" s="1008">
        <f t="shared" si="6"/>
        <v>1</v>
      </c>
      <c r="JV73" s="1008">
        <f t="shared" si="6"/>
        <v>1</v>
      </c>
      <c r="JW73" s="1008">
        <f t="shared" si="6"/>
        <v>5</v>
      </c>
      <c r="JX73" s="1008">
        <f t="shared" si="6"/>
        <v>1</v>
      </c>
      <c r="JY73" s="1008">
        <f t="shared" si="6"/>
        <v>3</v>
      </c>
      <c r="JZ73" s="1008">
        <f t="shared" si="6"/>
        <v>2</v>
      </c>
      <c r="KA73" s="1008">
        <f t="shared" si="6"/>
        <v>5</v>
      </c>
      <c r="KB73" s="1008">
        <f t="shared" si="6"/>
        <v>3</v>
      </c>
      <c r="KC73" s="1008">
        <v>1</v>
      </c>
      <c r="KD73" s="1008">
        <f t="shared" ref="KD73:KL73" si="7">SUM(KD52:KD72)</f>
        <v>2</v>
      </c>
      <c r="KE73" s="1009">
        <f t="shared" si="7"/>
        <v>5</v>
      </c>
      <c r="KF73" s="1009">
        <f t="shared" si="7"/>
        <v>1</v>
      </c>
      <c r="KG73" s="1009">
        <f t="shared" si="7"/>
        <v>2</v>
      </c>
      <c r="KH73" s="1009">
        <f t="shared" si="7"/>
        <v>1</v>
      </c>
      <c r="KI73" s="1009">
        <f t="shared" si="7"/>
        <v>1</v>
      </c>
      <c r="KJ73" s="1009">
        <f t="shared" si="7"/>
        <v>1</v>
      </c>
      <c r="KK73" s="1009">
        <f t="shared" si="7"/>
        <v>1</v>
      </c>
      <c r="KL73" s="1008">
        <f t="shared" si="7"/>
        <v>1</v>
      </c>
      <c r="KM73" s="864"/>
      <c r="KN73" s="864"/>
      <c r="KO73" s="864"/>
      <c r="KP73" s="864"/>
      <c r="KQ73" s="864"/>
      <c r="KR73" s="1008">
        <f>SUM(KR52:KR72)</f>
        <v>23</v>
      </c>
      <c r="KS73" s="864"/>
      <c r="KT73" s="1008">
        <f>SUM(KT52:KT72)</f>
        <v>2</v>
      </c>
      <c r="KU73" s="864"/>
      <c r="KV73" s="1008">
        <f t="shared" ref="KV73:LT73" si="8">SUM(KV52:KV72)</f>
        <v>8</v>
      </c>
      <c r="KW73" s="1008">
        <f t="shared" si="8"/>
        <v>15</v>
      </c>
      <c r="KX73" s="1008">
        <f t="shared" si="8"/>
        <v>17</v>
      </c>
      <c r="KY73" s="1010">
        <f t="shared" si="8"/>
        <v>19</v>
      </c>
      <c r="KZ73" s="1008">
        <f t="shared" si="8"/>
        <v>22</v>
      </c>
      <c r="LA73" s="1008">
        <f t="shared" si="8"/>
        <v>26</v>
      </c>
      <c r="LB73" s="1008">
        <f t="shared" si="8"/>
        <v>21</v>
      </c>
      <c r="LC73" s="1008">
        <f t="shared" si="8"/>
        <v>2</v>
      </c>
      <c r="LD73" s="1008">
        <f t="shared" si="8"/>
        <v>1</v>
      </c>
      <c r="LE73" s="1008">
        <f t="shared" si="8"/>
        <v>2</v>
      </c>
      <c r="LF73" s="1010">
        <f t="shared" si="8"/>
        <v>13</v>
      </c>
      <c r="LG73" s="1010">
        <f t="shared" si="8"/>
        <v>1</v>
      </c>
      <c r="LH73" s="1010">
        <f t="shared" si="8"/>
        <v>1</v>
      </c>
      <c r="LI73" s="1010">
        <f t="shared" si="8"/>
        <v>1</v>
      </c>
      <c r="LJ73" s="1010">
        <f t="shared" si="8"/>
        <v>2</v>
      </c>
      <c r="LK73" s="1010">
        <f t="shared" si="8"/>
        <v>2</v>
      </c>
      <c r="LL73" s="1010">
        <f t="shared" si="8"/>
        <v>1</v>
      </c>
      <c r="LM73" s="1010">
        <f t="shared" si="8"/>
        <v>1</v>
      </c>
      <c r="LN73" s="1010">
        <f t="shared" si="8"/>
        <v>16</v>
      </c>
      <c r="LO73" s="1010">
        <f t="shared" si="8"/>
        <v>1</v>
      </c>
      <c r="LP73" s="1010">
        <f t="shared" si="8"/>
        <v>12</v>
      </c>
      <c r="LQ73" s="1010">
        <f t="shared" si="8"/>
        <v>8</v>
      </c>
      <c r="LR73" s="1010">
        <f t="shared" si="8"/>
        <v>38</v>
      </c>
      <c r="LS73" s="1010">
        <f t="shared" si="8"/>
        <v>1</v>
      </c>
      <c r="LT73" s="1010">
        <f t="shared" si="8"/>
        <v>1</v>
      </c>
      <c r="LU73" s="1010">
        <v>5</v>
      </c>
      <c r="LV73" s="1010">
        <v>3</v>
      </c>
      <c r="LW73" s="1010">
        <v>1</v>
      </c>
      <c r="LX73" s="1010">
        <v>3</v>
      </c>
      <c r="LY73" s="1010">
        <f>SUM(LY52:LY72)</f>
        <v>1</v>
      </c>
    </row>
    <row r="74" spans="1:337" ht="29.25" customHeight="1" x14ac:dyDescent="0.25">
      <c r="A74" s="1583" t="s">
        <v>26</v>
      </c>
      <c r="B74" s="1589" t="s">
        <v>277</v>
      </c>
      <c r="C74" s="331" t="s">
        <v>132</v>
      </c>
      <c r="D74" s="332" t="s">
        <v>5364</v>
      </c>
      <c r="E74" s="839" t="s">
        <v>54</v>
      </c>
      <c r="F74" s="863"/>
      <c r="G74" s="863"/>
      <c r="H74" s="864"/>
      <c r="I74" s="864"/>
      <c r="J74" s="864"/>
      <c r="K74" s="864"/>
      <c r="L74" s="864"/>
      <c r="M74" s="864"/>
      <c r="N74" s="852">
        <v>354.1</v>
      </c>
      <c r="O74" s="864"/>
      <c r="P74" s="864"/>
      <c r="Q74" s="864"/>
      <c r="R74" s="864"/>
      <c r="S74" s="864"/>
      <c r="T74" s="864"/>
      <c r="U74" s="864"/>
      <c r="V74" s="945">
        <v>2.2999999999999998</v>
      </c>
      <c r="W74" s="945">
        <v>1.966</v>
      </c>
      <c r="X74" s="945">
        <v>10</v>
      </c>
      <c r="Y74" s="945">
        <v>0.1</v>
      </c>
      <c r="Z74" s="945">
        <v>7.55</v>
      </c>
      <c r="AA74" s="864"/>
      <c r="AB74" s="864"/>
      <c r="AC74" s="864"/>
      <c r="AD74" s="864"/>
      <c r="AE74" s="864"/>
      <c r="AF74" s="864"/>
      <c r="AG74" s="864"/>
      <c r="AH74" s="864"/>
      <c r="AI74" s="864"/>
      <c r="AJ74" s="864"/>
      <c r="AK74" s="864"/>
      <c r="AL74" s="864"/>
      <c r="AM74" s="864"/>
      <c r="AN74" s="864"/>
      <c r="AO74" s="864"/>
      <c r="AP74" s="864"/>
      <c r="AQ74" s="864"/>
      <c r="AR74" s="864"/>
      <c r="AS74" s="864"/>
      <c r="AT74" s="864"/>
      <c r="AU74" s="864"/>
      <c r="AV74" s="945">
        <v>0.98099999999999998</v>
      </c>
      <c r="AW74" s="945">
        <v>489.35899999999998</v>
      </c>
      <c r="AX74" s="864"/>
      <c r="AY74" s="864"/>
      <c r="AZ74" s="864"/>
      <c r="BA74" s="852">
        <v>7.93</v>
      </c>
      <c r="BB74" s="980">
        <v>4</v>
      </c>
      <c r="BC74" s="945">
        <f>0.042+0.031+0.015</f>
        <v>8.8000000000000009E-2</v>
      </c>
      <c r="BD74" s="945">
        <v>9.7509999999999994</v>
      </c>
      <c r="BE74" s="864"/>
      <c r="BF74" s="864"/>
      <c r="BG74" s="864"/>
      <c r="BH74" s="864"/>
      <c r="BI74" s="864"/>
      <c r="BJ74" s="864"/>
      <c r="BK74" s="864"/>
      <c r="BL74" s="864"/>
      <c r="BM74" s="864"/>
      <c r="BN74" s="864"/>
      <c r="BO74" s="864"/>
      <c r="BP74" s="864"/>
      <c r="BQ74" s="864"/>
      <c r="BR74" s="864"/>
      <c r="BS74" s="864"/>
      <c r="BT74" s="945">
        <v>296.57400000000001</v>
      </c>
      <c r="BU74" s="945">
        <v>5.8000000000000003E-2</v>
      </c>
      <c r="BV74" s="945">
        <v>0.28599999999999998</v>
      </c>
      <c r="BW74" s="945">
        <v>0.1</v>
      </c>
      <c r="BX74" s="864"/>
      <c r="BY74" s="864"/>
      <c r="BZ74" s="864"/>
      <c r="CA74" s="864"/>
      <c r="CB74" s="864"/>
      <c r="CC74" s="947"/>
      <c r="CD74" s="864"/>
      <c r="CE74" s="864"/>
      <c r="CF74" s="864"/>
      <c r="CG74" s="864"/>
      <c r="CH74" s="864"/>
      <c r="CI74" s="864"/>
      <c r="CJ74" s="864"/>
      <c r="CK74" s="945">
        <v>37.707999999999998</v>
      </c>
      <c r="CL74" s="945"/>
      <c r="CM74" s="864"/>
      <c r="CN74" s="864"/>
      <c r="CO74" s="864"/>
      <c r="CP74" s="864"/>
      <c r="CQ74" s="864"/>
      <c r="CR74" s="864"/>
      <c r="CS74" s="864"/>
      <c r="CT74" s="864"/>
      <c r="CU74" s="864"/>
      <c r="CV74" s="864"/>
      <c r="CW74" s="864"/>
      <c r="CX74" s="864"/>
      <c r="CY74" s="864"/>
      <c r="CZ74" s="864"/>
      <c r="DA74" s="864"/>
      <c r="DB74" s="864"/>
      <c r="DC74" s="864"/>
      <c r="DD74" s="864"/>
      <c r="DE74" s="864"/>
      <c r="DF74" s="945">
        <v>0.5</v>
      </c>
      <c r="DG74" s="864"/>
      <c r="DH74" s="945">
        <v>3.2</v>
      </c>
      <c r="DI74" s="945">
        <v>0.76300000000000001</v>
      </c>
      <c r="DJ74" s="945">
        <v>0.51300000000000001</v>
      </c>
      <c r="DK74" s="945">
        <v>0.9</v>
      </c>
      <c r="DL74" s="945">
        <v>1.4490000000000001</v>
      </c>
      <c r="DM74" s="945">
        <v>0.13800000000000001</v>
      </c>
      <c r="DN74" s="864"/>
      <c r="DO74" s="864"/>
      <c r="DP74" s="945">
        <v>0.252</v>
      </c>
      <c r="DQ74" s="864"/>
      <c r="DR74" s="864"/>
      <c r="DS74" s="864"/>
      <c r="DT74" s="864"/>
      <c r="DU74" s="864"/>
      <c r="DV74" s="864"/>
      <c r="DW74" s="864"/>
      <c r="DX74" s="864"/>
      <c r="DY74" s="864"/>
      <c r="DZ74" s="864"/>
      <c r="EA74" s="864"/>
      <c r="EB74" s="864"/>
      <c r="EC74" s="864"/>
      <c r="ED74" s="864"/>
      <c r="EE74" s="864"/>
      <c r="EF74" s="945">
        <v>0.2</v>
      </c>
      <c r="EG74" s="945">
        <v>1</v>
      </c>
      <c r="EH74" s="945">
        <v>8.6</v>
      </c>
      <c r="EI74" s="855">
        <v>0.8</v>
      </c>
      <c r="EJ74" s="949">
        <v>0.67</v>
      </c>
      <c r="EK74" s="949">
        <v>4.4000000000000004</v>
      </c>
      <c r="EL74" s="949">
        <v>1.43</v>
      </c>
      <c r="EM74" s="949">
        <v>1.6140000000000001</v>
      </c>
      <c r="EN74" s="949">
        <v>0.9</v>
      </c>
      <c r="EO74" s="949">
        <v>4.4130000000000003</v>
      </c>
      <c r="EP74" s="949">
        <v>0.11</v>
      </c>
      <c r="EQ74" s="949">
        <v>2.464</v>
      </c>
      <c r="ER74" s="949">
        <v>1.7370000000000001</v>
      </c>
      <c r="ES74" s="949">
        <v>0.22500000000000001</v>
      </c>
      <c r="ET74" s="949">
        <v>2.2010000000000001</v>
      </c>
      <c r="EU74" s="864"/>
      <c r="EV74" s="864"/>
      <c r="EW74" s="945">
        <v>42</v>
      </c>
      <c r="EX74" s="864"/>
      <c r="EY74" s="864"/>
      <c r="EZ74" s="864"/>
      <c r="FA74" s="864"/>
      <c r="FB74" s="864"/>
      <c r="FC74" s="864"/>
      <c r="FD74" s="864"/>
      <c r="FE74" s="945">
        <v>52.774000000000001</v>
      </c>
      <c r="FF74" s="864"/>
      <c r="FG74" s="864"/>
      <c r="FH74" s="864"/>
      <c r="FI74" s="864"/>
      <c r="FJ74" s="864"/>
      <c r="FK74" s="943">
        <v>7.12</v>
      </c>
      <c r="FL74" s="945">
        <v>1.0349999999999999</v>
      </c>
      <c r="FM74" s="957">
        <v>3.286</v>
      </c>
      <c r="FN74" s="945"/>
      <c r="FO74" s="945"/>
      <c r="FP74" s="945">
        <v>6.3</v>
      </c>
      <c r="FQ74" s="945">
        <v>1.1870000000000001</v>
      </c>
      <c r="FR74" s="864"/>
      <c r="FS74" s="864"/>
      <c r="FT74" s="864"/>
      <c r="FU74" s="864"/>
      <c r="FV74" s="864"/>
      <c r="FW74" s="864"/>
      <c r="FX74" s="864"/>
      <c r="FY74" s="864"/>
      <c r="FZ74" s="864"/>
      <c r="GA74" s="945">
        <v>4.4130000000000003</v>
      </c>
      <c r="GB74" s="945">
        <v>0.13</v>
      </c>
      <c r="GC74" s="945">
        <v>40</v>
      </c>
      <c r="GD74" s="945">
        <v>2.5750000000000002</v>
      </c>
      <c r="GE74" s="945">
        <v>1.31</v>
      </c>
      <c r="GF74" s="945">
        <v>3.6240000000000001</v>
      </c>
      <c r="GG74" s="945">
        <v>335.15800000000002</v>
      </c>
      <c r="GH74" s="864"/>
      <c r="GI74" s="864"/>
      <c r="GJ74" s="864"/>
      <c r="GK74" s="864"/>
      <c r="GL74" s="864"/>
      <c r="GM74" s="864"/>
      <c r="GN74" s="864"/>
      <c r="GO74" s="950">
        <v>32.155000000000001</v>
      </c>
      <c r="GP74" s="951">
        <v>0.96399999999999997</v>
      </c>
      <c r="GQ74" s="952">
        <v>0.47099999999999997</v>
      </c>
      <c r="GR74" s="864"/>
      <c r="GS74" s="864"/>
      <c r="GT74" s="864"/>
      <c r="GU74" s="864"/>
      <c r="GV74" s="864"/>
      <c r="GW74" s="864"/>
      <c r="GX74" s="864"/>
      <c r="GY74" s="864"/>
      <c r="GZ74" s="864"/>
      <c r="HA74" s="864"/>
      <c r="HB74" s="864"/>
      <c r="HC74" s="864"/>
      <c r="HD74" s="864"/>
      <c r="HE74" s="945" t="s">
        <v>3470</v>
      </c>
      <c r="HF74" s="945">
        <v>1.754</v>
      </c>
      <c r="HG74" s="864"/>
      <c r="HH74" s="949">
        <v>7.6989999999999998</v>
      </c>
      <c r="HI74" s="945">
        <v>2.9</v>
      </c>
      <c r="HJ74" s="945">
        <v>0.152</v>
      </c>
      <c r="HK74" s="949">
        <v>0.56000000000000005</v>
      </c>
      <c r="HL74" s="864"/>
      <c r="HM74" s="864"/>
      <c r="HN74" s="864"/>
      <c r="HO74" s="953">
        <v>0.59699999999999998</v>
      </c>
      <c r="HP74" s="945">
        <v>12.6</v>
      </c>
      <c r="HQ74" s="943">
        <v>1.4</v>
      </c>
      <c r="HR74" s="947">
        <v>2.2000000000000002</v>
      </c>
      <c r="HS74" s="943">
        <v>1.1000000000000001</v>
      </c>
      <c r="HT74" s="943">
        <v>8.4</v>
      </c>
      <c r="HU74" s="943">
        <v>2.4</v>
      </c>
      <c r="HV74" s="943">
        <v>0.12</v>
      </c>
      <c r="HW74" s="943">
        <v>0.9</v>
      </c>
      <c r="HX74" s="945">
        <v>0.3</v>
      </c>
      <c r="HY74" s="945">
        <v>0.42699999999999999</v>
      </c>
      <c r="HZ74" s="945">
        <v>0.4</v>
      </c>
      <c r="IA74" s="945">
        <v>8.2249999999999996</v>
      </c>
      <c r="IB74" s="945">
        <v>0.12</v>
      </c>
      <c r="IC74" s="945">
        <v>2</v>
      </c>
      <c r="ID74" s="945">
        <v>0.23499999999999999</v>
      </c>
      <c r="IE74" s="945">
        <v>4.6429999999999998</v>
      </c>
      <c r="IF74" s="943">
        <v>0.8</v>
      </c>
      <c r="IG74" s="947">
        <v>0.4</v>
      </c>
      <c r="IH74" s="945">
        <v>1.2</v>
      </c>
      <c r="II74" s="945">
        <v>2.778</v>
      </c>
      <c r="IJ74" s="947">
        <v>0.59599999999999997</v>
      </c>
      <c r="IK74" s="943">
        <v>1.9</v>
      </c>
      <c r="IL74" s="943">
        <v>600</v>
      </c>
      <c r="IM74" s="945">
        <v>0.442</v>
      </c>
      <c r="IN74" s="945">
        <v>0.34399999999999997</v>
      </c>
      <c r="IO74" s="864"/>
      <c r="IP74" s="864"/>
      <c r="IQ74" s="864"/>
      <c r="IR74" s="947">
        <v>28.401</v>
      </c>
      <c r="IS74" s="945">
        <v>0.108</v>
      </c>
      <c r="IT74" s="854">
        <v>40.536999999999999</v>
      </c>
      <c r="IU74" s="945">
        <v>35.801000000000002</v>
      </c>
      <c r="IV74" s="945">
        <v>380.63200000000001</v>
      </c>
      <c r="IW74" s="946">
        <v>4.66</v>
      </c>
      <c r="IX74" s="949">
        <v>6.09</v>
      </c>
      <c r="IY74" s="945" t="s">
        <v>701</v>
      </c>
      <c r="IZ74" s="945">
        <v>10</v>
      </c>
      <c r="JA74" s="945">
        <v>9.1530000000000005</v>
      </c>
      <c r="JB74" s="945">
        <v>35</v>
      </c>
      <c r="JC74" s="945">
        <v>3</v>
      </c>
      <c r="JD74" s="945">
        <v>18.152999999999999</v>
      </c>
      <c r="JE74" s="945">
        <v>35.993000000000002</v>
      </c>
      <c r="JF74" s="949">
        <v>34.793999999999997</v>
      </c>
      <c r="JG74" s="945">
        <v>1.784</v>
      </c>
      <c r="JH74" s="945">
        <v>1.4</v>
      </c>
      <c r="JI74" s="945" t="s">
        <v>4102</v>
      </c>
      <c r="JJ74" s="945">
        <v>11.071</v>
      </c>
      <c r="JK74" s="945">
        <v>5</v>
      </c>
      <c r="JL74" s="945">
        <v>1</v>
      </c>
      <c r="JM74" s="945">
        <v>3</v>
      </c>
      <c r="JN74" s="945">
        <v>1.875</v>
      </c>
      <c r="JO74" s="945">
        <v>1.7000000000000001E-2</v>
      </c>
      <c r="JP74" s="945">
        <v>2.2210000000000001</v>
      </c>
      <c r="JQ74" s="949">
        <v>2.1080000000000001</v>
      </c>
      <c r="JR74" s="945"/>
      <c r="JS74" s="945">
        <v>0.3</v>
      </c>
      <c r="JT74" s="945">
        <v>2.9289999999999998</v>
      </c>
      <c r="JU74" s="945">
        <v>1.9490000000000001</v>
      </c>
      <c r="JV74" s="945">
        <v>0.3</v>
      </c>
      <c r="JW74" s="945">
        <f>((1440+1492+1440+1481+1040)/5)/1000</f>
        <v>1.3785999999999998</v>
      </c>
      <c r="JX74" s="945"/>
      <c r="JY74" s="945">
        <v>2.6</v>
      </c>
      <c r="JZ74" s="945">
        <v>1.177</v>
      </c>
      <c r="KA74" s="945">
        <v>6</v>
      </c>
      <c r="KB74" s="945">
        <v>10</v>
      </c>
      <c r="KC74" s="945">
        <v>0.96699999999999997</v>
      </c>
      <c r="KD74" s="945">
        <v>0.878</v>
      </c>
      <c r="KE74" s="947">
        <v>0.39800000000000002</v>
      </c>
      <c r="KF74" s="947">
        <v>1.742</v>
      </c>
      <c r="KG74" s="947">
        <v>1.5269999999999999</v>
      </c>
      <c r="KH74" s="947">
        <v>1.2929999999999999</v>
      </c>
      <c r="KI74" s="947">
        <v>1.502</v>
      </c>
      <c r="KJ74" s="947">
        <v>1.341</v>
      </c>
      <c r="KK74" s="947">
        <v>1.3740000000000001</v>
      </c>
      <c r="KL74" s="945">
        <v>8.3483999999999998</v>
      </c>
      <c r="KM74" s="864"/>
      <c r="KN74" s="864"/>
      <c r="KO74" s="864"/>
      <c r="KP74" s="864"/>
      <c r="KQ74" s="864"/>
      <c r="KR74" s="945">
        <v>2.1720000000000002</v>
      </c>
      <c r="KS74" s="864"/>
      <c r="KT74" s="957">
        <v>5</v>
      </c>
      <c r="KU74" s="864"/>
      <c r="KV74" s="945">
        <v>9.2669999999999995</v>
      </c>
      <c r="KW74" s="945">
        <v>18.800999999999998</v>
      </c>
      <c r="KX74" s="945">
        <v>2.09</v>
      </c>
      <c r="KY74" s="858">
        <v>121.3</v>
      </c>
      <c r="KZ74" s="945">
        <v>31.5</v>
      </c>
      <c r="LA74" s="945">
        <v>28.632999999999999</v>
      </c>
      <c r="LB74" s="945">
        <v>45.198</v>
      </c>
      <c r="LC74" s="945">
        <v>45.198</v>
      </c>
      <c r="LD74" s="945">
        <v>0.877</v>
      </c>
      <c r="LE74" s="945">
        <v>0.88600000000000001</v>
      </c>
      <c r="LF74" s="949">
        <v>5.98</v>
      </c>
      <c r="LG74" s="949">
        <v>0.32900000000000001</v>
      </c>
      <c r="LH74" s="949">
        <v>1.681</v>
      </c>
      <c r="LI74" s="949">
        <v>0.499</v>
      </c>
      <c r="LJ74" s="949">
        <v>4.258</v>
      </c>
      <c r="LK74" s="949">
        <v>1.343</v>
      </c>
      <c r="LL74" s="949">
        <v>0.47</v>
      </c>
      <c r="LM74" s="949">
        <v>0.76100000000000001</v>
      </c>
      <c r="LN74" s="949">
        <v>3.4279999999999999</v>
      </c>
      <c r="LO74" s="995">
        <v>0.5</v>
      </c>
      <c r="LP74" s="949">
        <v>3.9039999999999999</v>
      </c>
      <c r="LQ74" s="949">
        <v>11.86</v>
      </c>
      <c r="LR74" s="949">
        <v>51.686</v>
      </c>
      <c r="LS74" s="949">
        <v>9.9969999999999999</v>
      </c>
      <c r="LT74" s="949">
        <v>2.0539999999999998</v>
      </c>
      <c r="LU74" s="949">
        <v>4.109</v>
      </c>
      <c r="LV74" s="949">
        <v>2.4</v>
      </c>
      <c r="LW74" s="949">
        <v>0.3</v>
      </c>
      <c r="LX74" s="949">
        <v>0.92200000000000004</v>
      </c>
      <c r="LY74" s="949">
        <v>0.77500000000000002</v>
      </c>
    </row>
    <row r="75" spans="1:337" ht="281.45" customHeight="1" x14ac:dyDescent="0.25">
      <c r="A75" s="1584"/>
      <c r="B75" s="1590"/>
      <c r="C75" s="1611" t="s">
        <v>133</v>
      </c>
      <c r="D75" s="1612" t="s">
        <v>153</v>
      </c>
      <c r="E75" s="840" t="s">
        <v>48</v>
      </c>
      <c r="F75" s="863"/>
      <c r="G75" s="863"/>
      <c r="H75" s="864"/>
      <c r="I75" s="864"/>
      <c r="J75" s="864"/>
      <c r="K75" s="864"/>
      <c r="L75" s="864"/>
      <c r="M75" s="864"/>
      <c r="N75" s="852" t="s">
        <v>2649</v>
      </c>
      <c r="O75" s="864"/>
      <c r="P75" s="864"/>
      <c r="Q75" s="864"/>
      <c r="R75" s="864"/>
      <c r="S75" s="864"/>
      <c r="T75" s="864"/>
      <c r="U75" s="864"/>
      <c r="V75" s="855" t="s">
        <v>2672</v>
      </c>
      <c r="W75" s="855" t="s">
        <v>2689</v>
      </c>
      <c r="X75" s="856" t="s">
        <v>2689</v>
      </c>
      <c r="Y75" s="855" t="s">
        <v>2689</v>
      </c>
      <c r="Z75" s="855"/>
      <c r="AA75" s="864"/>
      <c r="AB75" s="864"/>
      <c r="AC75" s="864"/>
      <c r="AD75" s="864"/>
      <c r="AE75" s="864"/>
      <c r="AF75" s="864"/>
      <c r="AG75" s="864"/>
      <c r="AH75" s="864"/>
      <c r="AI75" s="864"/>
      <c r="AJ75" s="864"/>
      <c r="AK75" s="864"/>
      <c r="AL75" s="864"/>
      <c r="AM75" s="864"/>
      <c r="AN75" s="864"/>
      <c r="AO75" s="864"/>
      <c r="AP75" s="864"/>
      <c r="AQ75" s="864"/>
      <c r="AR75" s="864"/>
      <c r="AS75" s="864"/>
      <c r="AT75" s="864"/>
      <c r="AU75" s="864"/>
      <c r="AV75" s="855" t="s">
        <v>2733</v>
      </c>
      <c r="AW75" s="855" t="s">
        <v>2747</v>
      </c>
      <c r="AX75" s="864"/>
      <c r="AY75" s="864"/>
      <c r="AZ75" s="864"/>
      <c r="BA75" s="852" t="s">
        <v>2759</v>
      </c>
      <c r="BB75" s="945" t="s">
        <v>504</v>
      </c>
      <c r="BC75" s="855"/>
      <c r="BD75" s="945" t="s">
        <v>2808</v>
      </c>
      <c r="BE75" s="864"/>
      <c r="BF75" s="864"/>
      <c r="BG75" s="864"/>
      <c r="BH75" s="864"/>
      <c r="BI75" s="864"/>
      <c r="BJ75" s="864"/>
      <c r="BK75" s="864"/>
      <c r="BL75" s="864"/>
      <c r="BM75" s="864"/>
      <c r="BN75" s="864"/>
      <c r="BO75" s="864"/>
      <c r="BP75" s="864"/>
      <c r="BQ75" s="864"/>
      <c r="BR75" s="864"/>
      <c r="BS75" s="864"/>
      <c r="BT75" s="855" t="s">
        <v>2820</v>
      </c>
      <c r="BU75" s="855" t="s">
        <v>2834</v>
      </c>
      <c r="BV75" s="855" t="s">
        <v>2843</v>
      </c>
      <c r="BW75" s="855" t="s">
        <v>2858</v>
      </c>
      <c r="BX75" s="864"/>
      <c r="BY75" s="864"/>
      <c r="BZ75" s="864"/>
      <c r="CA75" s="864"/>
      <c r="CB75" s="864"/>
      <c r="CC75" s="862"/>
      <c r="CD75" s="864"/>
      <c r="CE75" s="864"/>
      <c r="CF75" s="864"/>
      <c r="CG75" s="864"/>
      <c r="CH75" s="864"/>
      <c r="CI75" s="864"/>
      <c r="CJ75" s="864"/>
      <c r="CK75" s="855"/>
      <c r="CL75" s="855"/>
      <c r="CM75" s="864"/>
      <c r="CN75" s="864"/>
      <c r="CO75" s="864"/>
      <c r="CP75" s="864"/>
      <c r="CQ75" s="864"/>
      <c r="CR75" s="864"/>
      <c r="CS75" s="864"/>
      <c r="CT75" s="864"/>
      <c r="CU75" s="864"/>
      <c r="CV75" s="864"/>
      <c r="CW75" s="864"/>
      <c r="CX75" s="864"/>
      <c r="CY75" s="864"/>
      <c r="CZ75" s="864"/>
      <c r="DA75" s="864"/>
      <c r="DB75" s="864"/>
      <c r="DC75" s="864"/>
      <c r="DD75" s="864"/>
      <c r="DE75" s="864"/>
      <c r="DF75" s="855" t="s">
        <v>2911</v>
      </c>
      <c r="DG75" s="864"/>
      <c r="DH75" s="855" t="s">
        <v>2927</v>
      </c>
      <c r="DI75" s="855" t="s">
        <v>2941</v>
      </c>
      <c r="DJ75" s="855" t="s">
        <v>2949</v>
      </c>
      <c r="DK75" s="855" t="s">
        <v>2957</v>
      </c>
      <c r="DL75" s="855" t="s">
        <v>2966</v>
      </c>
      <c r="DM75" s="855" t="s">
        <v>2977</v>
      </c>
      <c r="DN75" s="864"/>
      <c r="DO75" s="864"/>
      <c r="DP75" s="855" t="s">
        <v>2986</v>
      </c>
      <c r="DQ75" s="864"/>
      <c r="DR75" s="864"/>
      <c r="DS75" s="864"/>
      <c r="DT75" s="864"/>
      <c r="DU75" s="864"/>
      <c r="DV75" s="864"/>
      <c r="DW75" s="864"/>
      <c r="DX75" s="864"/>
      <c r="DY75" s="864"/>
      <c r="DZ75" s="864"/>
      <c r="EA75" s="864"/>
      <c r="EB75" s="864"/>
      <c r="EC75" s="864"/>
      <c r="ED75" s="864"/>
      <c r="EE75" s="864"/>
      <c r="EF75" s="855" t="s">
        <v>504</v>
      </c>
      <c r="EG75" s="855" t="s">
        <v>3015</v>
      </c>
      <c r="EH75" s="855" t="s">
        <v>3026</v>
      </c>
      <c r="EI75" s="855" t="s">
        <v>3045</v>
      </c>
      <c r="EJ75" s="858"/>
      <c r="EK75" s="858"/>
      <c r="EL75" s="858"/>
      <c r="EM75" s="853" t="s">
        <v>3099</v>
      </c>
      <c r="EN75" s="858" t="s">
        <v>504</v>
      </c>
      <c r="EO75" s="858" t="s">
        <v>504</v>
      </c>
      <c r="EP75" s="858"/>
      <c r="EQ75" s="858" t="s">
        <v>3147</v>
      </c>
      <c r="ER75" s="858" t="s">
        <v>504</v>
      </c>
      <c r="ES75" s="858" t="s">
        <v>3177</v>
      </c>
      <c r="ET75" s="858" t="s">
        <v>3189</v>
      </c>
      <c r="EU75" s="864"/>
      <c r="EV75" s="864"/>
      <c r="EW75" s="855" t="s">
        <v>3208</v>
      </c>
      <c r="EX75" s="864"/>
      <c r="EY75" s="864"/>
      <c r="EZ75" s="864"/>
      <c r="FA75" s="864"/>
      <c r="FB75" s="864"/>
      <c r="FC75" s="864"/>
      <c r="FD75" s="864"/>
      <c r="FE75" s="855" t="s">
        <v>3220</v>
      </c>
      <c r="FF75" s="864"/>
      <c r="FG75" s="864"/>
      <c r="FH75" s="864"/>
      <c r="FI75" s="864"/>
      <c r="FJ75" s="864"/>
      <c r="FK75" s="852" t="s">
        <v>3231</v>
      </c>
      <c r="FL75" s="855" t="s">
        <v>3253</v>
      </c>
      <c r="FM75" s="855" t="s">
        <v>3272</v>
      </c>
      <c r="FN75" s="855"/>
      <c r="FO75" s="855"/>
      <c r="FP75" s="855" t="s">
        <v>3310</v>
      </c>
      <c r="FQ75" s="855" t="s">
        <v>3323</v>
      </c>
      <c r="FR75" s="864"/>
      <c r="FS75" s="864"/>
      <c r="FT75" s="864"/>
      <c r="FU75" s="864"/>
      <c r="FV75" s="864"/>
      <c r="FW75" s="864"/>
      <c r="FX75" s="864"/>
      <c r="FY75" s="864"/>
      <c r="FZ75" s="864"/>
      <c r="GA75" s="855"/>
      <c r="GB75" s="855" t="s">
        <v>3351</v>
      </c>
      <c r="GC75" s="855" t="s">
        <v>504</v>
      </c>
      <c r="GD75" s="869" t="s">
        <v>3381</v>
      </c>
      <c r="GE75" s="855" t="s">
        <v>3396</v>
      </c>
      <c r="GF75" s="855" t="s">
        <v>3403</v>
      </c>
      <c r="GG75" s="855" t="s">
        <v>3414</v>
      </c>
      <c r="GH75" s="864"/>
      <c r="GI75" s="864"/>
      <c r="GJ75" s="864"/>
      <c r="GK75" s="864"/>
      <c r="GL75" s="864"/>
      <c r="GM75" s="864"/>
      <c r="GN75" s="864"/>
      <c r="GO75" s="859" t="s">
        <v>3429</v>
      </c>
      <c r="GP75" s="866" t="s">
        <v>3445</v>
      </c>
      <c r="GQ75" s="860" t="s">
        <v>3457</v>
      </c>
      <c r="GR75" s="864"/>
      <c r="GS75" s="864"/>
      <c r="GT75" s="864"/>
      <c r="GU75" s="864"/>
      <c r="GV75" s="864"/>
      <c r="GW75" s="864"/>
      <c r="GX75" s="864"/>
      <c r="GY75" s="864"/>
      <c r="GZ75" s="864"/>
      <c r="HA75" s="864"/>
      <c r="HB75" s="864"/>
      <c r="HC75" s="864"/>
      <c r="HD75" s="864"/>
      <c r="HE75" s="855" t="s">
        <v>3471</v>
      </c>
      <c r="HF75" s="852" t="s">
        <v>3487</v>
      </c>
      <c r="HG75" s="864"/>
      <c r="HH75" s="853" t="s">
        <v>3497</v>
      </c>
      <c r="HI75" s="852" t="s">
        <v>3516</v>
      </c>
      <c r="HJ75" s="855" t="s">
        <v>3534</v>
      </c>
      <c r="HK75" s="858" t="s">
        <v>3546</v>
      </c>
      <c r="HL75" s="864"/>
      <c r="HM75" s="864"/>
      <c r="HN75" s="864"/>
      <c r="HO75" s="861" t="s">
        <v>3554</v>
      </c>
      <c r="HP75" s="855"/>
      <c r="HQ75" s="855"/>
      <c r="HR75" s="862"/>
      <c r="HS75" s="855"/>
      <c r="HT75" s="855"/>
      <c r="HU75" s="855"/>
      <c r="HV75" s="1000"/>
      <c r="HW75" s="855"/>
      <c r="HX75" s="855"/>
      <c r="HY75" s="855"/>
      <c r="HZ75" s="855"/>
      <c r="IA75" s="852"/>
      <c r="IB75" s="855"/>
      <c r="IC75" s="855"/>
      <c r="ID75" s="856" t="s">
        <v>3697</v>
      </c>
      <c r="IE75" s="852" t="s">
        <v>3708</v>
      </c>
      <c r="IF75" s="855"/>
      <c r="IG75" s="862"/>
      <c r="IH75" s="855"/>
      <c r="II75" s="1016" t="s">
        <v>3750</v>
      </c>
      <c r="IJ75" s="1017" t="s">
        <v>3764</v>
      </c>
      <c r="IK75" s="855"/>
      <c r="IL75" s="855" t="s">
        <v>504</v>
      </c>
      <c r="IM75" s="855"/>
      <c r="IN75" s="855"/>
      <c r="IO75" s="864"/>
      <c r="IP75" s="864"/>
      <c r="IQ75" s="864"/>
      <c r="IR75" s="862" t="s">
        <v>504</v>
      </c>
      <c r="IS75" s="855" t="s">
        <v>3834</v>
      </c>
      <c r="IT75" s="855"/>
      <c r="IU75" s="855" t="s">
        <v>3873</v>
      </c>
      <c r="IV75" s="855" t="s">
        <v>3892</v>
      </c>
      <c r="IW75" s="855"/>
      <c r="IX75" s="858" t="s">
        <v>3930</v>
      </c>
      <c r="IY75" s="855" t="s">
        <v>702</v>
      </c>
      <c r="IZ75" s="855"/>
      <c r="JA75" s="855"/>
      <c r="JB75" s="855" t="s">
        <v>465</v>
      </c>
      <c r="JC75" s="855" t="s">
        <v>504</v>
      </c>
      <c r="JD75" s="855" t="s">
        <v>4014</v>
      </c>
      <c r="JE75" s="855" t="s">
        <v>4031</v>
      </c>
      <c r="JF75" s="855" t="s">
        <v>4053</v>
      </c>
      <c r="JG75" s="855" t="s">
        <v>4069</v>
      </c>
      <c r="JH75" s="855"/>
      <c r="JI75" s="855" t="s">
        <v>4103</v>
      </c>
      <c r="JJ75" s="855" t="s">
        <v>4125</v>
      </c>
      <c r="JK75" s="855"/>
      <c r="JL75" s="855" t="s">
        <v>4145</v>
      </c>
      <c r="JM75" s="855" t="s">
        <v>4145</v>
      </c>
      <c r="JN75" s="855" t="s">
        <v>4145</v>
      </c>
      <c r="JO75" s="855"/>
      <c r="JP75" s="855"/>
      <c r="JQ75" s="858" t="s">
        <v>4180</v>
      </c>
      <c r="JR75" s="855"/>
      <c r="JS75" s="855" t="s">
        <v>4197</v>
      </c>
      <c r="JT75" s="855" t="s">
        <v>4205</v>
      </c>
      <c r="JU75" s="855"/>
      <c r="JV75" s="855"/>
      <c r="JW75" s="855" t="s">
        <v>4197</v>
      </c>
      <c r="JX75" s="855"/>
      <c r="JY75" s="855" t="s">
        <v>4197</v>
      </c>
      <c r="JZ75" s="980" t="s">
        <v>4197</v>
      </c>
      <c r="KA75" s="855" t="s">
        <v>4197</v>
      </c>
      <c r="KB75" s="855"/>
      <c r="KC75" s="855" t="s">
        <v>4295</v>
      </c>
      <c r="KD75" s="855" t="s">
        <v>4304</v>
      </c>
      <c r="KE75" s="862" t="s">
        <v>504</v>
      </c>
      <c r="KF75" s="862" t="s">
        <v>504</v>
      </c>
      <c r="KG75" s="862" t="s">
        <v>504</v>
      </c>
      <c r="KH75" s="862" t="s">
        <v>504</v>
      </c>
      <c r="KI75" s="862" t="s">
        <v>504</v>
      </c>
      <c r="KJ75" s="862" t="s">
        <v>504</v>
      </c>
      <c r="KK75" s="862" t="s">
        <v>504</v>
      </c>
      <c r="KL75" s="855" t="s">
        <v>4370</v>
      </c>
      <c r="KM75" s="864"/>
      <c r="KN75" s="864"/>
      <c r="KO75" s="864"/>
      <c r="KP75" s="864"/>
      <c r="KQ75" s="864"/>
      <c r="KR75" s="855"/>
      <c r="KS75" s="864"/>
      <c r="KT75" s="855" t="s">
        <v>4397</v>
      </c>
      <c r="KU75" s="864"/>
      <c r="KV75" s="855" t="s">
        <v>4417</v>
      </c>
      <c r="KW75" s="855"/>
      <c r="KX75" s="855" t="s">
        <v>4462</v>
      </c>
      <c r="KY75" s="858"/>
      <c r="KZ75" s="855" t="s">
        <v>4501</v>
      </c>
      <c r="LA75" s="855" t="s">
        <v>4527</v>
      </c>
      <c r="LB75" s="855" t="s">
        <v>4545</v>
      </c>
      <c r="LC75" s="855" t="s">
        <v>4545</v>
      </c>
      <c r="LD75" s="855"/>
      <c r="LE75" s="855"/>
      <c r="LF75" s="858"/>
      <c r="LG75" s="858" t="s">
        <v>4601</v>
      </c>
      <c r="LH75" s="858" t="s">
        <v>4613</v>
      </c>
      <c r="LI75" s="858" t="s">
        <v>4601</v>
      </c>
      <c r="LJ75" s="858" t="s">
        <v>4634</v>
      </c>
      <c r="LK75" s="858" t="s">
        <v>4601</v>
      </c>
      <c r="LL75" s="858" t="s">
        <v>4601</v>
      </c>
      <c r="LM75" s="858" t="s">
        <v>4662</v>
      </c>
      <c r="LN75" s="858" t="s">
        <v>504</v>
      </c>
      <c r="LO75" s="858" t="s">
        <v>504</v>
      </c>
      <c r="LP75" s="858" t="s">
        <v>4697</v>
      </c>
      <c r="LQ75" s="853" t="s">
        <v>4718</v>
      </c>
      <c r="LR75" s="858" t="s">
        <v>4738</v>
      </c>
      <c r="LS75" s="858" t="s">
        <v>4752</v>
      </c>
      <c r="LT75" s="858" t="s">
        <v>4752</v>
      </c>
      <c r="LU75" s="858" t="s">
        <v>4752</v>
      </c>
      <c r="LV75" s="858" t="s">
        <v>4752</v>
      </c>
      <c r="LW75" s="858" t="s">
        <v>4800</v>
      </c>
      <c r="LX75" s="858" t="s">
        <v>4752</v>
      </c>
      <c r="LY75" s="858" t="s">
        <v>4817</v>
      </c>
    </row>
    <row r="76" spans="1:337" ht="126" x14ac:dyDescent="0.25">
      <c r="A76" s="1584"/>
      <c r="B76" s="1590"/>
      <c r="C76" s="1611"/>
      <c r="D76" s="1612"/>
      <c r="E76" s="840" t="s">
        <v>50</v>
      </c>
      <c r="F76" s="863"/>
      <c r="G76" s="863"/>
      <c r="H76" s="864"/>
      <c r="I76" s="864"/>
      <c r="J76" s="864"/>
      <c r="K76" s="864"/>
      <c r="L76" s="864"/>
      <c r="M76" s="864"/>
      <c r="N76" s="852"/>
      <c r="O76" s="864"/>
      <c r="P76" s="864"/>
      <c r="Q76" s="864"/>
      <c r="R76" s="864"/>
      <c r="S76" s="864"/>
      <c r="T76" s="864"/>
      <c r="U76" s="864"/>
      <c r="V76" s="855"/>
      <c r="W76" s="855"/>
      <c r="X76" s="855"/>
      <c r="Y76" s="855"/>
      <c r="Z76" s="855"/>
      <c r="AA76" s="864"/>
      <c r="AB76" s="864"/>
      <c r="AC76" s="864"/>
      <c r="AD76" s="864"/>
      <c r="AE76" s="864"/>
      <c r="AF76" s="864"/>
      <c r="AG76" s="864"/>
      <c r="AH76" s="864"/>
      <c r="AI76" s="864"/>
      <c r="AJ76" s="864"/>
      <c r="AK76" s="864"/>
      <c r="AL76" s="864"/>
      <c r="AM76" s="864"/>
      <c r="AN76" s="864"/>
      <c r="AO76" s="864"/>
      <c r="AP76" s="864"/>
      <c r="AQ76" s="864"/>
      <c r="AR76" s="864"/>
      <c r="AS76" s="864"/>
      <c r="AT76" s="864"/>
      <c r="AU76" s="864"/>
      <c r="AV76" s="855"/>
      <c r="AW76" s="855"/>
      <c r="AX76" s="864"/>
      <c r="AY76" s="864"/>
      <c r="AZ76" s="864"/>
      <c r="BA76" s="852"/>
      <c r="BB76" s="855"/>
      <c r="BC76" s="855"/>
      <c r="BD76" s="855"/>
      <c r="BE76" s="864"/>
      <c r="BF76" s="864"/>
      <c r="BG76" s="864"/>
      <c r="BH76" s="864"/>
      <c r="BI76" s="864"/>
      <c r="BJ76" s="864"/>
      <c r="BK76" s="864"/>
      <c r="BL76" s="864"/>
      <c r="BM76" s="864"/>
      <c r="BN76" s="864"/>
      <c r="BO76" s="864"/>
      <c r="BP76" s="864"/>
      <c r="BQ76" s="864"/>
      <c r="BR76" s="864"/>
      <c r="BS76" s="864"/>
      <c r="BT76" s="855"/>
      <c r="BU76" s="958"/>
      <c r="BV76" s="855"/>
      <c r="BW76" s="855"/>
      <c r="BX76" s="864"/>
      <c r="BY76" s="864"/>
      <c r="BZ76" s="864"/>
      <c r="CA76" s="864"/>
      <c r="CB76" s="864"/>
      <c r="CC76" s="862"/>
      <c r="CD76" s="864"/>
      <c r="CE76" s="864"/>
      <c r="CF76" s="864"/>
      <c r="CG76" s="864"/>
      <c r="CH76" s="864"/>
      <c r="CI76" s="864"/>
      <c r="CJ76" s="864"/>
      <c r="CK76" s="855"/>
      <c r="CL76" s="855"/>
      <c r="CM76" s="864"/>
      <c r="CN76" s="864"/>
      <c r="CO76" s="864"/>
      <c r="CP76" s="864"/>
      <c r="CQ76" s="864"/>
      <c r="CR76" s="864"/>
      <c r="CS76" s="864"/>
      <c r="CT76" s="864"/>
      <c r="CU76" s="864"/>
      <c r="CV76" s="864"/>
      <c r="CW76" s="864"/>
      <c r="CX76" s="864"/>
      <c r="CY76" s="864"/>
      <c r="CZ76" s="864"/>
      <c r="DA76" s="864"/>
      <c r="DB76" s="864"/>
      <c r="DC76" s="864"/>
      <c r="DD76" s="864"/>
      <c r="DE76" s="864"/>
      <c r="DF76" s="855"/>
      <c r="DG76" s="864"/>
      <c r="DH76" s="855"/>
      <c r="DI76" s="855"/>
      <c r="DJ76" s="855"/>
      <c r="DK76" s="855"/>
      <c r="DL76" s="855"/>
      <c r="DM76" s="855"/>
      <c r="DN76" s="864"/>
      <c r="DO76" s="864"/>
      <c r="DP76" s="855"/>
      <c r="DQ76" s="864"/>
      <c r="DR76" s="864"/>
      <c r="DS76" s="864"/>
      <c r="DT76" s="864"/>
      <c r="DU76" s="864"/>
      <c r="DV76" s="864"/>
      <c r="DW76" s="864"/>
      <c r="DX76" s="864"/>
      <c r="DY76" s="864"/>
      <c r="DZ76" s="864"/>
      <c r="EA76" s="864"/>
      <c r="EB76" s="864"/>
      <c r="EC76" s="864"/>
      <c r="ED76" s="864"/>
      <c r="EE76" s="864"/>
      <c r="EF76" s="855"/>
      <c r="EG76" s="855"/>
      <c r="EH76" s="855"/>
      <c r="EI76" s="855" t="s">
        <v>504</v>
      </c>
      <c r="EJ76" s="858"/>
      <c r="EK76" s="858"/>
      <c r="EL76" s="858"/>
      <c r="EM76" s="853"/>
      <c r="EN76" s="858" t="s">
        <v>504</v>
      </c>
      <c r="EO76" s="858"/>
      <c r="EP76" s="858"/>
      <c r="EQ76" s="918" t="s">
        <v>3143</v>
      </c>
      <c r="ER76" s="858"/>
      <c r="ES76" s="858"/>
      <c r="ET76" s="858" t="s">
        <v>3190</v>
      </c>
      <c r="EU76" s="864"/>
      <c r="EV76" s="864"/>
      <c r="EW76" s="855"/>
      <c r="EX76" s="864"/>
      <c r="EY76" s="864"/>
      <c r="EZ76" s="864"/>
      <c r="FA76" s="864"/>
      <c r="FB76" s="864"/>
      <c r="FC76" s="864"/>
      <c r="FD76" s="864"/>
      <c r="FE76" s="907"/>
      <c r="FF76" s="864"/>
      <c r="FG76" s="864"/>
      <c r="FH76" s="864"/>
      <c r="FI76" s="864"/>
      <c r="FJ76" s="864"/>
      <c r="FK76" s="852"/>
      <c r="FL76" s="855"/>
      <c r="FM76" s="907" t="s">
        <v>3273</v>
      </c>
      <c r="FN76" s="855"/>
      <c r="FO76" s="855"/>
      <c r="FP76" s="855"/>
      <c r="FQ76" s="855"/>
      <c r="FR76" s="864"/>
      <c r="FS76" s="864"/>
      <c r="FT76" s="864"/>
      <c r="FU76" s="864"/>
      <c r="FV76" s="864"/>
      <c r="FW76" s="864"/>
      <c r="FX76" s="864"/>
      <c r="FY76" s="864"/>
      <c r="FZ76" s="864"/>
      <c r="GA76" s="855"/>
      <c r="GB76" s="855" t="s">
        <v>465</v>
      </c>
      <c r="GC76" s="855" t="s">
        <v>504</v>
      </c>
      <c r="GD76" s="910" t="s">
        <v>3382</v>
      </c>
      <c r="GE76" s="855"/>
      <c r="GF76" s="855"/>
      <c r="GG76" s="910"/>
      <c r="GH76" s="864"/>
      <c r="GI76" s="864"/>
      <c r="GJ76" s="864"/>
      <c r="GK76" s="864"/>
      <c r="GL76" s="864"/>
      <c r="GM76" s="864"/>
      <c r="GN76" s="864"/>
      <c r="GO76" s="859"/>
      <c r="GP76" s="922" t="s">
        <v>3446</v>
      </c>
      <c r="GQ76" s="867"/>
      <c r="GR76" s="864"/>
      <c r="GS76" s="864"/>
      <c r="GT76" s="864"/>
      <c r="GU76" s="864"/>
      <c r="GV76" s="864"/>
      <c r="GW76" s="864"/>
      <c r="GX76" s="864"/>
      <c r="GY76" s="864"/>
      <c r="GZ76" s="864"/>
      <c r="HA76" s="864"/>
      <c r="HB76" s="864"/>
      <c r="HC76" s="864"/>
      <c r="HD76" s="864"/>
      <c r="HE76" s="855"/>
      <c r="HF76" s="855"/>
      <c r="HG76" s="864"/>
      <c r="HH76" s="916" t="s">
        <v>3498</v>
      </c>
      <c r="HI76" s="855"/>
      <c r="HJ76" s="855"/>
      <c r="HK76" s="858" t="s">
        <v>504</v>
      </c>
      <c r="HL76" s="864"/>
      <c r="HM76" s="864"/>
      <c r="HN76" s="864"/>
      <c r="HO76" s="1004"/>
      <c r="HP76" s="855"/>
      <c r="HQ76" s="855"/>
      <c r="HR76" s="862"/>
      <c r="HS76" s="855"/>
      <c r="HT76" s="855"/>
      <c r="HU76" s="855"/>
      <c r="HV76" s="1000"/>
      <c r="HW76" s="855"/>
      <c r="HX76" s="855"/>
      <c r="HY76" s="855"/>
      <c r="HZ76" s="907" t="s">
        <v>3650</v>
      </c>
      <c r="IA76" s="855"/>
      <c r="IB76" s="855"/>
      <c r="IC76" s="855"/>
      <c r="ID76" s="855" t="s">
        <v>504</v>
      </c>
      <c r="IE76" s="852" t="s">
        <v>504</v>
      </c>
      <c r="IF76" s="855"/>
      <c r="IG76" s="862"/>
      <c r="IH76" s="855"/>
      <c r="II76" s="855"/>
      <c r="IJ76" s="862" t="s">
        <v>465</v>
      </c>
      <c r="IK76" s="855"/>
      <c r="IL76" s="855"/>
      <c r="IM76" s="855"/>
      <c r="IN76" s="855"/>
      <c r="IO76" s="864"/>
      <c r="IP76" s="864"/>
      <c r="IQ76" s="864"/>
      <c r="IR76" s="862" t="s">
        <v>504</v>
      </c>
      <c r="IS76" s="855"/>
      <c r="IT76" s="855"/>
      <c r="IU76" s="945" t="s">
        <v>504</v>
      </c>
      <c r="IV76" s="907" t="s">
        <v>3893</v>
      </c>
      <c r="IW76" s="855"/>
      <c r="IX76" s="858" t="s">
        <v>504</v>
      </c>
      <c r="IY76" s="855"/>
      <c r="IZ76" s="855"/>
      <c r="JA76" s="855"/>
      <c r="JB76" s="855"/>
      <c r="JC76" s="855"/>
      <c r="JD76" s="855" t="s">
        <v>504</v>
      </c>
      <c r="JE76" s="855"/>
      <c r="JF76" s="858" t="s">
        <v>2008</v>
      </c>
      <c r="JG76" s="855"/>
      <c r="JH76" s="855"/>
      <c r="JI76" s="907" t="s">
        <v>4104</v>
      </c>
      <c r="JJ76" s="855"/>
      <c r="JK76" s="855"/>
      <c r="JL76" s="855"/>
      <c r="JM76" s="907"/>
      <c r="JN76" s="855"/>
      <c r="JO76" s="855"/>
      <c r="JP76" s="855"/>
      <c r="JQ76" s="858"/>
      <c r="JR76" s="855"/>
      <c r="JS76" s="855"/>
      <c r="JT76" s="855" t="s">
        <v>4206</v>
      </c>
      <c r="JU76" s="855"/>
      <c r="JV76" s="855"/>
      <c r="JW76" s="855"/>
      <c r="JX76" s="855"/>
      <c r="JY76" s="855"/>
      <c r="JZ76" s="855"/>
      <c r="KA76" s="855"/>
      <c r="KB76" s="855"/>
      <c r="KC76" s="855"/>
      <c r="KD76" s="855" t="s">
        <v>504</v>
      </c>
      <c r="KE76" s="862" t="s">
        <v>504</v>
      </c>
      <c r="KF76" s="862" t="s">
        <v>504</v>
      </c>
      <c r="KG76" s="862" t="s">
        <v>504</v>
      </c>
      <c r="KH76" s="862" t="s">
        <v>504</v>
      </c>
      <c r="KI76" s="862" t="s">
        <v>504</v>
      </c>
      <c r="KJ76" s="862" t="s">
        <v>504</v>
      </c>
      <c r="KK76" s="862" t="s">
        <v>504</v>
      </c>
      <c r="KL76" s="855" t="s">
        <v>504</v>
      </c>
      <c r="KM76" s="864"/>
      <c r="KN76" s="864"/>
      <c r="KO76" s="864"/>
      <c r="KP76" s="864"/>
      <c r="KQ76" s="864"/>
      <c r="KR76" s="855"/>
      <c r="KS76" s="864"/>
      <c r="KT76" s="855"/>
      <c r="KU76" s="864"/>
      <c r="KV76" s="855"/>
      <c r="KW76" s="855"/>
      <c r="KX76" s="855"/>
      <c r="KY76" s="858"/>
      <c r="KZ76" s="855"/>
      <c r="LA76" s="855"/>
      <c r="LB76" s="936" t="s">
        <v>4546</v>
      </c>
      <c r="LC76" s="936" t="s">
        <v>4546</v>
      </c>
      <c r="LD76" s="855"/>
      <c r="LE76" s="855"/>
      <c r="LF76" s="858"/>
      <c r="LG76" s="858"/>
      <c r="LH76" s="858"/>
      <c r="LI76" s="858"/>
      <c r="LJ76" s="858"/>
      <c r="LK76" s="858"/>
      <c r="LL76" s="858"/>
      <c r="LM76" s="858"/>
      <c r="LN76" s="858"/>
      <c r="LO76" s="858"/>
      <c r="LP76" s="858" t="s">
        <v>4698</v>
      </c>
      <c r="LQ76" s="858"/>
      <c r="LR76" s="858"/>
      <c r="LS76" s="858"/>
      <c r="LT76" s="858"/>
      <c r="LU76" s="858"/>
      <c r="LV76" s="858"/>
      <c r="LW76" s="858"/>
      <c r="LX76" s="858"/>
      <c r="LY76" s="858"/>
    </row>
    <row r="77" spans="1:337" ht="29.25" customHeight="1" x14ac:dyDescent="0.25">
      <c r="A77" s="1584"/>
      <c r="B77" s="1590"/>
      <c r="C77" s="353" t="s">
        <v>134</v>
      </c>
      <c r="D77" s="354" t="s">
        <v>5365</v>
      </c>
      <c r="E77" s="840" t="s">
        <v>52</v>
      </c>
      <c r="F77" s="863"/>
      <c r="G77" s="863"/>
      <c r="H77" s="864"/>
      <c r="I77" s="864"/>
      <c r="J77" s="864"/>
      <c r="K77" s="864"/>
      <c r="L77" s="864"/>
      <c r="M77" s="864"/>
      <c r="N77" s="852">
        <v>100</v>
      </c>
      <c r="O77" s="864" t="s">
        <v>5366</v>
      </c>
      <c r="P77" s="864"/>
      <c r="Q77" s="864"/>
      <c r="R77" s="864"/>
      <c r="S77" s="864"/>
      <c r="T77" s="864"/>
      <c r="U77" s="864"/>
      <c r="V77" s="958">
        <v>0.12959999999999999</v>
      </c>
      <c r="W77" s="958">
        <v>4.0500000000000001E-2</v>
      </c>
      <c r="X77" s="958">
        <v>0.31929999999999997</v>
      </c>
      <c r="Y77" s="958">
        <v>3.5999999999999999E-3</v>
      </c>
      <c r="Z77" s="855">
        <v>43.64</v>
      </c>
      <c r="AA77" s="864"/>
      <c r="AB77" s="864"/>
      <c r="AC77" s="864"/>
      <c r="AD77" s="864"/>
      <c r="AE77" s="864"/>
      <c r="AF77" s="864"/>
      <c r="AG77" s="864"/>
      <c r="AH77" s="864"/>
      <c r="AI77" s="864"/>
      <c r="AJ77" s="864"/>
      <c r="AK77" s="864"/>
      <c r="AL77" s="864"/>
      <c r="AM77" s="864"/>
      <c r="AN77" s="864"/>
      <c r="AO77" s="864"/>
      <c r="AP77" s="864"/>
      <c r="AQ77" s="864"/>
      <c r="AR77" s="864"/>
      <c r="AS77" s="864"/>
      <c r="AT77" s="864"/>
      <c r="AU77" s="864"/>
      <c r="AV77" s="855">
        <v>3.3</v>
      </c>
      <c r="AW77" s="958">
        <f>AW78/AW74</f>
        <v>1</v>
      </c>
      <c r="AX77" s="864"/>
      <c r="AY77" s="864"/>
      <c r="AZ77" s="864"/>
      <c r="BA77" s="852">
        <v>2.2999999999999998</v>
      </c>
      <c r="BB77" s="855">
        <v>16</v>
      </c>
      <c r="BC77" s="855">
        <v>0.85</v>
      </c>
      <c r="BD77" s="954">
        <v>19.399999999999999</v>
      </c>
      <c r="BE77" s="864"/>
      <c r="BF77" s="864"/>
      <c r="BG77" s="864"/>
      <c r="BH77" s="864"/>
      <c r="BI77" s="864"/>
      <c r="BJ77" s="864"/>
      <c r="BK77" s="864"/>
      <c r="BL77" s="864"/>
      <c r="BM77" s="864"/>
      <c r="BN77" s="864"/>
      <c r="BO77" s="864"/>
      <c r="BP77" s="864"/>
      <c r="BQ77" s="864"/>
      <c r="BR77" s="864"/>
      <c r="BS77" s="864"/>
      <c r="BT77" s="855">
        <v>87.9</v>
      </c>
      <c r="BU77" s="855">
        <v>0.5</v>
      </c>
      <c r="BV77" s="855">
        <v>35</v>
      </c>
      <c r="BW77" s="855">
        <v>0.11</v>
      </c>
      <c r="BX77" s="864"/>
      <c r="BY77" s="864"/>
      <c r="BZ77" s="864"/>
      <c r="CA77" s="864"/>
      <c r="CB77" s="864"/>
      <c r="CC77" s="862"/>
      <c r="CD77" s="864"/>
      <c r="CE77" s="864"/>
      <c r="CF77" s="864"/>
      <c r="CG77" s="864"/>
      <c r="CH77" s="864"/>
      <c r="CI77" s="864"/>
      <c r="CJ77" s="864"/>
      <c r="CK77" s="855"/>
      <c r="CL77" s="855"/>
      <c r="CM77" s="864"/>
      <c r="CN77" s="864"/>
      <c r="CO77" s="864"/>
      <c r="CP77" s="864"/>
      <c r="CQ77" s="864"/>
      <c r="CR77" s="864"/>
      <c r="CS77" s="864"/>
      <c r="CT77" s="864"/>
      <c r="CU77" s="864"/>
      <c r="CV77" s="864"/>
      <c r="CW77" s="864"/>
      <c r="CX77" s="864"/>
      <c r="CY77" s="864"/>
      <c r="CZ77" s="864"/>
      <c r="DA77" s="864"/>
      <c r="DB77" s="864"/>
      <c r="DC77" s="864"/>
      <c r="DD77" s="864"/>
      <c r="DE77" s="864"/>
      <c r="DF77" s="855">
        <v>2.76</v>
      </c>
      <c r="DG77" s="864"/>
      <c r="DH77" s="855">
        <v>5.12</v>
      </c>
      <c r="DI77" s="855">
        <v>9.2100000000000009</v>
      </c>
      <c r="DJ77" s="954">
        <f>DJ74/DJ78*100</f>
        <v>8.5929648241206031</v>
      </c>
      <c r="DK77" s="954">
        <f>DK74/DK78*100</f>
        <v>4.4499381953028427</v>
      </c>
      <c r="DL77" s="954">
        <f>DL74/DL78*100</f>
        <v>7.2946033024567054</v>
      </c>
      <c r="DM77" s="954">
        <f>DM74/DM78*100</f>
        <v>1.0048055919615555</v>
      </c>
      <c r="DN77" s="864"/>
      <c r="DO77" s="864"/>
      <c r="DP77" s="855">
        <v>3.1</v>
      </c>
      <c r="DQ77" s="864"/>
      <c r="DR77" s="864"/>
      <c r="DS77" s="864"/>
      <c r="DT77" s="864"/>
      <c r="DU77" s="864"/>
      <c r="DV77" s="864"/>
      <c r="DW77" s="864"/>
      <c r="DX77" s="864"/>
      <c r="DY77" s="864"/>
      <c r="DZ77" s="864"/>
      <c r="EA77" s="864"/>
      <c r="EB77" s="864"/>
      <c r="EC77" s="864"/>
      <c r="ED77" s="864"/>
      <c r="EE77" s="864"/>
      <c r="EF77" s="855">
        <v>0.6</v>
      </c>
      <c r="EG77" s="855" t="s">
        <v>3016</v>
      </c>
      <c r="EH77" s="966">
        <v>0.1</v>
      </c>
      <c r="EI77" s="855">
        <v>0.02</v>
      </c>
      <c r="EJ77" s="858">
        <v>1.7</v>
      </c>
      <c r="EK77" s="858">
        <v>100</v>
      </c>
      <c r="EL77" s="858">
        <v>100</v>
      </c>
      <c r="EM77" s="961">
        <v>0.28100000000000003</v>
      </c>
      <c r="EN77" s="858">
        <v>100</v>
      </c>
      <c r="EO77" s="858">
        <v>67.2</v>
      </c>
      <c r="EP77" s="858">
        <v>73</v>
      </c>
      <c r="EQ77" s="858">
        <v>100</v>
      </c>
      <c r="ER77" s="858">
        <v>24.71</v>
      </c>
      <c r="ES77" s="858">
        <v>4.5</v>
      </c>
      <c r="ET77" s="972">
        <v>0.48</v>
      </c>
      <c r="EU77" s="864"/>
      <c r="EV77" s="864"/>
      <c r="EW77" s="958">
        <v>8.1000000000000003E-2</v>
      </c>
      <c r="EX77" s="864"/>
      <c r="EY77" s="864"/>
      <c r="EZ77" s="864"/>
      <c r="FA77" s="864"/>
      <c r="FB77" s="864"/>
      <c r="FC77" s="864"/>
      <c r="FD77" s="864"/>
      <c r="FE77" s="855">
        <v>73</v>
      </c>
      <c r="FF77" s="864"/>
      <c r="FG77" s="864"/>
      <c r="FH77" s="864"/>
      <c r="FI77" s="864"/>
      <c r="FJ77" s="864"/>
      <c r="FK77" s="1018">
        <v>4.2590000000000003E-2</v>
      </c>
      <c r="FL77" s="1019">
        <v>2.1999999999999999E-2</v>
      </c>
      <c r="FM77" s="855">
        <v>3.6</v>
      </c>
      <c r="FN77" s="855"/>
      <c r="FO77" s="855"/>
      <c r="FP77" s="855">
        <v>5.3</v>
      </c>
      <c r="FQ77" s="855">
        <v>3.9</v>
      </c>
      <c r="FR77" s="864"/>
      <c r="FS77" s="864"/>
      <c r="FT77" s="864"/>
      <c r="FU77" s="864"/>
      <c r="FV77" s="864"/>
      <c r="FW77" s="864"/>
      <c r="FX77" s="864"/>
      <c r="FY77" s="864"/>
      <c r="FZ77" s="864"/>
      <c r="GA77" s="958">
        <f>GA74/GA78</f>
        <v>0.18254395036194415</v>
      </c>
      <c r="GB77" s="855">
        <v>0.24</v>
      </c>
      <c r="GC77" s="958">
        <f>GC74/GC78</f>
        <v>0.27962055490699123</v>
      </c>
      <c r="GD77" s="1020">
        <f>GD74/GD78</f>
        <v>2.9716567419101697E-2</v>
      </c>
      <c r="GE77" s="855">
        <v>4.5999999999999996</v>
      </c>
      <c r="GF77" s="855">
        <v>13</v>
      </c>
      <c r="GG77" s="855">
        <f>GG74/GG78*100</f>
        <v>21.949449688726709</v>
      </c>
      <c r="GH77" s="864"/>
      <c r="GI77" s="864"/>
      <c r="GJ77" s="864"/>
      <c r="GK77" s="864"/>
      <c r="GL77" s="864"/>
      <c r="GM77" s="864"/>
      <c r="GN77" s="864"/>
      <c r="GO77" s="859">
        <v>19.5</v>
      </c>
      <c r="GP77" s="866">
        <v>1.72</v>
      </c>
      <c r="GQ77" s="860" t="s">
        <v>3458</v>
      </c>
      <c r="GR77" s="864"/>
      <c r="GS77" s="864"/>
      <c r="GT77" s="864"/>
      <c r="GU77" s="864"/>
      <c r="GV77" s="864"/>
      <c r="GW77" s="864"/>
      <c r="GX77" s="864"/>
      <c r="GY77" s="864"/>
      <c r="GZ77" s="864"/>
      <c r="HA77" s="864"/>
      <c r="HB77" s="864"/>
      <c r="HC77" s="864"/>
      <c r="HD77" s="864"/>
      <c r="HE77" s="855" t="s">
        <v>3472</v>
      </c>
      <c r="HF77" s="958">
        <f>HF74/HF78</f>
        <v>2.7230105256621232E-2</v>
      </c>
      <c r="HG77" s="864"/>
      <c r="HH77" s="858">
        <v>29.76</v>
      </c>
      <c r="HI77" s="954">
        <f>HI74*100/HI78</f>
        <v>3.6491757896061405</v>
      </c>
      <c r="HJ77" s="855">
        <v>37.6</v>
      </c>
      <c r="HK77" s="858">
        <v>3.76</v>
      </c>
      <c r="HL77" s="864"/>
      <c r="HM77" s="864"/>
      <c r="HN77" s="864"/>
      <c r="HO77" s="861">
        <v>12.55</v>
      </c>
      <c r="HP77" s="855">
        <v>33.4</v>
      </c>
      <c r="HQ77" s="855">
        <v>100</v>
      </c>
      <c r="HR77" s="1021">
        <v>0.3</v>
      </c>
      <c r="HS77" s="855">
        <v>13.1</v>
      </c>
      <c r="HT77" s="855">
        <v>100</v>
      </c>
      <c r="HU77" s="855">
        <v>100</v>
      </c>
      <c r="HV77" s="852">
        <v>1.48</v>
      </c>
      <c r="HW77" s="855">
        <v>100</v>
      </c>
      <c r="HX77" s="958">
        <v>0.38400000000000001</v>
      </c>
      <c r="HY77" s="855">
        <v>100</v>
      </c>
      <c r="HZ77" s="966">
        <v>0.05</v>
      </c>
      <c r="IA77" s="958">
        <v>0.37340000000000001</v>
      </c>
      <c r="IB77" s="954">
        <f>(IB74/IB78)*100</f>
        <v>1.8844221105527637</v>
      </c>
      <c r="IC77" s="855">
        <v>39</v>
      </c>
      <c r="ID77" s="855">
        <v>1</v>
      </c>
      <c r="IE77" s="855">
        <v>42.3</v>
      </c>
      <c r="IF77" s="855">
        <v>100</v>
      </c>
      <c r="IG77" s="970">
        <v>8.4000000000000005E-2</v>
      </c>
      <c r="IH77" s="855">
        <v>3.3</v>
      </c>
      <c r="II77" s="958">
        <v>6.6699999999999995E-2</v>
      </c>
      <c r="IJ77" s="959">
        <v>5.2999999999999999E-2</v>
      </c>
      <c r="IK77" s="855">
        <v>100</v>
      </c>
      <c r="IL77" s="969">
        <v>0.92400000000000004</v>
      </c>
      <c r="IM77" s="855">
        <v>1.1000000000000001</v>
      </c>
      <c r="IN77" s="855">
        <v>1.446</v>
      </c>
      <c r="IO77" s="864"/>
      <c r="IP77" s="864"/>
      <c r="IQ77" s="864"/>
      <c r="IR77" s="862">
        <v>100</v>
      </c>
      <c r="IS77" s="855">
        <v>1.6E-2</v>
      </c>
      <c r="IT77" s="855">
        <v>100</v>
      </c>
      <c r="IU77" s="958">
        <v>0.2848</v>
      </c>
      <c r="IV77" s="855">
        <v>100</v>
      </c>
      <c r="IW77" s="954">
        <f>IW74/IW78</f>
        <v>0.10639269406392696</v>
      </c>
      <c r="IX77" s="858">
        <v>21.7</v>
      </c>
      <c r="IY77" s="855">
        <v>100</v>
      </c>
      <c r="IZ77" s="855"/>
      <c r="JA77" s="855">
        <v>46</v>
      </c>
      <c r="JB77" s="855">
        <v>0.12</v>
      </c>
      <c r="JC77" s="954">
        <v>16.53</v>
      </c>
      <c r="JD77" s="855" t="s">
        <v>4015</v>
      </c>
      <c r="JE77" s="855">
        <f>JE74/JE78</f>
        <v>1</v>
      </c>
      <c r="JF77" s="961">
        <f>JF74/JF78</f>
        <v>0.779016657710908</v>
      </c>
      <c r="JG77" s="855">
        <v>1.4</v>
      </c>
      <c r="JH77" s="855">
        <v>2.6</v>
      </c>
      <c r="JI77" s="855">
        <v>18.600000000000001</v>
      </c>
      <c r="JJ77" s="855">
        <v>16.309999999999999</v>
      </c>
      <c r="JK77" s="855">
        <v>100</v>
      </c>
      <c r="JL77" s="855"/>
      <c r="JM77" s="855"/>
      <c r="JN77" s="855"/>
      <c r="JO77" s="855">
        <v>0.8</v>
      </c>
      <c r="JP77" s="855">
        <v>100</v>
      </c>
      <c r="JQ77" s="858">
        <v>100</v>
      </c>
      <c r="JR77" s="855"/>
      <c r="JS77" s="855">
        <v>10.3</v>
      </c>
      <c r="JT77" s="855">
        <v>100</v>
      </c>
      <c r="JU77" s="855">
        <v>66.599999999999994</v>
      </c>
      <c r="JV77" s="855">
        <v>42</v>
      </c>
      <c r="JW77" s="855">
        <v>95.7</v>
      </c>
      <c r="JX77" s="855"/>
      <c r="JY77" s="855">
        <v>100</v>
      </c>
      <c r="JZ77" s="855">
        <v>40.700000000000003</v>
      </c>
      <c r="KA77" s="958">
        <v>0.54190000000000005</v>
      </c>
      <c r="KB77" s="855">
        <v>30.3</v>
      </c>
      <c r="KC77" s="855">
        <v>100</v>
      </c>
      <c r="KD77" s="855">
        <v>100</v>
      </c>
      <c r="KE77" s="862">
        <v>2.02</v>
      </c>
      <c r="KF77" s="862">
        <v>100</v>
      </c>
      <c r="KG77" s="1021">
        <v>1</v>
      </c>
      <c r="KH77" s="862">
        <v>100</v>
      </c>
      <c r="KI77" s="1021">
        <v>1</v>
      </c>
      <c r="KJ77" s="862">
        <v>100</v>
      </c>
      <c r="KK77" s="862" t="s">
        <v>504</v>
      </c>
      <c r="KL77" s="855">
        <v>2.02</v>
      </c>
      <c r="KM77" s="864"/>
      <c r="KN77" s="864"/>
      <c r="KO77" s="864"/>
      <c r="KP77" s="864"/>
      <c r="KQ77" s="864"/>
      <c r="KR77" s="957">
        <f>KR74/KR78*100</f>
        <v>0.42751108635448387</v>
      </c>
      <c r="KS77" s="864"/>
      <c r="KT77" s="954">
        <v>90.5</v>
      </c>
      <c r="KU77" s="864"/>
      <c r="KV77" s="958">
        <v>0.1804</v>
      </c>
      <c r="KW77" s="966">
        <f>KW74/KW78</f>
        <v>0.71500285225327997</v>
      </c>
      <c r="KX77" s="855">
        <v>1.77</v>
      </c>
      <c r="KY77" s="858">
        <v>113</v>
      </c>
      <c r="KZ77" s="855">
        <v>100</v>
      </c>
      <c r="LA77" s="855">
        <v>100</v>
      </c>
      <c r="LB77" s="855"/>
      <c r="LC77" s="855"/>
      <c r="LD77" s="855">
        <v>100</v>
      </c>
      <c r="LE77" s="855">
        <v>100</v>
      </c>
      <c r="LF77" s="961">
        <v>0.45300000000000001</v>
      </c>
      <c r="LG77" s="858">
        <v>100</v>
      </c>
      <c r="LH77" s="858">
        <v>100</v>
      </c>
      <c r="LI77" s="858">
        <v>100</v>
      </c>
      <c r="LJ77" s="858">
        <v>100</v>
      </c>
      <c r="LK77" s="858">
        <v>100</v>
      </c>
      <c r="LL77" s="858">
        <v>100</v>
      </c>
      <c r="LM77" s="858">
        <v>100</v>
      </c>
      <c r="LN77" s="858">
        <v>22</v>
      </c>
      <c r="LO77" s="858">
        <v>21</v>
      </c>
      <c r="LP77" s="858">
        <v>51.13</v>
      </c>
      <c r="LQ77" s="1022">
        <f>LQ74/LQ78</f>
        <v>0.70435918755196569</v>
      </c>
      <c r="LR77" s="972">
        <f>LR78/LR74</f>
        <v>1</v>
      </c>
      <c r="LS77" s="972">
        <f>LS78/LS74</f>
        <v>1</v>
      </c>
      <c r="LT77" s="972">
        <f>LT78/LT74</f>
        <v>1</v>
      </c>
      <c r="LU77" s="858">
        <v>100</v>
      </c>
      <c r="LV77" s="858">
        <v>100</v>
      </c>
      <c r="LW77" s="961">
        <v>3.1347962382445138E-2</v>
      </c>
      <c r="LX77" s="858">
        <v>100</v>
      </c>
      <c r="LY77" s="858">
        <v>100</v>
      </c>
    </row>
    <row r="78" spans="1:337" ht="29.25" customHeight="1" x14ac:dyDescent="0.25">
      <c r="A78" s="1584"/>
      <c r="B78" s="1590"/>
      <c r="C78" s="1613" t="s">
        <v>221</v>
      </c>
      <c r="D78" s="1614" t="s">
        <v>5367</v>
      </c>
      <c r="E78" s="841" t="s">
        <v>54</v>
      </c>
      <c r="F78" s="863"/>
      <c r="G78" s="863"/>
      <c r="H78" s="864"/>
      <c r="I78" s="864"/>
      <c r="J78" s="864"/>
      <c r="K78" s="864"/>
      <c r="L78" s="864"/>
      <c r="M78" s="864"/>
      <c r="N78" s="852">
        <v>354.1</v>
      </c>
      <c r="O78" s="864"/>
      <c r="P78" s="864"/>
      <c r="Q78" s="864"/>
      <c r="R78" s="864"/>
      <c r="S78" s="864"/>
      <c r="T78" s="864"/>
      <c r="U78" s="864"/>
      <c r="V78" s="945">
        <v>17.753</v>
      </c>
      <c r="W78" s="945">
        <v>48.518999999999998</v>
      </c>
      <c r="X78" s="945">
        <v>31.318999999999999</v>
      </c>
      <c r="Y78" s="945">
        <v>27.766999999999999</v>
      </c>
      <c r="Z78" s="945">
        <v>17.3</v>
      </c>
      <c r="AA78" s="864"/>
      <c r="AB78" s="864"/>
      <c r="AC78" s="864"/>
      <c r="AD78" s="864"/>
      <c r="AE78" s="864"/>
      <c r="AF78" s="864"/>
      <c r="AG78" s="864"/>
      <c r="AH78" s="864"/>
      <c r="AI78" s="864"/>
      <c r="AJ78" s="864"/>
      <c r="AK78" s="864"/>
      <c r="AL78" s="864"/>
      <c r="AM78" s="864"/>
      <c r="AN78" s="864"/>
      <c r="AO78" s="864"/>
      <c r="AP78" s="864"/>
      <c r="AQ78" s="864"/>
      <c r="AR78" s="864"/>
      <c r="AS78" s="864"/>
      <c r="AT78" s="864"/>
      <c r="AU78" s="864"/>
      <c r="AV78" s="945">
        <v>29.158000000000001</v>
      </c>
      <c r="AW78" s="945">
        <v>489.35899999999998</v>
      </c>
      <c r="AX78" s="864"/>
      <c r="AY78" s="864"/>
      <c r="AZ78" s="864"/>
      <c r="BA78" s="852">
        <v>347.90499999999997</v>
      </c>
      <c r="BB78" s="980">
        <v>26</v>
      </c>
      <c r="BC78" s="945">
        <v>10.337</v>
      </c>
      <c r="BD78" s="855">
        <v>50.171999999999997</v>
      </c>
      <c r="BE78" s="864"/>
      <c r="BF78" s="864"/>
      <c r="BG78" s="864"/>
      <c r="BH78" s="864"/>
      <c r="BI78" s="864"/>
      <c r="BJ78" s="864"/>
      <c r="BK78" s="864"/>
      <c r="BL78" s="864"/>
      <c r="BM78" s="864"/>
      <c r="BN78" s="864"/>
      <c r="BO78" s="864"/>
      <c r="BP78" s="864"/>
      <c r="BQ78" s="864"/>
      <c r="BR78" s="864"/>
      <c r="BS78" s="864"/>
      <c r="BT78" s="945">
        <v>338.54300000000001</v>
      </c>
      <c r="BU78" s="945">
        <v>10.336</v>
      </c>
      <c r="BV78" s="945">
        <v>0.82599999999999996</v>
      </c>
      <c r="BW78" s="945">
        <v>92.141999999999996</v>
      </c>
      <c r="BX78" s="864"/>
      <c r="BY78" s="864"/>
      <c r="BZ78" s="864"/>
      <c r="CA78" s="864"/>
      <c r="CB78" s="864"/>
      <c r="CC78" s="1023">
        <v>74.652000000000001</v>
      </c>
      <c r="CD78" s="864"/>
      <c r="CE78" s="864"/>
      <c r="CF78" s="864"/>
      <c r="CG78" s="864"/>
      <c r="CH78" s="864"/>
      <c r="CI78" s="864"/>
      <c r="CJ78" s="864"/>
      <c r="CK78" s="945">
        <v>37.707999999999998</v>
      </c>
      <c r="CL78" s="945"/>
      <c r="CM78" s="864"/>
      <c r="CN78" s="864"/>
      <c r="CO78" s="864"/>
      <c r="CP78" s="864"/>
      <c r="CQ78" s="864"/>
      <c r="CR78" s="864"/>
      <c r="CS78" s="864"/>
      <c r="CT78" s="864"/>
      <c r="CU78" s="864"/>
      <c r="CV78" s="864"/>
      <c r="CW78" s="864"/>
      <c r="CX78" s="864"/>
      <c r="CY78" s="864"/>
      <c r="CZ78" s="864"/>
      <c r="DA78" s="864"/>
      <c r="DB78" s="864"/>
      <c r="DC78" s="864"/>
      <c r="DD78" s="864"/>
      <c r="DE78" s="864"/>
      <c r="DF78" s="945">
        <v>18.125</v>
      </c>
      <c r="DG78" s="864"/>
      <c r="DH78" s="945">
        <v>62.502000000000002</v>
      </c>
      <c r="DI78" s="945">
        <v>8.2880000000000003</v>
      </c>
      <c r="DJ78" s="945">
        <v>5.97</v>
      </c>
      <c r="DK78" s="945">
        <v>20.225000000000001</v>
      </c>
      <c r="DL78" s="945">
        <v>19.864000000000001</v>
      </c>
      <c r="DM78" s="945">
        <v>13.734</v>
      </c>
      <c r="DN78" s="864"/>
      <c r="DO78" s="864"/>
      <c r="DP78" s="945">
        <v>8</v>
      </c>
      <c r="DQ78" s="864"/>
      <c r="DR78" s="864"/>
      <c r="DS78" s="864"/>
      <c r="DT78" s="864"/>
      <c r="DU78" s="864"/>
      <c r="DV78" s="864"/>
      <c r="DW78" s="864"/>
      <c r="DX78" s="864"/>
      <c r="DY78" s="864"/>
      <c r="DZ78" s="864"/>
      <c r="EA78" s="864"/>
      <c r="EB78" s="864"/>
      <c r="EC78" s="864"/>
      <c r="ED78" s="864"/>
      <c r="EE78" s="864"/>
      <c r="EF78" s="945">
        <v>25.189</v>
      </c>
      <c r="EG78" s="945" t="s">
        <v>3017</v>
      </c>
      <c r="EH78" s="945">
        <v>86.1</v>
      </c>
      <c r="EI78" s="855">
        <v>42.783999999999999</v>
      </c>
      <c r="EJ78" s="949">
        <v>39.465000000000003</v>
      </c>
      <c r="EK78" s="949">
        <v>4.4000000000000004</v>
      </c>
      <c r="EL78" s="949">
        <v>1.43</v>
      </c>
      <c r="EM78" s="949">
        <v>5.7439999999999998</v>
      </c>
      <c r="EN78" s="949">
        <v>11.180999999999999</v>
      </c>
      <c r="EO78" s="949">
        <v>6.5659999999999998</v>
      </c>
      <c r="EP78" s="949">
        <v>1.5</v>
      </c>
      <c r="EQ78" s="949">
        <v>2.464</v>
      </c>
      <c r="ER78" s="949">
        <v>7.0279999999999996</v>
      </c>
      <c r="ES78" s="949">
        <v>3.048</v>
      </c>
      <c r="ET78" s="949">
        <v>4.5860000000000003</v>
      </c>
      <c r="EU78" s="864"/>
      <c r="EV78" s="864"/>
      <c r="EW78" s="945">
        <v>520.29999999999995</v>
      </c>
      <c r="EX78" s="864"/>
      <c r="EY78" s="864"/>
      <c r="EZ78" s="864"/>
      <c r="FA78" s="864"/>
      <c r="FB78" s="864"/>
      <c r="FC78" s="864"/>
      <c r="FD78" s="864"/>
      <c r="FE78" s="945">
        <v>72.260999999999996</v>
      </c>
      <c r="FF78" s="864"/>
      <c r="FG78" s="864"/>
      <c r="FH78" s="864"/>
      <c r="FI78" s="864"/>
      <c r="FJ78" s="864"/>
      <c r="FK78" s="943">
        <v>167.16</v>
      </c>
      <c r="FL78" s="945">
        <v>47.067</v>
      </c>
      <c r="FM78" s="1024"/>
      <c r="FN78" s="945"/>
      <c r="FO78" s="945"/>
      <c r="FP78" s="945">
        <v>119.45099999999999</v>
      </c>
      <c r="FQ78" s="1025">
        <v>30.411000000000001</v>
      </c>
      <c r="FR78" s="864"/>
      <c r="FS78" s="864"/>
      <c r="FT78" s="864"/>
      <c r="FU78" s="864"/>
      <c r="FV78" s="864"/>
      <c r="FW78" s="864"/>
      <c r="FX78" s="864"/>
      <c r="FY78" s="864"/>
      <c r="FZ78" s="864"/>
      <c r="GA78" s="945">
        <v>24.175000000000001</v>
      </c>
      <c r="GB78" s="945">
        <v>54.966000000000001</v>
      </c>
      <c r="GC78" s="945">
        <v>143.05099999999999</v>
      </c>
      <c r="GD78" s="945">
        <v>86.652000000000001</v>
      </c>
      <c r="GE78" s="945">
        <v>28.425000000000001</v>
      </c>
      <c r="GF78" s="945">
        <v>27.79</v>
      </c>
      <c r="GG78" s="945">
        <v>1526.954</v>
      </c>
      <c r="GH78" s="864"/>
      <c r="GI78" s="864"/>
      <c r="GJ78" s="864"/>
      <c r="GK78" s="864"/>
      <c r="GL78" s="864"/>
      <c r="GM78" s="864"/>
      <c r="GN78" s="864"/>
      <c r="GO78" s="950">
        <v>164.43299999999999</v>
      </c>
      <c r="GP78" s="951">
        <v>56.197000000000003</v>
      </c>
      <c r="GQ78" s="952" t="s">
        <v>5591</v>
      </c>
      <c r="GR78" s="864"/>
      <c r="GS78" s="864"/>
      <c r="GT78" s="864"/>
      <c r="GU78" s="864"/>
      <c r="GV78" s="864"/>
      <c r="GW78" s="864"/>
      <c r="GX78" s="864"/>
      <c r="GY78" s="864"/>
      <c r="GZ78" s="864"/>
      <c r="HA78" s="864"/>
      <c r="HB78" s="864"/>
      <c r="HC78" s="864"/>
      <c r="HD78" s="864"/>
      <c r="HE78" s="945">
        <v>807.27099999999996</v>
      </c>
      <c r="HF78" s="945">
        <v>64.414000000000001</v>
      </c>
      <c r="HG78" s="864"/>
      <c r="HH78" s="949">
        <v>25.87</v>
      </c>
      <c r="HI78" s="945">
        <v>79.47</v>
      </c>
      <c r="HJ78" s="945">
        <v>0.40400000000000003</v>
      </c>
      <c r="HK78" s="949">
        <v>14.888</v>
      </c>
      <c r="HL78" s="864"/>
      <c r="HM78" s="864"/>
      <c r="HN78" s="864"/>
      <c r="HO78" s="953">
        <v>4.7539999999999996</v>
      </c>
      <c r="HP78" s="945">
        <v>37.673999999999999</v>
      </c>
      <c r="HQ78" s="945">
        <v>1.4</v>
      </c>
      <c r="HR78" s="947">
        <v>8.7159999999999993</v>
      </c>
      <c r="HS78" s="945">
        <v>8.4</v>
      </c>
      <c r="HT78" s="945">
        <v>8.4</v>
      </c>
      <c r="HU78" s="945">
        <v>2.4</v>
      </c>
      <c r="HV78" s="962" t="s">
        <v>3613</v>
      </c>
      <c r="HW78" s="945">
        <v>0.9</v>
      </c>
      <c r="HX78" s="945">
        <v>9.6679999999999993</v>
      </c>
      <c r="HY78" s="945">
        <v>0.42699999999999999</v>
      </c>
      <c r="HZ78" s="945">
        <v>7.4</v>
      </c>
      <c r="IA78" s="945">
        <v>8.0329999999999995</v>
      </c>
      <c r="IB78" s="945">
        <v>6.3680000000000003</v>
      </c>
      <c r="IC78" s="945">
        <v>5.0999999999999996</v>
      </c>
      <c r="ID78" s="945">
        <v>20.9</v>
      </c>
      <c r="IE78" s="945">
        <v>10.9</v>
      </c>
      <c r="IF78" s="945">
        <v>0.8</v>
      </c>
      <c r="IG78" s="1026">
        <v>4.7750000000000004</v>
      </c>
      <c r="IH78" s="945">
        <v>36.299999999999997</v>
      </c>
      <c r="II78" s="945">
        <v>41.654000000000003</v>
      </c>
      <c r="IJ78" s="947">
        <v>11.28</v>
      </c>
      <c r="IK78" s="945">
        <v>1.9</v>
      </c>
      <c r="IL78" s="946">
        <v>649.1</v>
      </c>
      <c r="IM78" s="945">
        <v>38.912999999999997</v>
      </c>
      <c r="IN78" s="945">
        <v>23.776</v>
      </c>
      <c r="IO78" s="864"/>
      <c r="IP78" s="864"/>
      <c r="IQ78" s="864"/>
      <c r="IR78" s="947">
        <v>28.401</v>
      </c>
      <c r="IS78" s="945">
        <v>7.2930000000000001</v>
      </c>
      <c r="IT78" s="945">
        <v>40.536999999999999</v>
      </c>
      <c r="IU78" s="945">
        <v>125.70699999999999</v>
      </c>
      <c r="IV78" s="945">
        <v>380.63200000000001</v>
      </c>
      <c r="IW78" s="945">
        <v>43.8</v>
      </c>
      <c r="IX78" s="858">
        <v>28.190999999999999</v>
      </c>
      <c r="IY78" s="945">
        <v>39.57</v>
      </c>
      <c r="IZ78" s="945">
        <v>101.46599999999999</v>
      </c>
      <c r="JA78" s="945" t="s">
        <v>3972</v>
      </c>
      <c r="JB78" s="945">
        <v>277.66800000000001</v>
      </c>
      <c r="JC78" s="945">
        <v>18.145</v>
      </c>
      <c r="JD78" s="945">
        <v>58.564999999999998</v>
      </c>
      <c r="JE78" s="945">
        <v>35.993000000000002</v>
      </c>
      <c r="JF78" s="949">
        <v>44.664000000000001</v>
      </c>
      <c r="JG78" s="945">
        <v>127.255</v>
      </c>
      <c r="JH78" s="945">
        <v>53.45</v>
      </c>
      <c r="JI78" s="945">
        <v>44.646000000000001</v>
      </c>
      <c r="JJ78" s="945">
        <v>67.872</v>
      </c>
      <c r="JK78" s="945">
        <v>4.7809999999999997</v>
      </c>
      <c r="JL78" s="945">
        <v>1.923</v>
      </c>
      <c r="JM78" s="945">
        <v>3.2690000000000001</v>
      </c>
      <c r="JN78" s="945">
        <v>1.875</v>
      </c>
      <c r="JO78" s="945">
        <v>2.1440000000000001</v>
      </c>
      <c r="JP78" s="945">
        <v>2.2210000000000001</v>
      </c>
      <c r="JQ78" s="949">
        <v>2.1080000000000001</v>
      </c>
      <c r="JR78" s="945"/>
      <c r="JS78" s="945">
        <v>2.9</v>
      </c>
      <c r="JT78" s="945" t="s">
        <v>4207</v>
      </c>
      <c r="JU78" s="945">
        <v>1.952</v>
      </c>
      <c r="JV78" s="945"/>
      <c r="JW78" s="945"/>
      <c r="JX78" s="945">
        <v>4.8</v>
      </c>
      <c r="JY78" s="945">
        <v>2.6</v>
      </c>
      <c r="JZ78" s="945">
        <v>2.8919999999999999</v>
      </c>
      <c r="KA78" s="945">
        <v>11.071999999999999</v>
      </c>
      <c r="KB78" s="945"/>
      <c r="KC78" s="945">
        <v>0.96699999999999997</v>
      </c>
      <c r="KD78" s="945">
        <v>0.878</v>
      </c>
      <c r="KE78" s="947">
        <f>19622/1000</f>
        <v>19.622</v>
      </c>
      <c r="KF78" s="947">
        <f>1742/1000</f>
        <v>1.742</v>
      </c>
      <c r="KG78" s="947">
        <f>1527/1000</f>
        <v>1.5269999999999999</v>
      </c>
      <c r="KH78" s="947">
        <f>1293/1000</f>
        <v>1.2929999999999999</v>
      </c>
      <c r="KI78" s="947">
        <f>1502/1000</f>
        <v>1.502</v>
      </c>
      <c r="KJ78" s="947">
        <f>1341/1000</f>
        <v>1.341</v>
      </c>
      <c r="KK78" s="947">
        <f>1374/1000</f>
        <v>1.3740000000000001</v>
      </c>
      <c r="KL78" s="945">
        <v>413.25299999999999</v>
      </c>
      <c r="KM78" s="864"/>
      <c r="KN78" s="864"/>
      <c r="KO78" s="864"/>
      <c r="KP78" s="864"/>
      <c r="KQ78" s="864"/>
      <c r="KR78" s="946">
        <v>508.05700000000002</v>
      </c>
      <c r="KS78" s="864"/>
      <c r="KT78" s="957">
        <v>5.5</v>
      </c>
      <c r="KU78" s="864"/>
      <c r="KV78" s="945">
        <v>51.371000000000002</v>
      </c>
      <c r="KW78" s="1027">
        <v>26.295000000000002</v>
      </c>
      <c r="KX78" s="945">
        <v>118033</v>
      </c>
      <c r="KY78" s="858">
        <v>107</v>
      </c>
      <c r="KZ78" s="945">
        <v>31.5</v>
      </c>
      <c r="LA78" s="945">
        <v>28.632999999999999</v>
      </c>
      <c r="LB78" s="855">
        <v>64.570999999999998</v>
      </c>
      <c r="LC78" s="945">
        <v>45.198</v>
      </c>
      <c r="LD78" s="945">
        <v>0.877</v>
      </c>
      <c r="LE78" s="945">
        <v>886</v>
      </c>
      <c r="LF78" s="949">
        <v>9.4350000000000005</v>
      </c>
      <c r="LG78" s="949">
        <v>0.32900000000000001</v>
      </c>
      <c r="LH78" s="949">
        <v>1.681</v>
      </c>
      <c r="LI78" s="949">
        <v>0.499</v>
      </c>
      <c r="LJ78" s="949">
        <v>4.258</v>
      </c>
      <c r="LK78" s="949">
        <v>1.343</v>
      </c>
      <c r="LL78" s="949">
        <v>0.47</v>
      </c>
      <c r="LM78" s="949">
        <v>0.76100000000000001</v>
      </c>
      <c r="LN78" s="949">
        <v>15.236000000000001</v>
      </c>
      <c r="LO78" s="949">
        <v>2.3879999999999999</v>
      </c>
      <c r="LP78" s="949">
        <v>7.6360000000000001</v>
      </c>
      <c r="LQ78" s="949">
        <v>16.838000000000001</v>
      </c>
      <c r="LR78" s="949">
        <v>51.686</v>
      </c>
      <c r="LS78" s="949">
        <v>9.9969999999999999</v>
      </c>
      <c r="LT78" s="949">
        <v>2.0539999999999998</v>
      </c>
      <c r="LU78" s="949">
        <v>4.109</v>
      </c>
      <c r="LV78" s="1028">
        <v>2.7</v>
      </c>
      <c r="LW78" s="949">
        <v>9.57</v>
      </c>
      <c r="LX78" s="949">
        <v>0.92200000000000004</v>
      </c>
      <c r="LY78" s="949">
        <v>0.77500000000000002</v>
      </c>
    </row>
    <row r="79" spans="1:337" ht="375" customHeight="1" thickBot="1" x14ac:dyDescent="0.3">
      <c r="A79" s="1593"/>
      <c r="B79" s="1591"/>
      <c r="C79" s="1596"/>
      <c r="D79" s="1615"/>
      <c r="E79" s="836" t="s">
        <v>50</v>
      </c>
      <c r="F79" s="863"/>
      <c r="G79" s="863"/>
      <c r="H79" s="864"/>
      <c r="I79" s="864"/>
      <c r="J79" s="864"/>
      <c r="K79" s="864"/>
      <c r="L79" s="864"/>
      <c r="M79" s="864"/>
      <c r="N79" s="852" t="s">
        <v>2650</v>
      </c>
      <c r="O79" s="864"/>
      <c r="P79" s="864"/>
      <c r="Q79" s="864"/>
      <c r="R79" s="864"/>
      <c r="S79" s="864"/>
      <c r="T79" s="864"/>
      <c r="U79" s="864"/>
      <c r="V79" s="1029" t="s">
        <v>2302</v>
      </c>
      <c r="W79" s="1029" t="s">
        <v>2302</v>
      </c>
      <c r="X79" s="1030" t="s">
        <v>2302</v>
      </c>
      <c r="Y79" s="1031" t="s">
        <v>2302</v>
      </c>
      <c r="Z79" s="958"/>
      <c r="AA79" s="864"/>
      <c r="AB79" s="864"/>
      <c r="AC79" s="864"/>
      <c r="AD79" s="864"/>
      <c r="AE79" s="864"/>
      <c r="AF79" s="864"/>
      <c r="AG79" s="864"/>
      <c r="AH79" s="864"/>
      <c r="AI79" s="864"/>
      <c r="AJ79" s="864"/>
      <c r="AK79" s="864"/>
      <c r="AL79" s="864"/>
      <c r="AM79" s="864"/>
      <c r="AN79" s="864"/>
      <c r="AO79" s="864"/>
      <c r="AP79" s="864"/>
      <c r="AQ79" s="864"/>
      <c r="AR79" s="864"/>
      <c r="AS79" s="864"/>
      <c r="AT79" s="864"/>
      <c r="AU79" s="864"/>
      <c r="AV79" s="1032" t="s">
        <v>2734</v>
      </c>
      <c r="AW79" s="1029" t="s">
        <v>2748</v>
      </c>
      <c r="AX79" s="864"/>
      <c r="AY79" s="864"/>
      <c r="AZ79" s="864"/>
      <c r="BA79" s="852" t="s">
        <v>2760</v>
      </c>
      <c r="BB79" s="925" t="s">
        <v>2779</v>
      </c>
      <c r="BC79" s="907" t="s">
        <v>2793</v>
      </c>
      <c r="BD79" s="1033" t="s">
        <v>2809</v>
      </c>
      <c r="BE79" s="864"/>
      <c r="BF79" s="864"/>
      <c r="BG79" s="864"/>
      <c r="BH79" s="864"/>
      <c r="BI79" s="864"/>
      <c r="BJ79" s="864"/>
      <c r="BK79" s="864"/>
      <c r="BL79" s="864"/>
      <c r="BM79" s="864"/>
      <c r="BN79" s="864"/>
      <c r="BO79" s="864"/>
      <c r="BP79" s="864"/>
      <c r="BQ79" s="864"/>
      <c r="BR79" s="864"/>
      <c r="BS79" s="864"/>
      <c r="BT79" s="958" t="s">
        <v>2821</v>
      </c>
      <c r="BU79" s="945" t="s">
        <v>2835</v>
      </c>
      <c r="BV79" s="855" t="s">
        <v>2844</v>
      </c>
      <c r="BW79" s="855" t="s">
        <v>2859</v>
      </c>
      <c r="BX79" s="864"/>
      <c r="BY79" s="864"/>
      <c r="BZ79" s="864"/>
      <c r="CA79" s="864"/>
      <c r="CB79" s="864"/>
      <c r="CC79" s="1034" t="s">
        <v>2870</v>
      </c>
      <c r="CD79" s="864"/>
      <c r="CE79" s="864"/>
      <c r="CF79" s="864"/>
      <c r="CG79" s="864"/>
      <c r="CH79" s="864"/>
      <c r="CI79" s="864"/>
      <c r="CJ79" s="864"/>
      <c r="CK79" s="1029" t="s">
        <v>2884</v>
      </c>
      <c r="CL79" s="1029"/>
      <c r="CM79" s="864"/>
      <c r="CN79" s="864"/>
      <c r="CO79" s="864"/>
      <c r="CP79" s="864"/>
      <c r="CQ79" s="864"/>
      <c r="CR79" s="864"/>
      <c r="CS79" s="864"/>
      <c r="CT79" s="864"/>
      <c r="CU79" s="864"/>
      <c r="CV79" s="864"/>
      <c r="CW79" s="864"/>
      <c r="CX79" s="864"/>
      <c r="CY79" s="864"/>
      <c r="CZ79" s="864"/>
      <c r="DA79" s="864"/>
      <c r="DB79" s="864"/>
      <c r="DC79" s="864"/>
      <c r="DD79" s="864"/>
      <c r="DE79" s="864"/>
      <c r="DF79" s="1029" t="s">
        <v>2912</v>
      </c>
      <c r="DG79" s="864"/>
      <c r="DH79" s="1029" t="s">
        <v>1488</v>
      </c>
      <c r="DI79" s="1029" t="s">
        <v>1488</v>
      </c>
      <c r="DJ79" s="1031" t="s">
        <v>1488</v>
      </c>
      <c r="DK79" s="1029" t="s">
        <v>1488</v>
      </c>
      <c r="DL79" s="1031" t="s">
        <v>1488</v>
      </c>
      <c r="DM79" s="1029" t="s">
        <v>1488</v>
      </c>
      <c r="DN79" s="864"/>
      <c r="DO79" s="864"/>
      <c r="DP79" s="958"/>
      <c r="DQ79" s="864"/>
      <c r="DR79" s="864"/>
      <c r="DS79" s="864"/>
      <c r="DT79" s="864"/>
      <c r="DU79" s="864"/>
      <c r="DV79" s="864"/>
      <c r="DW79" s="864"/>
      <c r="DX79" s="864"/>
      <c r="DY79" s="864"/>
      <c r="DZ79" s="864"/>
      <c r="EA79" s="864"/>
      <c r="EB79" s="864"/>
      <c r="EC79" s="864"/>
      <c r="ED79" s="864"/>
      <c r="EE79" s="864"/>
      <c r="EF79" s="958" t="s">
        <v>2995</v>
      </c>
      <c r="EG79" s="958"/>
      <c r="EH79" s="1035" t="s">
        <v>3027</v>
      </c>
      <c r="EI79" s="855" t="s">
        <v>3046</v>
      </c>
      <c r="EJ79" s="1036" t="s">
        <v>3061</v>
      </c>
      <c r="EK79" s="961"/>
      <c r="EL79" s="1037" t="s">
        <v>3088</v>
      </c>
      <c r="EM79" s="1036" t="s">
        <v>3100</v>
      </c>
      <c r="EN79" s="1036" t="s">
        <v>3116</v>
      </c>
      <c r="EO79" s="961"/>
      <c r="EP79" s="961" t="s">
        <v>3137</v>
      </c>
      <c r="EQ79" s="1038"/>
      <c r="ER79" s="1038" t="s">
        <v>3162</v>
      </c>
      <c r="ES79" s="961" t="s">
        <v>3178</v>
      </c>
      <c r="ET79" s="961" t="s">
        <v>3191</v>
      </c>
      <c r="EU79" s="864"/>
      <c r="EV79" s="864"/>
      <c r="EW79" s="958" t="s">
        <v>3209</v>
      </c>
      <c r="EX79" s="864"/>
      <c r="EY79" s="864"/>
      <c r="EZ79" s="864"/>
      <c r="FA79" s="864"/>
      <c r="FB79" s="864"/>
      <c r="FC79" s="864"/>
      <c r="FD79" s="864"/>
      <c r="FE79" s="958"/>
      <c r="FF79" s="864"/>
      <c r="FG79" s="864"/>
      <c r="FH79" s="864"/>
      <c r="FI79" s="864"/>
      <c r="FJ79" s="864"/>
      <c r="FK79" s="962" t="s">
        <v>3232</v>
      </c>
      <c r="FL79" s="1039" t="s">
        <v>3254</v>
      </c>
      <c r="FM79" s="980"/>
      <c r="FN79" s="958"/>
      <c r="FO79" s="958"/>
      <c r="FP79" s="961"/>
      <c r="FQ79" s="1040" t="s">
        <v>3324</v>
      </c>
      <c r="FR79" s="864"/>
      <c r="FS79" s="864"/>
      <c r="FT79" s="864"/>
      <c r="FU79" s="864"/>
      <c r="FV79" s="864"/>
      <c r="FW79" s="864"/>
      <c r="FX79" s="864"/>
      <c r="FY79" s="864"/>
      <c r="FZ79" s="864"/>
      <c r="GA79" s="1030" t="s">
        <v>3337</v>
      </c>
      <c r="GB79" s="1030" t="s">
        <v>3352</v>
      </c>
      <c r="GC79" s="1035" t="s">
        <v>3362</v>
      </c>
      <c r="GD79" s="1030" t="s">
        <v>3383</v>
      </c>
      <c r="GE79" s="958" t="s">
        <v>3397</v>
      </c>
      <c r="GF79" s="958"/>
      <c r="GG79" s="1030" t="s">
        <v>3415</v>
      </c>
      <c r="GH79" s="864"/>
      <c r="GI79" s="864"/>
      <c r="GJ79" s="864"/>
      <c r="GK79" s="864"/>
      <c r="GL79" s="864"/>
      <c r="GM79" s="864"/>
      <c r="GN79" s="864"/>
      <c r="GO79" s="1041" t="s">
        <v>3430</v>
      </c>
      <c r="GP79" s="964" t="s">
        <v>3446</v>
      </c>
      <c r="GQ79" s="860" t="s">
        <v>3459</v>
      </c>
      <c r="GR79" s="864"/>
      <c r="GS79" s="864"/>
      <c r="GT79" s="864"/>
      <c r="GU79" s="864"/>
      <c r="GV79" s="864"/>
      <c r="GW79" s="864"/>
      <c r="GX79" s="864"/>
      <c r="GY79" s="864"/>
      <c r="GZ79" s="864"/>
      <c r="HA79" s="864"/>
      <c r="HB79" s="864"/>
      <c r="HC79" s="864"/>
      <c r="HD79" s="864"/>
      <c r="HE79" s="1029" t="s">
        <v>3473</v>
      </c>
      <c r="HF79" s="1029" t="s">
        <v>3488</v>
      </c>
      <c r="HG79" s="864"/>
      <c r="HH79" s="961" t="s">
        <v>3499</v>
      </c>
      <c r="HI79" s="1031" t="s">
        <v>744</v>
      </c>
      <c r="HJ79" s="1035" t="s">
        <v>3535</v>
      </c>
      <c r="HK79" s="949" t="s">
        <v>3547</v>
      </c>
      <c r="HL79" s="864"/>
      <c r="HM79" s="864"/>
      <c r="HN79" s="864"/>
      <c r="HO79" s="924" t="s">
        <v>3555</v>
      </c>
      <c r="HP79" s="1030" t="s">
        <v>3565</v>
      </c>
      <c r="HQ79" s="1031" t="s">
        <v>3578</v>
      </c>
      <c r="HR79" s="959" t="s">
        <v>3587</v>
      </c>
      <c r="HS79" s="1042" t="s">
        <v>3578</v>
      </c>
      <c r="HT79" s="1031" t="s">
        <v>3578</v>
      </c>
      <c r="HU79" s="1031" t="s">
        <v>3578</v>
      </c>
      <c r="HV79" s="1000"/>
      <c r="HW79" s="1031" t="s">
        <v>3578</v>
      </c>
      <c r="HX79" s="1031" t="s">
        <v>3631</v>
      </c>
      <c r="HY79" s="1029" t="s">
        <v>3641</v>
      </c>
      <c r="HZ79" s="1029" t="s">
        <v>3565</v>
      </c>
      <c r="IA79" s="1030" t="s">
        <v>3660</v>
      </c>
      <c r="IB79" s="1031" t="s">
        <v>3565</v>
      </c>
      <c r="IC79" s="958" t="s">
        <v>3684</v>
      </c>
      <c r="ID79" s="958" t="s">
        <v>504</v>
      </c>
      <c r="IE79" s="958"/>
      <c r="IF79" s="1031" t="s">
        <v>3578</v>
      </c>
      <c r="IG79" s="1031" t="s">
        <v>3726</v>
      </c>
      <c r="IH79" s="958" t="s">
        <v>3736</v>
      </c>
      <c r="II79" s="1029" t="s">
        <v>3565</v>
      </c>
      <c r="IJ79" s="959" t="s">
        <v>3565</v>
      </c>
      <c r="IK79" s="1031" t="s">
        <v>3578</v>
      </c>
      <c r="IL79" s="910" t="s">
        <v>3778</v>
      </c>
      <c r="IM79" s="958" t="s">
        <v>1399</v>
      </c>
      <c r="IN79" s="958" t="s">
        <v>2859</v>
      </c>
      <c r="IO79" s="864"/>
      <c r="IP79" s="864"/>
      <c r="IQ79" s="864"/>
      <c r="IR79" s="1043" t="s">
        <v>3816</v>
      </c>
      <c r="IS79" s="1029" t="s">
        <v>3835</v>
      </c>
      <c r="IT79" s="1044" t="s">
        <v>3835</v>
      </c>
      <c r="IU79" s="1029" t="s">
        <v>3874</v>
      </c>
      <c r="IV79" s="907" t="s">
        <v>3893</v>
      </c>
      <c r="IW79" s="1031" t="s">
        <v>3915</v>
      </c>
      <c r="IX79" s="931" t="s">
        <v>3835</v>
      </c>
      <c r="IY79" s="907" t="s">
        <v>3835</v>
      </c>
      <c r="IZ79" s="1029" t="s">
        <v>3835</v>
      </c>
      <c r="JA79" s="1029" t="s">
        <v>3973</v>
      </c>
      <c r="JB79" s="1029" t="s">
        <v>3986</v>
      </c>
      <c r="JC79" s="958" t="s">
        <v>4002</v>
      </c>
      <c r="JD79" s="1045" t="s">
        <v>3835</v>
      </c>
      <c r="JE79" s="1029" t="s">
        <v>4032</v>
      </c>
      <c r="JF79" s="958" t="s">
        <v>5592</v>
      </c>
      <c r="JG79" s="1029" t="s">
        <v>3835</v>
      </c>
      <c r="JH79" s="1029" t="s">
        <v>4086</v>
      </c>
      <c r="JI79" s="1029" t="s">
        <v>3835</v>
      </c>
      <c r="JJ79" s="1029" t="s">
        <v>3835</v>
      </c>
      <c r="JK79" s="1029" t="s">
        <v>3835</v>
      </c>
      <c r="JL79" s="1029" t="s">
        <v>3835</v>
      </c>
      <c r="JM79" s="1029" t="s">
        <v>3835</v>
      </c>
      <c r="JN79" s="1029" t="s">
        <v>3835</v>
      </c>
      <c r="JO79" s="1029" t="s">
        <v>3835</v>
      </c>
      <c r="JP79" s="1029" t="s">
        <v>3835</v>
      </c>
      <c r="JQ79" s="1046" t="s">
        <v>3835</v>
      </c>
      <c r="JR79" s="958"/>
      <c r="JS79" s="958"/>
      <c r="JT79" s="958" t="s">
        <v>52</v>
      </c>
      <c r="JU79" s="958"/>
      <c r="JV79" s="958"/>
      <c r="JW79" s="958"/>
      <c r="JX79" s="958"/>
      <c r="JY79" s="958"/>
      <c r="JZ79" s="1030" t="s">
        <v>4267</v>
      </c>
      <c r="KA79" s="910" t="s">
        <v>4276</v>
      </c>
      <c r="KB79" s="958"/>
      <c r="KC79" s="1029" t="s">
        <v>3835</v>
      </c>
      <c r="KD79" s="958" t="s">
        <v>4305</v>
      </c>
      <c r="KE79" s="1043" t="s">
        <v>3816</v>
      </c>
      <c r="KF79" s="1043" t="s">
        <v>4323</v>
      </c>
      <c r="KG79" s="1043" t="s">
        <v>4331</v>
      </c>
      <c r="KH79" s="1043" t="s">
        <v>4338</v>
      </c>
      <c r="KI79" s="1043" t="s">
        <v>4345</v>
      </c>
      <c r="KJ79" s="1043" t="s">
        <v>4350</v>
      </c>
      <c r="KK79" s="1043" t="s">
        <v>4360</v>
      </c>
      <c r="KL79" s="1029" t="s">
        <v>4371</v>
      </c>
      <c r="KM79" s="864"/>
      <c r="KN79" s="864"/>
      <c r="KO79" s="864"/>
      <c r="KP79" s="864"/>
      <c r="KQ79" s="864"/>
      <c r="KR79" s="1029" t="s">
        <v>1049</v>
      </c>
      <c r="KS79" s="864"/>
      <c r="KT79" s="958"/>
      <c r="KU79" s="864"/>
      <c r="KV79" s="1047" t="s">
        <v>4418</v>
      </c>
      <c r="KW79" s="1048" t="s">
        <v>4439</v>
      </c>
      <c r="KX79" s="958" t="s">
        <v>4463</v>
      </c>
      <c r="KY79" s="858" t="s">
        <v>4484</v>
      </c>
      <c r="KZ79" s="958"/>
      <c r="LA79" s="1049" t="s">
        <v>4484</v>
      </c>
      <c r="LB79" s="936" t="s">
        <v>4546</v>
      </c>
      <c r="LC79" s="936" t="s">
        <v>4546</v>
      </c>
      <c r="LD79" s="958" t="s">
        <v>465</v>
      </c>
      <c r="LE79" s="958"/>
      <c r="LF79" s="949" t="s">
        <v>1757</v>
      </c>
      <c r="LG79" s="961" t="s">
        <v>4602</v>
      </c>
      <c r="LH79" s="961" t="s">
        <v>4602</v>
      </c>
      <c r="LI79" s="961" t="s">
        <v>4602</v>
      </c>
      <c r="LJ79" s="961" t="s">
        <v>4602</v>
      </c>
      <c r="LK79" s="961" t="s">
        <v>4602</v>
      </c>
      <c r="LL79" s="961" t="s">
        <v>4602</v>
      </c>
      <c r="LM79" s="961" t="s">
        <v>4602</v>
      </c>
      <c r="LN79" s="961" t="s">
        <v>4674</v>
      </c>
      <c r="LO79" s="961"/>
      <c r="LP79" s="961" t="s">
        <v>4699</v>
      </c>
      <c r="LQ79" s="961" t="s">
        <v>4719</v>
      </c>
      <c r="LR79" s="1050" t="s">
        <v>1757</v>
      </c>
      <c r="LS79" s="1050" t="s">
        <v>1757</v>
      </c>
      <c r="LT79" s="1050" t="s">
        <v>1757</v>
      </c>
      <c r="LU79" s="1050" t="s">
        <v>1757</v>
      </c>
      <c r="LV79" s="1051" t="s">
        <v>1757</v>
      </c>
      <c r="LW79" s="1050" t="s">
        <v>1757</v>
      </c>
      <c r="LX79" s="1050" t="s">
        <v>1757</v>
      </c>
      <c r="LY79" s="1050" t="s">
        <v>1757</v>
      </c>
    </row>
    <row r="80" spans="1:337" ht="42.75" customHeight="1" x14ac:dyDescent="0.25">
      <c r="A80" s="1583" t="s">
        <v>28</v>
      </c>
      <c r="B80" s="1589" t="s">
        <v>5368</v>
      </c>
      <c r="C80" s="346" t="s">
        <v>159</v>
      </c>
      <c r="D80" s="347" t="s">
        <v>40</v>
      </c>
      <c r="E80" s="846" t="s">
        <v>55</v>
      </c>
      <c r="F80" s="863"/>
      <c r="G80" s="863"/>
      <c r="H80" s="864"/>
      <c r="I80" s="864"/>
      <c r="J80" s="864"/>
      <c r="K80" s="864"/>
      <c r="L80" s="864"/>
      <c r="M80" s="864"/>
      <c r="N80" s="852" t="s">
        <v>471</v>
      </c>
      <c r="O80" s="864"/>
      <c r="P80" s="864"/>
      <c r="Q80" s="864"/>
      <c r="R80" s="864"/>
      <c r="S80" s="864"/>
      <c r="T80" s="864"/>
      <c r="U80" s="864"/>
      <c r="V80" s="855" t="s">
        <v>479</v>
      </c>
      <c r="W80" s="855" t="s">
        <v>479</v>
      </c>
      <c r="X80" s="855" t="s">
        <v>479</v>
      </c>
      <c r="Y80" s="855" t="s">
        <v>479</v>
      </c>
      <c r="Z80" s="855" t="s">
        <v>504</v>
      </c>
      <c r="AA80" s="864"/>
      <c r="AB80" s="864"/>
      <c r="AC80" s="864"/>
      <c r="AD80" s="864"/>
      <c r="AE80" s="864"/>
      <c r="AF80" s="864"/>
      <c r="AG80" s="864"/>
      <c r="AH80" s="864"/>
      <c r="AI80" s="864"/>
      <c r="AJ80" s="864"/>
      <c r="AK80" s="864"/>
      <c r="AL80" s="864"/>
      <c r="AM80" s="864"/>
      <c r="AN80" s="864"/>
      <c r="AO80" s="864"/>
      <c r="AP80" s="864"/>
      <c r="AQ80" s="864"/>
      <c r="AR80" s="864"/>
      <c r="AS80" s="864"/>
      <c r="AT80" s="864"/>
      <c r="AU80" s="864"/>
      <c r="AV80" s="855" t="s">
        <v>504</v>
      </c>
      <c r="AW80" s="855" t="s">
        <v>504</v>
      </c>
      <c r="AX80" s="864"/>
      <c r="AY80" s="864"/>
      <c r="AZ80" s="864"/>
      <c r="BA80" s="852" t="s">
        <v>504</v>
      </c>
      <c r="BB80" s="958" t="s">
        <v>504</v>
      </c>
      <c r="BC80" s="855" t="s">
        <v>504</v>
      </c>
      <c r="BD80" s="958" t="s">
        <v>504</v>
      </c>
      <c r="BE80" s="864"/>
      <c r="BF80" s="864"/>
      <c r="BG80" s="864"/>
      <c r="BH80" s="864"/>
      <c r="BI80" s="864"/>
      <c r="BJ80" s="864"/>
      <c r="BK80" s="864"/>
      <c r="BL80" s="864"/>
      <c r="BM80" s="864"/>
      <c r="BN80" s="864"/>
      <c r="BO80" s="864"/>
      <c r="BP80" s="864"/>
      <c r="BQ80" s="864"/>
      <c r="BR80" s="864"/>
      <c r="BS80" s="864"/>
      <c r="BT80" s="855" t="s">
        <v>504</v>
      </c>
      <c r="BU80" s="855" t="s">
        <v>504</v>
      </c>
      <c r="BV80" s="855" t="s">
        <v>504</v>
      </c>
      <c r="BW80" s="855" t="s">
        <v>504</v>
      </c>
      <c r="BX80" s="864"/>
      <c r="BY80" s="864"/>
      <c r="BZ80" s="864"/>
      <c r="CA80" s="864"/>
      <c r="CB80" s="864"/>
      <c r="CC80" s="862" t="s">
        <v>504</v>
      </c>
      <c r="CD80" s="864"/>
      <c r="CE80" s="864"/>
      <c r="CF80" s="864"/>
      <c r="CG80" s="864"/>
      <c r="CH80" s="864"/>
      <c r="CI80" s="864"/>
      <c r="CJ80" s="864"/>
      <c r="CK80" s="855" t="s">
        <v>504</v>
      </c>
      <c r="CL80" s="855" t="s">
        <v>504</v>
      </c>
      <c r="CM80" s="864"/>
      <c r="CN80" s="864"/>
      <c r="CO80" s="864"/>
      <c r="CP80" s="864"/>
      <c r="CQ80" s="864"/>
      <c r="CR80" s="864"/>
      <c r="CS80" s="864"/>
      <c r="CT80" s="864"/>
      <c r="CU80" s="864"/>
      <c r="CV80" s="864"/>
      <c r="CW80" s="864"/>
      <c r="CX80" s="864"/>
      <c r="CY80" s="864"/>
      <c r="CZ80" s="864"/>
      <c r="DA80" s="864"/>
      <c r="DB80" s="864"/>
      <c r="DC80" s="864"/>
      <c r="DD80" s="864"/>
      <c r="DE80" s="864"/>
      <c r="DF80" s="855" t="s">
        <v>504</v>
      </c>
      <c r="DG80" s="864"/>
      <c r="DH80" s="855" t="s">
        <v>504</v>
      </c>
      <c r="DI80" s="855" t="s">
        <v>504</v>
      </c>
      <c r="DJ80" s="855"/>
      <c r="DK80" s="855" t="s">
        <v>504</v>
      </c>
      <c r="DL80" s="855" t="s">
        <v>504</v>
      </c>
      <c r="DM80" s="855" t="s">
        <v>504</v>
      </c>
      <c r="DN80" s="864"/>
      <c r="DO80" s="864"/>
      <c r="DP80" s="855" t="s">
        <v>504</v>
      </c>
      <c r="DQ80" s="864"/>
      <c r="DR80" s="864"/>
      <c r="DS80" s="864"/>
      <c r="DT80" s="864"/>
      <c r="DU80" s="864"/>
      <c r="DV80" s="864"/>
      <c r="DW80" s="864"/>
      <c r="DX80" s="864"/>
      <c r="DY80" s="864"/>
      <c r="DZ80" s="864"/>
      <c r="EA80" s="864"/>
      <c r="EB80" s="864"/>
      <c r="EC80" s="864"/>
      <c r="ED80" s="864"/>
      <c r="EE80" s="864"/>
      <c r="EF80" s="855" t="s">
        <v>504</v>
      </c>
      <c r="EG80" s="855" t="s">
        <v>504</v>
      </c>
      <c r="EH80" s="855" t="s">
        <v>500</v>
      </c>
      <c r="EI80" s="855" t="s">
        <v>504</v>
      </c>
      <c r="EJ80" s="858" t="s">
        <v>504</v>
      </c>
      <c r="EK80" s="858" t="s">
        <v>504</v>
      </c>
      <c r="EL80" s="858" t="s">
        <v>504</v>
      </c>
      <c r="EM80" s="858" t="s">
        <v>504</v>
      </c>
      <c r="EN80" s="858" t="s">
        <v>504</v>
      </c>
      <c r="EO80" s="858" t="s">
        <v>504</v>
      </c>
      <c r="EP80" s="858" t="s">
        <v>504</v>
      </c>
      <c r="EQ80" s="858" t="s">
        <v>504</v>
      </c>
      <c r="ER80" s="858" t="s">
        <v>504</v>
      </c>
      <c r="ES80" s="858" t="s">
        <v>504</v>
      </c>
      <c r="ET80" s="858" t="s">
        <v>504</v>
      </c>
      <c r="EU80" s="864"/>
      <c r="EV80" s="864"/>
      <c r="EW80" s="855" t="s">
        <v>504</v>
      </c>
      <c r="EX80" s="864"/>
      <c r="EY80" s="864"/>
      <c r="EZ80" s="864"/>
      <c r="FA80" s="864"/>
      <c r="FB80" s="864"/>
      <c r="FC80" s="864"/>
      <c r="FD80" s="864"/>
      <c r="FE80" s="855" t="s">
        <v>504</v>
      </c>
      <c r="FF80" s="864"/>
      <c r="FG80" s="864"/>
      <c r="FH80" s="864"/>
      <c r="FI80" s="864"/>
      <c r="FJ80" s="864"/>
      <c r="FK80" s="852" t="s">
        <v>500</v>
      </c>
      <c r="FL80" s="852" t="s">
        <v>500</v>
      </c>
      <c r="FM80" s="980" t="s">
        <v>504</v>
      </c>
      <c r="FN80" s="855"/>
      <c r="FO80" s="855"/>
      <c r="FP80" s="855" t="s">
        <v>504</v>
      </c>
      <c r="FQ80" s="855" t="s">
        <v>504</v>
      </c>
      <c r="FR80" s="864"/>
      <c r="FS80" s="864"/>
      <c r="FT80" s="864"/>
      <c r="FU80" s="864"/>
      <c r="FV80" s="864"/>
      <c r="FW80" s="864"/>
      <c r="FX80" s="864"/>
      <c r="FY80" s="864"/>
      <c r="FZ80" s="864"/>
      <c r="GA80" s="855" t="s">
        <v>504</v>
      </c>
      <c r="GB80" s="855" t="s">
        <v>504</v>
      </c>
      <c r="GC80" s="855" t="s">
        <v>504</v>
      </c>
      <c r="GD80" s="855" t="s">
        <v>504</v>
      </c>
      <c r="GE80" s="855" t="s">
        <v>504</v>
      </c>
      <c r="GF80" s="855" t="s">
        <v>504</v>
      </c>
      <c r="GG80" s="855" t="s">
        <v>500</v>
      </c>
      <c r="GH80" s="864"/>
      <c r="GI80" s="864"/>
      <c r="GJ80" s="864"/>
      <c r="GK80" s="864"/>
      <c r="GL80" s="864"/>
      <c r="GM80" s="864"/>
      <c r="GN80" s="864"/>
      <c r="GO80" s="859" t="s">
        <v>504</v>
      </c>
      <c r="GP80" s="866"/>
      <c r="GQ80" s="860" t="s">
        <v>504</v>
      </c>
      <c r="GR80" s="864"/>
      <c r="GS80" s="864"/>
      <c r="GT80" s="864"/>
      <c r="GU80" s="864"/>
      <c r="GV80" s="864"/>
      <c r="GW80" s="864"/>
      <c r="GX80" s="864"/>
      <c r="GY80" s="864"/>
      <c r="GZ80" s="864"/>
      <c r="HA80" s="864"/>
      <c r="HB80" s="864"/>
      <c r="HC80" s="864"/>
      <c r="HD80" s="864"/>
      <c r="HE80" s="855" t="s">
        <v>504</v>
      </c>
      <c r="HF80" s="855" t="s">
        <v>504</v>
      </c>
      <c r="HG80" s="864"/>
      <c r="HH80" s="858"/>
      <c r="HI80" s="855" t="s">
        <v>504</v>
      </c>
      <c r="HJ80" s="855" t="s">
        <v>504</v>
      </c>
      <c r="HK80" s="858" t="s">
        <v>504</v>
      </c>
      <c r="HL80" s="864"/>
      <c r="HM80" s="864"/>
      <c r="HN80" s="864"/>
      <c r="HO80" s="861" t="s">
        <v>504</v>
      </c>
      <c r="HP80" s="855" t="s">
        <v>504</v>
      </c>
      <c r="HQ80" s="855" t="s">
        <v>504</v>
      </c>
      <c r="HR80" s="862" t="s">
        <v>504</v>
      </c>
      <c r="HS80" s="855" t="s">
        <v>504</v>
      </c>
      <c r="HT80" s="855" t="s">
        <v>504</v>
      </c>
      <c r="HU80" s="855" t="s">
        <v>504</v>
      </c>
      <c r="HV80" s="1000" t="s">
        <v>504</v>
      </c>
      <c r="HW80" s="855" t="s">
        <v>504</v>
      </c>
      <c r="HX80" s="855" t="s">
        <v>504</v>
      </c>
      <c r="HY80" s="855" t="s">
        <v>504</v>
      </c>
      <c r="HZ80" s="855" t="s">
        <v>504</v>
      </c>
      <c r="IA80" s="855" t="s">
        <v>504</v>
      </c>
      <c r="IB80" s="855" t="s">
        <v>504</v>
      </c>
      <c r="IC80" s="855" t="s">
        <v>504</v>
      </c>
      <c r="ID80" s="855" t="s">
        <v>504</v>
      </c>
      <c r="IE80" s="852" t="s">
        <v>504</v>
      </c>
      <c r="IF80" s="855" t="s">
        <v>504</v>
      </c>
      <c r="IG80" s="862" t="s">
        <v>504</v>
      </c>
      <c r="IH80" s="852" t="s">
        <v>504</v>
      </c>
      <c r="II80" s="855" t="s">
        <v>504</v>
      </c>
      <c r="IJ80" s="862" t="s">
        <v>504</v>
      </c>
      <c r="IK80" s="855" t="s">
        <v>504</v>
      </c>
      <c r="IL80" s="855" t="s">
        <v>504</v>
      </c>
      <c r="IM80" s="855" t="s">
        <v>504</v>
      </c>
      <c r="IN80" s="855" t="s">
        <v>504</v>
      </c>
      <c r="IO80" s="864"/>
      <c r="IP80" s="864"/>
      <c r="IQ80" s="864"/>
      <c r="IR80" s="862" t="s">
        <v>3817</v>
      </c>
      <c r="IS80" s="852" t="s">
        <v>500</v>
      </c>
      <c r="IT80" s="855" t="s">
        <v>504</v>
      </c>
      <c r="IU80" s="855" t="s">
        <v>504</v>
      </c>
      <c r="IV80" s="855" t="s">
        <v>504</v>
      </c>
      <c r="IW80" s="855" t="s">
        <v>504</v>
      </c>
      <c r="IX80" s="858" t="s">
        <v>504</v>
      </c>
      <c r="IY80" s="855" t="s">
        <v>504</v>
      </c>
      <c r="IZ80" s="855" t="s">
        <v>504</v>
      </c>
      <c r="JA80" s="855" t="s">
        <v>504</v>
      </c>
      <c r="JB80" s="855" t="s">
        <v>465</v>
      </c>
      <c r="JC80" s="855" t="s">
        <v>504</v>
      </c>
      <c r="JD80" s="855" t="s">
        <v>504</v>
      </c>
      <c r="JE80" s="855" t="s">
        <v>504</v>
      </c>
      <c r="JF80" s="858" t="s">
        <v>504</v>
      </c>
      <c r="JG80" s="855" t="s">
        <v>504</v>
      </c>
      <c r="JH80" s="855" t="s">
        <v>504</v>
      </c>
      <c r="JI80" s="855" t="s">
        <v>479</v>
      </c>
      <c r="JJ80" s="855" t="s">
        <v>504</v>
      </c>
      <c r="JK80" s="855" t="s">
        <v>504</v>
      </c>
      <c r="JL80" s="855" t="s">
        <v>504</v>
      </c>
      <c r="JM80" s="855" t="s">
        <v>504</v>
      </c>
      <c r="JN80" s="855" t="s">
        <v>504</v>
      </c>
      <c r="JO80" s="855" t="s">
        <v>504</v>
      </c>
      <c r="JP80" s="855" t="s">
        <v>504</v>
      </c>
      <c r="JQ80" s="858" t="s">
        <v>504</v>
      </c>
      <c r="JR80" s="855" t="s">
        <v>504</v>
      </c>
      <c r="JS80" s="855" t="s">
        <v>504</v>
      </c>
      <c r="JT80" s="855" t="s">
        <v>504</v>
      </c>
      <c r="JU80" s="855" t="s">
        <v>504</v>
      </c>
      <c r="JV80" s="855" t="s">
        <v>504</v>
      </c>
      <c r="JW80" s="855" t="s">
        <v>504</v>
      </c>
      <c r="JX80" s="855" t="s">
        <v>504</v>
      </c>
      <c r="JY80" s="855" t="s">
        <v>504</v>
      </c>
      <c r="JZ80" s="855" t="s">
        <v>504</v>
      </c>
      <c r="KA80" s="855"/>
      <c r="KB80" s="855" t="s">
        <v>504</v>
      </c>
      <c r="KC80" s="855" t="s">
        <v>504</v>
      </c>
      <c r="KD80" s="855" t="s">
        <v>504</v>
      </c>
      <c r="KE80" s="862" t="s">
        <v>504</v>
      </c>
      <c r="KF80" s="862" t="s">
        <v>504</v>
      </c>
      <c r="KG80" s="862" t="s">
        <v>504</v>
      </c>
      <c r="KH80" s="862" t="s">
        <v>504</v>
      </c>
      <c r="KI80" s="862" t="s">
        <v>504</v>
      </c>
      <c r="KJ80" s="862" t="s">
        <v>504</v>
      </c>
      <c r="KK80" s="862" t="s">
        <v>504</v>
      </c>
      <c r="KL80" s="855" t="s">
        <v>504</v>
      </c>
      <c r="KM80" s="864"/>
      <c r="KN80" s="864"/>
      <c r="KO80" s="864"/>
      <c r="KP80" s="864"/>
      <c r="KQ80" s="864"/>
      <c r="KR80" s="855" t="s">
        <v>504</v>
      </c>
      <c r="KS80" s="864"/>
      <c r="KT80" s="855" t="s">
        <v>504</v>
      </c>
      <c r="KU80" s="864"/>
      <c r="KV80" s="855" t="s">
        <v>500</v>
      </c>
      <c r="KW80" s="855" t="s">
        <v>656</v>
      </c>
      <c r="KX80" s="855" t="s">
        <v>500</v>
      </c>
      <c r="KY80" s="858" t="s">
        <v>500</v>
      </c>
      <c r="KZ80" s="855" t="s">
        <v>500</v>
      </c>
      <c r="LA80" s="855" t="s">
        <v>500</v>
      </c>
      <c r="LB80" s="855" t="s">
        <v>500</v>
      </c>
      <c r="LC80" s="855" t="s">
        <v>500</v>
      </c>
      <c r="LD80" s="855" t="s">
        <v>504</v>
      </c>
      <c r="LE80" s="855" t="s">
        <v>504</v>
      </c>
      <c r="LF80" s="858" t="s">
        <v>500</v>
      </c>
      <c r="LG80" s="858" t="s">
        <v>500</v>
      </c>
      <c r="LH80" s="858" t="s">
        <v>500</v>
      </c>
      <c r="LI80" s="858" t="s">
        <v>500</v>
      </c>
      <c r="LJ80" s="858" t="s">
        <v>500</v>
      </c>
      <c r="LK80" s="858" t="s">
        <v>500</v>
      </c>
      <c r="LL80" s="858" t="s">
        <v>504</v>
      </c>
      <c r="LM80" s="858" t="s">
        <v>504</v>
      </c>
      <c r="LN80" s="858" t="s">
        <v>500</v>
      </c>
      <c r="LO80" s="858" t="s">
        <v>471</v>
      </c>
      <c r="LP80" s="858" t="s">
        <v>500</v>
      </c>
      <c r="LQ80" s="853" t="s">
        <v>500</v>
      </c>
      <c r="LR80" s="858" t="s">
        <v>504</v>
      </c>
      <c r="LS80" s="858" t="s">
        <v>504</v>
      </c>
      <c r="LT80" s="858" t="s">
        <v>504</v>
      </c>
      <c r="LU80" s="858" t="s">
        <v>504</v>
      </c>
      <c r="LV80" s="909" t="s">
        <v>504</v>
      </c>
      <c r="LW80" s="858" t="s">
        <v>504</v>
      </c>
      <c r="LX80" s="858" t="s">
        <v>504</v>
      </c>
      <c r="LY80" s="858" t="s">
        <v>504</v>
      </c>
    </row>
    <row r="81" spans="1:337" ht="172.35" customHeight="1" x14ac:dyDescent="0.25">
      <c r="A81" s="1584"/>
      <c r="B81" s="1590"/>
      <c r="C81" s="346" t="s">
        <v>135</v>
      </c>
      <c r="D81" s="367" t="s">
        <v>202</v>
      </c>
      <c r="E81" s="847" t="s">
        <v>48</v>
      </c>
      <c r="F81" s="863"/>
      <c r="G81" s="863"/>
      <c r="H81" s="864"/>
      <c r="I81" s="864"/>
      <c r="J81" s="864"/>
      <c r="K81" s="864"/>
      <c r="L81" s="864"/>
      <c r="M81" s="864"/>
      <c r="N81" s="852" t="s">
        <v>2651</v>
      </c>
      <c r="O81" s="864"/>
      <c r="P81" s="864"/>
      <c r="Q81" s="864"/>
      <c r="R81" s="864"/>
      <c r="S81" s="864"/>
      <c r="T81" s="864"/>
      <c r="U81" s="864"/>
      <c r="V81" s="855"/>
      <c r="W81" s="855"/>
      <c r="X81" s="855"/>
      <c r="Y81" s="855" t="s">
        <v>465</v>
      </c>
      <c r="Z81" s="855"/>
      <c r="AA81" s="864"/>
      <c r="AB81" s="864"/>
      <c r="AC81" s="864"/>
      <c r="AD81" s="864"/>
      <c r="AE81" s="864"/>
      <c r="AF81" s="864"/>
      <c r="AG81" s="864"/>
      <c r="AH81" s="864"/>
      <c r="AI81" s="864"/>
      <c r="AJ81" s="864"/>
      <c r="AK81" s="864"/>
      <c r="AL81" s="864"/>
      <c r="AM81" s="864"/>
      <c r="AN81" s="864"/>
      <c r="AO81" s="864"/>
      <c r="AP81" s="864"/>
      <c r="AQ81" s="864"/>
      <c r="AR81" s="864"/>
      <c r="AS81" s="864"/>
      <c r="AT81" s="864"/>
      <c r="AU81" s="864"/>
      <c r="AV81" s="855"/>
      <c r="AW81" s="855"/>
      <c r="AX81" s="864"/>
      <c r="AY81" s="864"/>
      <c r="AZ81" s="864"/>
      <c r="BA81" s="852"/>
      <c r="BB81" s="958"/>
      <c r="BC81" s="855"/>
      <c r="BD81" s="855"/>
      <c r="BE81" s="864"/>
      <c r="BF81" s="864"/>
      <c r="BG81" s="864"/>
      <c r="BH81" s="864"/>
      <c r="BI81" s="864"/>
      <c r="BJ81" s="864"/>
      <c r="BK81" s="864"/>
      <c r="BL81" s="864"/>
      <c r="BM81" s="864"/>
      <c r="BN81" s="864"/>
      <c r="BO81" s="864"/>
      <c r="BP81" s="864"/>
      <c r="BQ81" s="864"/>
      <c r="BR81" s="864"/>
      <c r="BS81" s="864"/>
      <c r="BT81" s="855"/>
      <c r="BU81" s="855"/>
      <c r="BV81" s="855"/>
      <c r="BW81" s="855"/>
      <c r="BX81" s="864"/>
      <c r="BY81" s="864"/>
      <c r="BZ81" s="864"/>
      <c r="CA81" s="864"/>
      <c r="CB81" s="864"/>
      <c r="CC81" s="862"/>
      <c r="CD81" s="864"/>
      <c r="CE81" s="864"/>
      <c r="CF81" s="864"/>
      <c r="CG81" s="864"/>
      <c r="CH81" s="864"/>
      <c r="CI81" s="864"/>
      <c r="CJ81" s="864"/>
      <c r="CK81" s="855"/>
      <c r="CL81" s="855"/>
      <c r="CM81" s="864"/>
      <c r="CN81" s="864"/>
      <c r="CO81" s="864"/>
      <c r="CP81" s="864"/>
      <c r="CQ81" s="864"/>
      <c r="CR81" s="864"/>
      <c r="CS81" s="864"/>
      <c r="CT81" s="864"/>
      <c r="CU81" s="864"/>
      <c r="CV81" s="864"/>
      <c r="CW81" s="864"/>
      <c r="CX81" s="864"/>
      <c r="CY81" s="864"/>
      <c r="CZ81" s="864"/>
      <c r="DA81" s="864"/>
      <c r="DB81" s="864"/>
      <c r="DC81" s="864"/>
      <c r="DD81" s="864"/>
      <c r="DE81" s="864"/>
      <c r="DF81" s="855"/>
      <c r="DG81" s="864"/>
      <c r="DH81" s="855"/>
      <c r="DI81" s="855"/>
      <c r="DJ81" s="855"/>
      <c r="DK81" s="855" t="s">
        <v>504</v>
      </c>
      <c r="DL81" s="855"/>
      <c r="DM81" s="855"/>
      <c r="DN81" s="864"/>
      <c r="DO81" s="864"/>
      <c r="DP81" s="855"/>
      <c r="DQ81" s="864"/>
      <c r="DR81" s="864"/>
      <c r="DS81" s="864"/>
      <c r="DT81" s="864"/>
      <c r="DU81" s="864"/>
      <c r="DV81" s="864"/>
      <c r="DW81" s="864"/>
      <c r="DX81" s="864"/>
      <c r="DY81" s="864"/>
      <c r="DZ81" s="864"/>
      <c r="EA81" s="864"/>
      <c r="EB81" s="864"/>
      <c r="EC81" s="864"/>
      <c r="ED81" s="864"/>
      <c r="EE81" s="864"/>
      <c r="EF81" s="855"/>
      <c r="EG81" s="855"/>
      <c r="EH81" s="855" t="s">
        <v>3028</v>
      </c>
      <c r="EI81" s="855"/>
      <c r="EJ81" s="858"/>
      <c r="EK81" s="858"/>
      <c r="EL81" s="858"/>
      <c r="EM81" s="853"/>
      <c r="EN81" s="858" t="s">
        <v>504</v>
      </c>
      <c r="EO81" s="858"/>
      <c r="EP81" s="858"/>
      <c r="EQ81" s="858"/>
      <c r="ER81" s="858"/>
      <c r="ES81" s="858"/>
      <c r="ET81" s="858"/>
      <c r="EU81" s="864"/>
      <c r="EV81" s="864"/>
      <c r="EW81" s="855"/>
      <c r="EX81" s="864"/>
      <c r="EY81" s="864"/>
      <c r="EZ81" s="864"/>
      <c r="FA81" s="864"/>
      <c r="FB81" s="864"/>
      <c r="FC81" s="864"/>
      <c r="FD81" s="864"/>
      <c r="FE81" s="855"/>
      <c r="FF81" s="864"/>
      <c r="FG81" s="864"/>
      <c r="FH81" s="864"/>
      <c r="FI81" s="864"/>
      <c r="FJ81" s="864"/>
      <c r="FK81" s="852" t="s">
        <v>3233</v>
      </c>
      <c r="FL81" s="852" t="s">
        <v>3250</v>
      </c>
      <c r="FM81" s="980"/>
      <c r="FN81" s="855"/>
      <c r="FO81" s="855"/>
      <c r="FP81" s="855"/>
      <c r="FQ81" s="855"/>
      <c r="FR81" s="864"/>
      <c r="FS81" s="864"/>
      <c r="FT81" s="864"/>
      <c r="FU81" s="864"/>
      <c r="FV81" s="864"/>
      <c r="FW81" s="864"/>
      <c r="FX81" s="864"/>
      <c r="FY81" s="864"/>
      <c r="FZ81" s="864"/>
      <c r="GA81" s="855"/>
      <c r="GB81" s="855"/>
      <c r="GC81" s="855"/>
      <c r="GD81" s="855"/>
      <c r="GE81" s="855"/>
      <c r="GF81" s="855"/>
      <c r="GG81" s="855" t="s">
        <v>3416</v>
      </c>
      <c r="GH81" s="864"/>
      <c r="GI81" s="864"/>
      <c r="GJ81" s="864"/>
      <c r="GK81" s="864"/>
      <c r="GL81" s="864"/>
      <c r="GM81" s="864"/>
      <c r="GN81" s="864"/>
      <c r="GO81" s="859"/>
      <c r="GP81" s="866"/>
      <c r="GQ81" s="867"/>
      <c r="GR81" s="864"/>
      <c r="GS81" s="864"/>
      <c r="GT81" s="864"/>
      <c r="GU81" s="864"/>
      <c r="GV81" s="864"/>
      <c r="GW81" s="864"/>
      <c r="GX81" s="864"/>
      <c r="GY81" s="864"/>
      <c r="GZ81" s="864"/>
      <c r="HA81" s="864"/>
      <c r="HB81" s="864"/>
      <c r="HC81" s="864"/>
      <c r="HD81" s="864"/>
      <c r="HE81" s="855"/>
      <c r="HF81" s="855"/>
      <c r="HG81" s="864"/>
      <c r="HH81" s="858"/>
      <c r="HI81" s="855"/>
      <c r="HJ81" s="855"/>
      <c r="HK81" s="858"/>
      <c r="HL81" s="864"/>
      <c r="HM81" s="864"/>
      <c r="HN81" s="864"/>
      <c r="HO81" s="861"/>
      <c r="HP81" s="855"/>
      <c r="HQ81" s="855"/>
      <c r="HR81" s="862"/>
      <c r="HS81" s="855"/>
      <c r="HT81" s="855"/>
      <c r="HU81" s="855"/>
      <c r="HV81" s="1000"/>
      <c r="HW81" s="855"/>
      <c r="HX81" s="855"/>
      <c r="HY81" s="855"/>
      <c r="HZ81" s="855"/>
      <c r="IA81" s="855"/>
      <c r="IB81" s="855"/>
      <c r="IC81" s="855"/>
      <c r="ID81" s="855"/>
      <c r="IE81" s="855"/>
      <c r="IF81" s="855"/>
      <c r="IG81" s="862"/>
      <c r="IH81" s="852"/>
      <c r="II81" s="855"/>
      <c r="IJ81" s="862"/>
      <c r="IK81" s="855"/>
      <c r="IL81" s="855"/>
      <c r="IM81" s="855"/>
      <c r="IN81" s="855"/>
      <c r="IO81" s="864"/>
      <c r="IP81" s="864"/>
      <c r="IQ81" s="864"/>
      <c r="IR81" s="862" t="s">
        <v>504</v>
      </c>
      <c r="IS81" s="852" t="s">
        <v>3836</v>
      </c>
      <c r="IT81" s="855"/>
      <c r="IU81" s="855" t="s">
        <v>504</v>
      </c>
      <c r="IV81" s="855" t="s">
        <v>465</v>
      </c>
      <c r="IW81" s="855"/>
      <c r="IX81" s="858"/>
      <c r="IY81" s="855"/>
      <c r="IZ81" s="855"/>
      <c r="JA81" s="855"/>
      <c r="JB81" s="855"/>
      <c r="JC81" s="855"/>
      <c r="JD81" s="855" t="s">
        <v>504</v>
      </c>
      <c r="JE81" s="855"/>
      <c r="JF81" s="858"/>
      <c r="JG81" s="855"/>
      <c r="JH81" s="855"/>
      <c r="JI81" s="855"/>
      <c r="JJ81" s="855"/>
      <c r="JK81" s="855"/>
      <c r="JL81" s="855"/>
      <c r="JM81" s="855"/>
      <c r="JN81" s="855"/>
      <c r="JO81" s="855"/>
      <c r="JP81" s="855"/>
      <c r="JQ81" s="858"/>
      <c r="JR81" s="855"/>
      <c r="JS81" s="855"/>
      <c r="JT81" s="855"/>
      <c r="JU81" s="855"/>
      <c r="JV81" s="855"/>
      <c r="JW81" s="855"/>
      <c r="JX81" s="855"/>
      <c r="JY81" s="855"/>
      <c r="JZ81" s="855"/>
      <c r="KA81" s="855"/>
      <c r="KB81" s="855"/>
      <c r="KC81" s="855"/>
      <c r="KD81" s="855"/>
      <c r="KE81" s="862" t="s">
        <v>504</v>
      </c>
      <c r="KF81" s="862" t="s">
        <v>504</v>
      </c>
      <c r="KG81" s="862" t="s">
        <v>504</v>
      </c>
      <c r="KH81" s="862" t="s">
        <v>504</v>
      </c>
      <c r="KI81" s="862" t="s">
        <v>504</v>
      </c>
      <c r="KJ81" s="862" t="s">
        <v>504</v>
      </c>
      <c r="KK81" s="862" t="s">
        <v>504</v>
      </c>
      <c r="KL81" s="855" t="s">
        <v>504</v>
      </c>
      <c r="KM81" s="864"/>
      <c r="KN81" s="864"/>
      <c r="KO81" s="864"/>
      <c r="KP81" s="864"/>
      <c r="KQ81" s="864"/>
      <c r="KR81" s="855"/>
      <c r="KS81" s="864"/>
      <c r="KT81" s="855"/>
      <c r="KU81" s="864"/>
      <c r="KV81" s="855" t="s">
        <v>4419</v>
      </c>
      <c r="KW81" s="855" t="s">
        <v>4440</v>
      </c>
      <c r="KX81" s="855" t="s">
        <v>4464</v>
      </c>
      <c r="KY81" s="858" t="s">
        <v>4476</v>
      </c>
      <c r="KZ81" s="855" t="s">
        <v>4502</v>
      </c>
      <c r="LA81" s="855" t="s">
        <v>4528</v>
      </c>
      <c r="LB81" s="855" t="s">
        <v>4547</v>
      </c>
      <c r="LC81" s="855" t="s">
        <v>4547</v>
      </c>
      <c r="LD81" s="855"/>
      <c r="LE81" s="855"/>
      <c r="LF81" s="858" t="s">
        <v>4580</v>
      </c>
      <c r="LG81" s="858" t="s">
        <v>4502</v>
      </c>
      <c r="LH81" s="858" t="s">
        <v>4502</v>
      </c>
      <c r="LI81" s="858" t="s">
        <v>4502</v>
      </c>
      <c r="LJ81" s="858" t="s">
        <v>4502</v>
      </c>
      <c r="LK81" s="858" t="s">
        <v>4502</v>
      </c>
      <c r="LL81" s="858"/>
      <c r="LM81" s="858"/>
      <c r="LN81" s="858" t="s">
        <v>4502</v>
      </c>
      <c r="LO81" s="858" t="s">
        <v>4502</v>
      </c>
      <c r="LP81" s="858" t="s">
        <v>4502</v>
      </c>
      <c r="LQ81" s="853" t="s">
        <v>4720</v>
      </c>
      <c r="LR81" s="858"/>
      <c r="LS81" s="858"/>
      <c r="LT81" s="858"/>
      <c r="LU81" s="858"/>
      <c r="LV81" s="909"/>
      <c r="LW81" s="858"/>
      <c r="LX81" s="858"/>
      <c r="LY81" s="858"/>
    </row>
    <row r="82" spans="1:337" ht="204.75" x14ac:dyDescent="0.25">
      <c r="A82" s="1584"/>
      <c r="B82" s="1590"/>
      <c r="C82" s="353" t="s">
        <v>136</v>
      </c>
      <c r="D82" s="367" t="s">
        <v>203</v>
      </c>
      <c r="E82" s="847" t="s">
        <v>48</v>
      </c>
      <c r="F82" s="863"/>
      <c r="G82" s="863"/>
      <c r="H82" s="864"/>
      <c r="I82" s="864"/>
      <c r="J82" s="864"/>
      <c r="K82" s="864"/>
      <c r="L82" s="864"/>
      <c r="M82" s="864"/>
      <c r="N82" s="852" t="s">
        <v>2652</v>
      </c>
      <c r="O82" s="864"/>
      <c r="P82" s="864"/>
      <c r="Q82" s="864"/>
      <c r="R82" s="864"/>
      <c r="S82" s="864"/>
      <c r="T82" s="864"/>
      <c r="U82" s="864"/>
      <c r="V82" s="855"/>
      <c r="W82" s="855"/>
      <c r="X82" s="855"/>
      <c r="Y82" s="855" t="s">
        <v>465</v>
      </c>
      <c r="Z82" s="855"/>
      <c r="AA82" s="864"/>
      <c r="AB82" s="864"/>
      <c r="AC82" s="864"/>
      <c r="AD82" s="864"/>
      <c r="AE82" s="864"/>
      <c r="AF82" s="864"/>
      <c r="AG82" s="864"/>
      <c r="AH82" s="864"/>
      <c r="AI82" s="864"/>
      <c r="AJ82" s="864"/>
      <c r="AK82" s="864"/>
      <c r="AL82" s="864"/>
      <c r="AM82" s="864"/>
      <c r="AN82" s="864"/>
      <c r="AO82" s="864"/>
      <c r="AP82" s="864"/>
      <c r="AQ82" s="864"/>
      <c r="AR82" s="864"/>
      <c r="AS82" s="864"/>
      <c r="AT82" s="864"/>
      <c r="AU82" s="864"/>
      <c r="AV82" s="855"/>
      <c r="AW82" s="855"/>
      <c r="AX82" s="864"/>
      <c r="AY82" s="864"/>
      <c r="AZ82" s="864"/>
      <c r="BA82" s="852"/>
      <c r="BB82" s="855"/>
      <c r="BC82" s="855"/>
      <c r="BD82" s="855"/>
      <c r="BE82" s="864"/>
      <c r="BF82" s="864"/>
      <c r="BG82" s="864"/>
      <c r="BH82" s="864"/>
      <c r="BI82" s="864"/>
      <c r="BJ82" s="864"/>
      <c r="BK82" s="864"/>
      <c r="BL82" s="864"/>
      <c r="BM82" s="864"/>
      <c r="BN82" s="864"/>
      <c r="BO82" s="864"/>
      <c r="BP82" s="864"/>
      <c r="BQ82" s="864"/>
      <c r="BR82" s="864"/>
      <c r="BS82" s="864"/>
      <c r="BT82" s="855"/>
      <c r="BU82" s="855"/>
      <c r="BV82" s="855"/>
      <c r="BW82" s="855"/>
      <c r="BX82" s="864"/>
      <c r="BY82" s="864"/>
      <c r="BZ82" s="864"/>
      <c r="CA82" s="864"/>
      <c r="CB82" s="864"/>
      <c r="CC82" s="862"/>
      <c r="CD82" s="864"/>
      <c r="CE82" s="864"/>
      <c r="CF82" s="864"/>
      <c r="CG82" s="864"/>
      <c r="CH82" s="864"/>
      <c r="CI82" s="864"/>
      <c r="CJ82" s="864"/>
      <c r="CK82" s="855"/>
      <c r="CL82" s="855"/>
      <c r="CM82" s="864"/>
      <c r="CN82" s="864"/>
      <c r="CO82" s="864"/>
      <c r="CP82" s="864"/>
      <c r="CQ82" s="864"/>
      <c r="CR82" s="864"/>
      <c r="CS82" s="864"/>
      <c r="CT82" s="864"/>
      <c r="CU82" s="864"/>
      <c r="CV82" s="864"/>
      <c r="CW82" s="864"/>
      <c r="CX82" s="864"/>
      <c r="CY82" s="864"/>
      <c r="CZ82" s="864"/>
      <c r="DA82" s="864"/>
      <c r="DB82" s="864"/>
      <c r="DC82" s="864"/>
      <c r="DD82" s="864"/>
      <c r="DE82" s="864"/>
      <c r="DF82" s="855"/>
      <c r="DG82" s="864"/>
      <c r="DH82" s="855"/>
      <c r="DI82" s="855"/>
      <c r="DJ82" s="855"/>
      <c r="DK82" s="855" t="s">
        <v>504</v>
      </c>
      <c r="DL82" s="855"/>
      <c r="DM82" s="855"/>
      <c r="DN82" s="864"/>
      <c r="DO82" s="864"/>
      <c r="DP82" s="855"/>
      <c r="DQ82" s="864"/>
      <c r="DR82" s="864"/>
      <c r="DS82" s="864"/>
      <c r="DT82" s="864"/>
      <c r="DU82" s="864"/>
      <c r="DV82" s="864"/>
      <c r="DW82" s="864"/>
      <c r="DX82" s="864"/>
      <c r="DY82" s="864"/>
      <c r="DZ82" s="864"/>
      <c r="EA82" s="864"/>
      <c r="EB82" s="864"/>
      <c r="EC82" s="864"/>
      <c r="ED82" s="864"/>
      <c r="EE82" s="864"/>
      <c r="EF82" s="855"/>
      <c r="EG82" s="855"/>
      <c r="EH82" s="855"/>
      <c r="EI82" s="855"/>
      <c r="EJ82" s="858"/>
      <c r="EK82" s="858"/>
      <c r="EL82" s="858"/>
      <c r="EM82" s="853"/>
      <c r="EN82" s="858" t="s">
        <v>504</v>
      </c>
      <c r="EO82" s="858"/>
      <c r="EP82" s="858"/>
      <c r="EQ82" s="858"/>
      <c r="ER82" s="858"/>
      <c r="ES82" s="858"/>
      <c r="ET82" s="858"/>
      <c r="EU82" s="864"/>
      <c r="EV82" s="864"/>
      <c r="EW82" s="855"/>
      <c r="EX82" s="864"/>
      <c r="EY82" s="864"/>
      <c r="EZ82" s="864"/>
      <c r="FA82" s="864"/>
      <c r="FB82" s="864"/>
      <c r="FC82" s="864"/>
      <c r="FD82" s="864"/>
      <c r="FE82" s="855"/>
      <c r="FF82" s="864"/>
      <c r="FG82" s="864"/>
      <c r="FH82" s="864"/>
      <c r="FI82" s="864"/>
      <c r="FJ82" s="864"/>
      <c r="FK82" s="852" t="s">
        <v>3234</v>
      </c>
      <c r="FL82" s="852" t="s">
        <v>3255</v>
      </c>
      <c r="FM82" s="855"/>
      <c r="FN82" s="855"/>
      <c r="FO82" s="855"/>
      <c r="FP82" s="855"/>
      <c r="FQ82" s="855"/>
      <c r="FR82" s="864"/>
      <c r="FS82" s="864"/>
      <c r="FT82" s="864"/>
      <c r="FU82" s="864"/>
      <c r="FV82" s="864"/>
      <c r="FW82" s="864"/>
      <c r="FX82" s="864"/>
      <c r="FY82" s="864"/>
      <c r="FZ82" s="864"/>
      <c r="GA82" s="855"/>
      <c r="GB82" s="855"/>
      <c r="GC82" s="855"/>
      <c r="GD82" s="855"/>
      <c r="GE82" s="855"/>
      <c r="GF82" s="855"/>
      <c r="GG82" s="855" t="s">
        <v>3417</v>
      </c>
      <c r="GH82" s="864"/>
      <c r="GI82" s="864"/>
      <c r="GJ82" s="864"/>
      <c r="GK82" s="864"/>
      <c r="GL82" s="864"/>
      <c r="GM82" s="864"/>
      <c r="GN82" s="864"/>
      <c r="GO82" s="859"/>
      <c r="GP82" s="866"/>
      <c r="GQ82" s="867"/>
      <c r="GR82" s="864"/>
      <c r="GS82" s="864"/>
      <c r="GT82" s="864"/>
      <c r="GU82" s="864"/>
      <c r="GV82" s="864"/>
      <c r="GW82" s="864"/>
      <c r="GX82" s="864"/>
      <c r="GY82" s="864"/>
      <c r="GZ82" s="864"/>
      <c r="HA82" s="864"/>
      <c r="HB82" s="864"/>
      <c r="HC82" s="864"/>
      <c r="HD82" s="864"/>
      <c r="HE82" s="855"/>
      <c r="HF82" s="855"/>
      <c r="HG82" s="864"/>
      <c r="HH82" s="858"/>
      <c r="HI82" s="855"/>
      <c r="HJ82" s="855"/>
      <c r="HK82" s="858"/>
      <c r="HL82" s="864"/>
      <c r="HM82" s="864"/>
      <c r="HN82" s="864"/>
      <c r="HO82" s="861"/>
      <c r="HP82" s="855"/>
      <c r="HQ82" s="855"/>
      <c r="HR82" s="862"/>
      <c r="HS82" s="855"/>
      <c r="HT82" s="855"/>
      <c r="HU82" s="855"/>
      <c r="HV82" s="852"/>
      <c r="HW82" s="855"/>
      <c r="HX82" s="855"/>
      <c r="HY82" s="855"/>
      <c r="HZ82" s="855"/>
      <c r="IA82" s="855"/>
      <c r="IB82" s="855"/>
      <c r="IC82" s="855"/>
      <c r="ID82" s="855"/>
      <c r="IE82" s="855"/>
      <c r="IF82" s="855"/>
      <c r="IG82" s="862"/>
      <c r="IH82" s="852"/>
      <c r="II82" s="855"/>
      <c r="IJ82" s="862"/>
      <c r="IK82" s="855"/>
      <c r="IL82" s="855"/>
      <c r="IM82" s="855"/>
      <c r="IN82" s="855"/>
      <c r="IO82" s="864"/>
      <c r="IP82" s="864"/>
      <c r="IQ82" s="864"/>
      <c r="IR82" s="862" t="s">
        <v>504</v>
      </c>
      <c r="IS82" s="852" t="s">
        <v>2842</v>
      </c>
      <c r="IT82" s="855"/>
      <c r="IU82" s="855" t="s">
        <v>504</v>
      </c>
      <c r="IV82" s="855" t="s">
        <v>465</v>
      </c>
      <c r="IW82" s="855"/>
      <c r="IX82" s="858"/>
      <c r="IY82" s="855"/>
      <c r="IZ82" s="855"/>
      <c r="JA82" s="855"/>
      <c r="JB82" s="855"/>
      <c r="JC82" s="855"/>
      <c r="JD82" s="855" t="s">
        <v>504</v>
      </c>
      <c r="JE82" s="855"/>
      <c r="JF82" s="858"/>
      <c r="JG82" s="855"/>
      <c r="JH82" s="855"/>
      <c r="JI82" s="855"/>
      <c r="JJ82" s="855"/>
      <c r="JK82" s="855"/>
      <c r="JL82" s="855"/>
      <c r="JM82" s="855"/>
      <c r="JN82" s="855"/>
      <c r="JO82" s="855"/>
      <c r="JP82" s="855"/>
      <c r="JQ82" s="858"/>
      <c r="JR82" s="855"/>
      <c r="JS82" s="855"/>
      <c r="JT82" s="855"/>
      <c r="JU82" s="855"/>
      <c r="JV82" s="855"/>
      <c r="JW82" s="855"/>
      <c r="JX82" s="855"/>
      <c r="JY82" s="855"/>
      <c r="JZ82" s="855"/>
      <c r="KA82" s="855"/>
      <c r="KB82" s="855"/>
      <c r="KC82" s="855"/>
      <c r="KD82" s="855"/>
      <c r="KE82" s="862" t="s">
        <v>504</v>
      </c>
      <c r="KF82" s="862" t="s">
        <v>504</v>
      </c>
      <c r="KG82" s="862" t="s">
        <v>504</v>
      </c>
      <c r="KH82" s="862" t="s">
        <v>504</v>
      </c>
      <c r="KI82" s="862" t="s">
        <v>504</v>
      </c>
      <c r="KJ82" s="862" t="s">
        <v>504</v>
      </c>
      <c r="KK82" s="862" t="s">
        <v>504</v>
      </c>
      <c r="KL82" s="855" t="s">
        <v>504</v>
      </c>
      <c r="KM82" s="864"/>
      <c r="KN82" s="864"/>
      <c r="KO82" s="864"/>
      <c r="KP82" s="864"/>
      <c r="KQ82" s="864"/>
      <c r="KR82" s="855"/>
      <c r="KS82" s="864"/>
      <c r="KT82" s="855"/>
      <c r="KU82" s="864"/>
      <c r="KV82" s="855"/>
      <c r="KW82" s="855" t="s">
        <v>4441</v>
      </c>
      <c r="KX82" s="855" t="s">
        <v>2842</v>
      </c>
      <c r="KY82" s="858"/>
      <c r="KZ82" s="855" t="s">
        <v>4503</v>
      </c>
      <c r="LA82" s="855" t="s">
        <v>2842</v>
      </c>
      <c r="LB82" s="855" t="s">
        <v>504</v>
      </c>
      <c r="LC82" s="855" t="s">
        <v>4555</v>
      </c>
      <c r="LD82" s="855"/>
      <c r="LE82" s="855"/>
      <c r="LF82" s="858" t="s">
        <v>504</v>
      </c>
      <c r="LG82" s="858" t="s">
        <v>504</v>
      </c>
      <c r="LH82" s="858" t="s">
        <v>504</v>
      </c>
      <c r="LI82" s="858" t="s">
        <v>504</v>
      </c>
      <c r="LJ82" s="858" t="s">
        <v>504</v>
      </c>
      <c r="LK82" s="858" t="s">
        <v>504</v>
      </c>
      <c r="LL82" s="858"/>
      <c r="LM82" s="858"/>
      <c r="LN82" s="858" t="s">
        <v>504</v>
      </c>
      <c r="LO82" s="858" t="s">
        <v>504</v>
      </c>
      <c r="LP82" s="858" t="s">
        <v>504</v>
      </c>
      <c r="LQ82" s="853" t="s">
        <v>4721</v>
      </c>
      <c r="LR82" s="858"/>
      <c r="LS82" s="858"/>
      <c r="LT82" s="858"/>
      <c r="LU82" s="858"/>
      <c r="LV82" s="909"/>
      <c r="LW82" s="858"/>
      <c r="LX82" s="858"/>
      <c r="LY82" s="858"/>
    </row>
    <row r="83" spans="1:337" ht="110.25" x14ac:dyDescent="0.25">
      <c r="A83" s="1584"/>
      <c r="B83" s="1590"/>
      <c r="C83" s="353" t="s">
        <v>137</v>
      </c>
      <c r="D83" s="367" t="s">
        <v>204</v>
      </c>
      <c r="E83" s="847" t="s">
        <v>53</v>
      </c>
      <c r="F83" s="863"/>
      <c r="G83" s="863"/>
      <c r="H83" s="864"/>
      <c r="I83" s="864"/>
      <c r="J83" s="864"/>
      <c r="K83" s="864"/>
      <c r="L83" s="864"/>
      <c r="M83" s="864"/>
      <c r="N83" s="852">
        <v>6</v>
      </c>
      <c r="O83" s="864"/>
      <c r="P83" s="864"/>
      <c r="Q83" s="864"/>
      <c r="R83" s="864"/>
      <c r="S83" s="864"/>
      <c r="T83" s="864"/>
      <c r="U83" s="864"/>
      <c r="V83" s="980"/>
      <c r="W83" s="980"/>
      <c r="X83" s="980"/>
      <c r="Y83" s="980" t="s">
        <v>465</v>
      </c>
      <c r="Z83" s="980"/>
      <c r="AA83" s="864"/>
      <c r="AB83" s="864"/>
      <c r="AC83" s="864"/>
      <c r="AD83" s="864"/>
      <c r="AE83" s="864"/>
      <c r="AF83" s="864"/>
      <c r="AG83" s="864"/>
      <c r="AH83" s="864"/>
      <c r="AI83" s="864"/>
      <c r="AJ83" s="864"/>
      <c r="AK83" s="864"/>
      <c r="AL83" s="864"/>
      <c r="AM83" s="864"/>
      <c r="AN83" s="864"/>
      <c r="AO83" s="864"/>
      <c r="AP83" s="864"/>
      <c r="AQ83" s="864"/>
      <c r="AR83" s="864"/>
      <c r="AS83" s="864"/>
      <c r="AT83" s="864"/>
      <c r="AU83" s="864"/>
      <c r="AV83" s="855"/>
      <c r="AW83" s="980"/>
      <c r="AX83" s="864"/>
      <c r="AY83" s="864"/>
      <c r="AZ83" s="864"/>
      <c r="BA83" s="852"/>
      <c r="BB83" s="855"/>
      <c r="BC83" s="980"/>
      <c r="BD83" s="855"/>
      <c r="BE83" s="864"/>
      <c r="BF83" s="864"/>
      <c r="BG83" s="864"/>
      <c r="BH83" s="864"/>
      <c r="BI83" s="864"/>
      <c r="BJ83" s="864"/>
      <c r="BK83" s="864"/>
      <c r="BL83" s="864"/>
      <c r="BM83" s="864"/>
      <c r="BN83" s="864"/>
      <c r="BO83" s="864"/>
      <c r="BP83" s="864"/>
      <c r="BQ83" s="864"/>
      <c r="BR83" s="864"/>
      <c r="BS83" s="864"/>
      <c r="BT83" s="980"/>
      <c r="BU83" s="980"/>
      <c r="BV83" s="980"/>
      <c r="BW83" s="980"/>
      <c r="BX83" s="864"/>
      <c r="BY83" s="864"/>
      <c r="BZ83" s="864"/>
      <c r="CA83" s="864"/>
      <c r="CB83" s="864"/>
      <c r="CC83" s="998"/>
      <c r="CD83" s="864"/>
      <c r="CE83" s="864"/>
      <c r="CF83" s="864"/>
      <c r="CG83" s="864"/>
      <c r="CH83" s="864"/>
      <c r="CI83" s="864"/>
      <c r="CJ83" s="864"/>
      <c r="CK83" s="980"/>
      <c r="CL83" s="980"/>
      <c r="CM83" s="864"/>
      <c r="CN83" s="864"/>
      <c r="CO83" s="864"/>
      <c r="CP83" s="864"/>
      <c r="CQ83" s="864"/>
      <c r="CR83" s="864"/>
      <c r="CS83" s="864"/>
      <c r="CT83" s="864"/>
      <c r="CU83" s="864"/>
      <c r="CV83" s="864"/>
      <c r="CW83" s="864"/>
      <c r="CX83" s="864"/>
      <c r="CY83" s="864"/>
      <c r="CZ83" s="864"/>
      <c r="DA83" s="864"/>
      <c r="DB83" s="864"/>
      <c r="DC83" s="864"/>
      <c r="DD83" s="864"/>
      <c r="DE83" s="864"/>
      <c r="DF83" s="980"/>
      <c r="DG83" s="864"/>
      <c r="DH83" s="980"/>
      <c r="DI83" s="980"/>
      <c r="DJ83" s="980"/>
      <c r="DK83" s="980" t="s">
        <v>504</v>
      </c>
      <c r="DL83" s="980"/>
      <c r="DM83" s="980"/>
      <c r="DN83" s="864"/>
      <c r="DO83" s="864"/>
      <c r="DP83" s="980"/>
      <c r="DQ83" s="864"/>
      <c r="DR83" s="864"/>
      <c r="DS83" s="864"/>
      <c r="DT83" s="864"/>
      <c r="DU83" s="864"/>
      <c r="DV83" s="864"/>
      <c r="DW83" s="864"/>
      <c r="DX83" s="864"/>
      <c r="DY83" s="864"/>
      <c r="DZ83" s="864"/>
      <c r="EA83" s="864"/>
      <c r="EB83" s="864"/>
      <c r="EC83" s="864"/>
      <c r="ED83" s="864"/>
      <c r="EE83" s="864"/>
      <c r="EF83" s="980"/>
      <c r="EG83" s="980"/>
      <c r="EH83" s="980">
        <v>4</v>
      </c>
      <c r="EI83" s="855"/>
      <c r="EJ83" s="999"/>
      <c r="EK83" s="999"/>
      <c r="EL83" s="999"/>
      <c r="EM83" s="853"/>
      <c r="EN83" s="999"/>
      <c r="EO83" s="999"/>
      <c r="EP83" s="999"/>
      <c r="EQ83" s="999"/>
      <c r="ER83" s="999"/>
      <c r="ES83" s="999"/>
      <c r="ET83" s="999"/>
      <c r="EU83" s="864"/>
      <c r="EV83" s="864"/>
      <c r="EW83" s="980"/>
      <c r="EX83" s="864"/>
      <c r="EY83" s="864"/>
      <c r="EZ83" s="864"/>
      <c r="FA83" s="864"/>
      <c r="FB83" s="864"/>
      <c r="FC83" s="864"/>
      <c r="FD83" s="864"/>
      <c r="FE83" s="980"/>
      <c r="FF83" s="864"/>
      <c r="FG83" s="864"/>
      <c r="FH83" s="864"/>
      <c r="FI83" s="864"/>
      <c r="FJ83" s="864"/>
      <c r="FK83" s="1000">
        <v>10</v>
      </c>
      <c r="FL83" s="980">
        <v>1</v>
      </c>
      <c r="FM83" s="855"/>
      <c r="FN83" s="980"/>
      <c r="FO83" s="980"/>
      <c r="FP83" s="855"/>
      <c r="FQ83" s="980"/>
      <c r="FR83" s="864"/>
      <c r="FS83" s="864"/>
      <c r="FT83" s="864"/>
      <c r="FU83" s="864"/>
      <c r="FV83" s="864"/>
      <c r="FW83" s="864"/>
      <c r="FX83" s="864"/>
      <c r="FY83" s="864"/>
      <c r="FZ83" s="864"/>
      <c r="GA83" s="980"/>
      <c r="GB83" s="980"/>
      <c r="GC83" s="980"/>
      <c r="GD83" s="980"/>
      <c r="GE83" s="980"/>
      <c r="GF83" s="980"/>
      <c r="GG83" s="980">
        <v>78</v>
      </c>
      <c r="GH83" s="864"/>
      <c r="GI83" s="864"/>
      <c r="GJ83" s="864"/>
      <c r="GK83" s="864"/>
      <c r="GL83" s="864"/>
      <c r="GM83" s="864"/>
      <c r="GN83" s="864"/>
      <c r="GO83" s="1001"/>
      <c r="GP83" s="1002"/>
      <c r="GQ83" s="867"/>
      <c r="GR83" s="864"/>
      <c r="GS83" s="864"/>
      <c r="GT83" s="864"/>
      <c r="GU83" s="864"/>
      <c r="GV83" s="864"/>
      <c r="GW83" s="864"/>
      <c r="GX83" s="864"/>
      <c r="GY83" s="864"/>
      <c r="GZ83" s="864"/>
      <c r="HA83" s="864"/>
      <c r="HB83" s="864"/>
      <c r="HC83" s="864"/>
      <c r="HD83" s="864"/>
      <c r="HE83" s="980"/>
      <c r="HF83" s="980"/>
      <c r="HG83" s="864"/>
      <c r="HH83" s="999"/>
      <c r="HI83" s="980"/>
      <c r="HJ83" s="980"/>
      <c r="HK83" s="999"/>
      <c r="HL83" s="864"/>
      <c r="HM83" s="864"/>
      <c r="HN83" s="864"/>
      <c r="HO83" s="1004"/>
      <c r="HP83" s="980"/>
      <c r="HQ83" s="980"/>
      <c r="HR83" s="998"/>
      <c r="HS83" s="980"/>
      <c r="HT83" s="980"/>
      <c r="HU83" s="980"/>
      <c r="HV83" s="852"/>
      <c r="HW83" s="980"/>
      <c r="HX83" s="980"/>
      <c r="HY83" s="980"/>
      <c r="HZ83" s="980"/>
      <c r="IA83" s="980"/>
      <c r="IB83" s="980"/>
      <c r="IC83" s="980"/>
      <c r="ID83" s="980"/>
      <c r="IE83" s="980"/>
      <c r="IF83" s="980"/>
      <c r="IG83" s="998"/>
      <c r="IH83" s="1000"/>
      <c r="II83" s="980"/>
      <c r="IJ83" s="998"/>
      <c r="IK83" s="980"/>
      <c r="IL83" s="980"/>
      <c r="IM83" s="980"/>
      <c r="IN83" s="980"/>
      <c r="IO83" s="864"/>
      <c r="IP83" s="864"/>
      <c r="IQ83" s="864"/>
      <c r="IR83" s="998" t="s">
        <v>504</v>
      </c>
      <c r="IS83" s="980">
        <v>1</v>
      </c>
      <c r="IT83" s="980"/>
      <c r="IU83" s="855" t="s">
        <v>504</v>
      </c>
      <c r="IV83" s="980" t="s">
        <v>465</v>
      </c>
      <c r="IW83" s="980"/>
      <c r="IX83" s="999"/>
      <c r="IY83" s="980"/>
      <c r="IZ83" s="980"/>
      <c r="JA83" s="980"/>
      <c r="JB83" s="980"/>
      <c r="JC83" s="980"/>
      <c r="JD83" s="980" t="s">
        <v>504</v>
      </c>
      <c r="JE83" s="980"/>
      <c r="JF83" s="858"/>
      <c r="JG83" s="980"/>
      <c r="JH83" s="980"/>
      <c r="JI83" s="980"/>
      <c r="JJ83" s="980"/>
      <c r="JK83" s="980"/>
      <c r="JL83" s="980"/>
      <c r="JM83" s="980"/>
      <c r="JN83" s="980"/>
      <c r="JO83" s="980"/>
      <c r="JP83" s="855"/>
      <c r="JQ83" s="999"/>
      <c r="JR83" s="980"/>
      <c r="JS83" s="980"/>
      <c r="JT83" s="980"/>
      <c r="JU83" s="980"/>
      <c r="JV83" s="980"/>
      <c r="JW83" s="980"/>
      <c r="JX83" s="980"/>
      <c r="JY83" s="980"/>
      <c r="JZ83" s="980"/>
      <c r="KA83" s="980"/>
      <c r="KB83" s="980"/>
      <c r="KC83" s="980"/>
      <c r="KD83" s="980"/>
      <c r="KE83" s="998" t="s">
        <v>504</v>
      </c>
      <c r="KF83" s="998" t="s">
        <v>504</v>
      </c>
      <c r="KG83" s="998" t="s">
        <v>504</v>
      </c>
      <c r="KH83" s="998" t="s">
        <v>504</v>
      </c>
      <c r="KI83" s="998" t="s">
        <v>504</v>
      </c>
      <c r="KJ83" s="998" t="s">
        <v>504</v>
      </c>
      <c r="KK83" s="998" t="s">
        <v>504</v>
      </c>
      <c r="KL83" s="980"/>
      <c r="KM83" s="864"/>
      <c r="KN83" s="864"/>
      <c r="KO83" s="864"/>
      <c r="KP83" s="864"/>
      <c r="KQ83" s="864"/>
      <c r="KR83" s="980"/>
      <c r="KS83" s="864"/>
      <c r="KT83" s="980"/>
      <c r="KU83" s="864"/>
      <c r="KV83" s="980">
        <v>1</v>
      </c>
      <c r="KW83" s="980">
        <v>4</v>
      </c>
      <c r="KX83" s="980">
        <v>2</v>
      </c>
      <c r="KY83" s="858">
        <v>3</v>
      </c>
      <c r="KZ83" s="980">
        <v>16</v>
      </c>
      <c r="LA83" s="980">
        <v>49</v>
      </c>
      <c r="LB83" s="980">
        <v>2</v>
      </c>
      <c r="LC83" s="980">
        <v>2</v>
      </c>
      <c r="LD83" s="980"/>
      <c r="LE83" s="980"/>
      <c r="LF83" s="858">
        <v>12</v>
      </c>
      <c r="LG83" s="999">
        <v>1</v>
      </c>
      <c r="LH83" s="999">
        <v>1</v>
      </c>
      <c r="LI83" s="999">
        <v>1</v>
      </c>
      <c r="LJ83" s="999">
        <v>1</v>
      </c>
      <c r="LK83" s="999">
        <v>1</v>
      </c>
      <c r="LL83" s="999"/>
      <c r="LM83" s="999"/>
      <c r="LN83" s="999">
        <v>1</v>
      </c>
      <c r="LO83" s="999">
        <v>1</v>
      </c>
      <c r="LP83" s="999">
        <v>1</v>
      </c>
      <c r="LQ83" s="1052">
        <v>19</v>
      </c>
      <c r="LR83" s="999"/>
      <c r="LS83" s="999"/>
      <c r="LT83" s="999"/>
      <c r="LU83" s="999"/>
      <c r="LV83" s="1006"/>
      <c r="LW83" s="999"/>
      <c r="LX83" s="999"/>
      <c r="LY83" s="999"/>
    </row>
    <row r="84" spans="1:337" ht="20.25" customHeight="1" x14ac:dyDescent="0.25">
      <c r="A84" s="1584"/>
      <c r="B84" s="1590"/>
      <c r="C84" s="353" t="s">
        <v>5369</v>
      </c>
      <c r="D84" s="368" t="s">
        <v>205</v>
      </c>
      <c r="E84" s="848" t="s">
        <v>53</v>
      </c>
      <c r="F84" s="863"/>
      <c r="G84" s="863"/>
      <c r="H84" s="864"/>
      <c r="I84" s="864"/>
      <c r="J84" s="864"/>
      <c r="K84" s="864"/>
      <c r="L84" s="864"/>
      <c r="M84" s="864"/>
      <c r="N84" s="852"/>
      <c r="O84" s="864"/>
      <c r="P84" s="864"/>
      <c r="Q84" s="864"/>
      <c r="R84" s="864"/>
      <c r="S84" s="864"/>
      <c r="T84" s="864"/>
      <c r="U84" s="864"/>
      <c r="V84" s="980"/>
      <c r="W84" s="980"/>
      <c r="X84" s="980"/>
      <c r="Y84" s="980" t="s">
        <v>465</v>
      </c>
      <c r="Z84" s="980"/>
      <c r="AA84" s="864"/>
      <c r="AB84" s="864"/>
      <c r="AC84" s="864"/>
      <c r="AD84" s="864"/>
      <c r="AE84" s="864"/>
      <c r="AF84" s="864"/>
      <c r="AG84" s="864"/>
      <c r="AH84" s="864"/>
      <c r="AI84" s="864"/>
      <c r="AJ84" s="864"/>
      <c r="AK84" s="864"/>
      <c r="AL84" s="864"/>
      <c r="AM84" s="864"/>
      <c r="AN84" s="864"/>
      <c r="AO84" s="864"/>
      <c r="AP84" s="864"/>
      <c r="AQ84" s="864"/>
      <c r="AR84" s="864"/>
      <c r="AS84" s="864"/>
      <c r="AT84" s="864"/>
      <c r="AU84" s="864"/>
      <c r="AV84" s="855"/>
      <c r="AW84" s="980"/>
      <c r="AX84" s="864"/>
      <c r="AY84" s="864"/>
      <c r="AZ84" s="864"/>
      <c r="BA84" s="852"/>
      <c r="BB84" s="980">
        <v>7</v>
      </c>
      <c r="BC84" s="980"/>
      <c r="BD84" s="980"/>
      <c r="BE84" s="864"/>
      <c r="BF84" s="864"/>
      <c r="BG84" s="864"/>
      <c r="BH84" s="864"/>
      <c r="BI84" s="864"/>
      <c r="BJ84" s="864"/>
      <c r="BK84" s="864"/>
      <c r="BL84" s="864"/>
      <c r="BM84" s="864"/>
      <c r="BN84" s="864"/>
      <c r="BO84" s="864"/>
      <c r="BP84" s="864"/>
      <c r="BQ84" s="864"/>
      <c r="BR84" s="864"/>
      <c r="BS84" s="864"/>
      <c r="BT84" s="980"/>
      <c r="BU84" s="980"/>
      <c r="BV84" s="980"/>
      <c r="BW84" s="980"/>
      <c r="BX84" s="864"/>
      <c r="BY84" s="864"/>
      <c r="BZ84" s="864"/>
      <c r="CA84" s="864"/>
      <c r="CB84" s="864"/>
      <c r="CC84" s="998"/>
      <c r="CD84" s="864"/>
      <c r="CE84" s="864"/>
      <c r="CF84" s="864"/>
      <c r="CG84" s="864"/>
      <c r="CH84" s="864"/>
      <c r="CI84" s="864"/>
      <c r="CJ84" s="864"/>
      <c r="CK84" s="980"/>
      <c r="CL84" s="980"/>
      <c r="CM84" s="864"/>
      <c r="CN84" s="864"/>
      <c r="CO84" s="864"/>
      <c r="CP84" s="864"/>
      <c r="CQ84" s="864"/>
      <c r="CR84" s="864"/>
      <c r="CS84" s="864"/>
      <c r="CT84" s="864"/>
      <c r="CU84" s="864"/>
      <c r="CV84" s="864"/>
      <c r="CW84" s="864"/>
      <c r="CX84" s="864"/>
      <c r="CY84" s="864"/>
      <c r="CZ84" s="864"/>
      <c r="DA84" s="864"/>
      <c r="DB84" s="864"/>
      <c r="DC84" s="864"/>
      <c r="DD84" s="864"/>
      <c r="DE84" s="864"/>
      <c r="DF84" s="980"/>
      <c r="DG84" s="864"/>
      <c r="DH84" s="980"/>
      <c r="DI84" s="980"/>
      <c r="DJ84" s="980"/>
      <c r="DK84" s="980" t="s">
        <v>504</v>
      </c>
      <c r="DL84" s="980"/>
      <c r="DM84" s="980"/>
      <c r="DN84" s="864"/>
      <c r="DO84" s="864"/>
      <c r="DP84" s="980"/>
      <c r="DQ84" s="864"/>
      <c r="DR84" s="864"/>
      <c r="DS84" s="864"/>
      <c r="DT84" s="864"/>
      <c r="DU84" s="864"/>
      <c r="DV84" s="864"/>
      <c r="DW84" s="864"/>
      <c r="DX84" s="864"/>
      <c r="DY84" s="864"/>
      <c r="DZ84" s="864"/>
      <c r="EA84" s="864"/>
      <c r="EB84" s="864"/>
      <c r="EC84" s="864"/>
      <c r="ED84" s="864"/>
      <c r="EE84" s="864"/>
      <c r="EF84" s="980"/>
      <c r="EG84" s="980"/>
      <c r="EH84" s="980"/>
      <c r="EI84" s="855"/>
      <c r="EJ84" s="999"/>
      <c r="EK84" s="999"/>
      <c r="EL84" s="999"/>
      <c r="EM84" s="853"/>
      <c r="EN84" s="999"/>
      <c r="EO84" s="999"/>
      <c r="EP84" s="999"/>
      <c r="EQ84" s="999"/>
      <c r="ER84" s="999"/>
      <c r="ES84" s="999"/>
      <c r="ET84" s="999"/>
      <c r="EU84" s="864"/>
      <c r="EV84" s="864"/>
      <c r="EW84" s="980"/>
      <c r="EX84" s="864"/>
      <c r="EY84" s="864"/>
      <c r="EZ84" s="864"/>
      <c r="FA84" s="864"/>
      <c r="FB84" s="864"/>
      <c r="FC84" s="864"/>
      <c r="FD84" s="864"/>
      <c r="FE84" s="980"/>
      <c r="FF84" s="864"/>
      <c r="FG84" s="864"/>
      <c r="FH84" s="864"/>
      <c r="FI84" s="864"/>
      <c r="FJ84" s="864"/>
      <c r="FK84" s="1000">
        <v>55</v>
      </c>
      <c r="FL84" s="980">
        <v>0</v>
      </c>
      <c r="FM84" s="980"/>
      <c r="FN84" s="980"/>
      <c r="FO84" s="980"/>
      <c r="FP84" s="980"/>
      <c r="FQ84" s="980"/>
      <c r="FR84" s="864"/>
      <c r="FS84" s="864"/>
      <c r="FT84" s="864"/>
      <c r="FU84" s="864"/>
      <c r="FV84" s="864"/>
      <c r="FW84" s="864"/>
      <c r="FX84" s="864"/>
      <c r="FY84" s="864"/>
      <c r="FZ84" s="864"/>
      <c r="GA84" s="980"/>
      <c r="GB84" s="980"/>
      <c r="GC84" s="980"/>
      <c r="GD84" s="980"/>
      <c r="GE84" s="980"/>
      <c r="GF84" s="980"/>
      <c r="GG84" s="980"/>
      <c r="GH84" s="864"/>
      <c r="GI84" s="864"/>
      <c r="GJ84" s="864"/>
      <c r="GK84" s="864"/>
      <c r="GL84" s="864"/>
      <c r="GM84" s="864"/>
      <c r="GN84" s="864"/>
      <c r="GO84" s="1001"/>
      <c r="GP84" s="1002">
        <v>8</v>
      </c>
      <c r="GQ84" s="867"/>
      <c r="GR84" s="864"/>
      <c r="GS84" s="864"/>
      <c r="GT84" s="864"/>
      <c r="GU84" s="864"/>
      <c r="GV84" s="864"/>
      <c r="GW84" s="864"/>
      <c r="GX84" s="864"/>
      <c r="GY84" s="864"/>
      <c r="GZ84" s="864"/>
      <c r="HA84" s="864"/>
      <c r="HB84" s="864"/>
      <c r="HC84" s="864"/>
      <c r="HD84" s="864"/>
      <c r="HE84" s="980"/>
      <c r="HF84" s="980"/>
      <c r="HG84" s="864"/>
      <c r="HH84" s="999"/>
      <c r="HI84" s="980"/>
      <c r="HJ84" s="980"/>
      <c r="HK84" s="999"/>
      <c r="HL84" s="864"/>
      <c r="HM84" s="864"/>
      <c r="HN84" s="864"/>
      <c r="HO84" s="1004"/>
      <c r="HP84" s="980"/>
      <c r="HQ84" s="980"/>
      <c r="HR84" s="998"/>
      <c r="HS84" s="980"/>
      <c r="HT84" s="980"/>
      <c r="HU84" s="980"/>
      <c r="HV84" s="1000"/>
      <c r="HW84" s="980"/>
      <c r="HX84" s="980"/>
      <c r="HY84" s="980"/>
      <c r="HZ84" s="980"/>
      <c r="IA84" s="980"/>
      <c r="IB84" s="980"/>
      <c r="IC84" s="980"/>
      <c r="ID84" s="980"/>
      <c r="IE84" s="980"/>
      <c r="IF84" s="980"/>
      <c r="IG84" s="998"/>
      <c r="IH84" s="1000"/>
      <c r="II84" s="980"/>
      <c r="IJ84" s="998"/>
      <c r="IK84" s="980"/>
      <c r="IL84" s="980"/>
      <c r="IM84" s="980"/>
      <c r="IN84" s="980"/>
      <c r="IO84" s="864"/>
      <c r="IP84" s="864"/>
      <c r="IQ84" s="864"/>
      <c r="IR84" s="998" t="s">
        <v>504</v>
      </c>
      <c r="IS84" s="980">
        <v>0</v>
      </c>
      <c r="IT84" s="980"/>
      <c r="IU84" s="855" t="s">
        <v>504</v>
      </c>
      <c r="IV84" s="980">
        <v>0</v>
      </c>
      <c r="IW84" s="980"/>
      <c r="IX84" s="999"/>
      <c r="IY84" s="980"/>
      <c r="IZ84" s="980"/>
      <c r="JA84" s="980"/>
      <c r="JB84" s="980"/>
      <c r="JC84" s="980"/>
      <c r="JD84" s="980" t="s">
        <v>504</v>
      </c>
      <c r="JE84" s="980">
        <v>15</v>
      </c>
      <c r="JF84" s="999"/>
      <c r="JG84" s="980"/>
      <c r="JH84" s="980"/>
      <c r="JI84" s="980"/>
      <c r="JJ84" s="980"/>
      <c r="JK84" s="980"/>
      <c r="JL84" s="980"/>
      <c r="JM84" s="980"/>
      <c r="JN84" s="980"/>
      <c r="JO84" s="980"/>
      <c r="JP84" s="855"/>
      <c r="JQ84" s="999"/>
      <c r="JR84" s="980"/>
      <c r="JS84" s="980"/>
      <c r="JT84" s="980">
        <v>56</v>
      </c>
      <c r="JU84" s="980"/>
      <c r="JV84" s="980"/>
      <c r="JW84" s="980"/>
      <c r="JX84" s="980"/>
      <c r="JY84" s="980"/>
      <c r="JZ84" s="980"/>
      <c r="KA84" s="980"/>
      <c r="KB84" s="980"/>
      <c r="KC84" s="980"/>
      <c r="KD84" s="980"/>
      <c r="KE84" s="998" t="s">
        <v>504</v>
      </c>
      <c r="KF84" s="998" t="s">
        <v>504</v>
      </c>
      <c r="KG84" s="998" t="s">
        <v>504</v>
      </c>
      <c r="KH84" s="998" t="s">
        <v>504</v>
      </c>
      <c r="KI84" s="998" t="s">
        <v>504</v>
      </c>
      <c r="KJ84" s="998" t="s">
        <v>504</v>
      </c>
      <c r="KK84" s="998" t="s">
        <v>504</v>
      </c>
      <c r="KL84" s="980"/>
      <c r="KM84" s="864"/>
      <c r="KN84" s="864"/>
      <c r="KO84" s="864"/>
      <c r="KP84" s="864"/>
      <c r="KQ84" s="864"/>
      <c r="KR84" s="980"/>
      <c r="KS84" s="864"/>
      <c r="KT84" s="980"/>
      <c r="KU84" s="864"/>
      <c r="KV84" s="980">
        <v>10</v>
      </c>
      <c r="KW84" s="980">
        <v>80</v>
      </c>
      <c r="KX84" s="980">
        <v>15</v>
      </c>
      <c r="KY84" s="858">
        <v>52</v>
      </c>
      <c r="KZ84" s="980">
        <v>72</v>
      </c>
      <c r="LA84" s="980">
        <v>34</v>
      </c>
      <c r="LB84" s="980"/>
      <c r="LC84" s="980"/>
      <c r="LD84" s="980"/>
      <c r="LE84" s="980"/>
      <c r="LF84" s="858"/>
      <c r="LG84" s="999"/>
      <c r="LH84" s="999"/>
      <c r="LI84" s="999"/>
      <c r="LJ84" s="999"/>
      <c r="LK84" s="999"/>
      <c r="LL84" s="999"/>
      <c r="LM84" s="999"/>
      <c r="LN84" s="999"/>
      <c r="LO84" s="999"/>
      <c r="LP84" s="999"/>
      <c r="LQ84" s="999">
        <v>24</v>
      </c>
      <c r="LR84" s="999"/>
      <c r="LS84" s="999"/>
      <c r="LT84" s="999"/>
      <c r="LU84" s="999"/>
      <c r="LV84" s="1006"/>
      <c r="LW84" s="999"/>
      <c r="LX84" s="999"/>
      <c r="LY84" s="999"/>
    </row>
    <row r="85" spans="1:337" ht="29.25" customHeight="1" thickBot="1" x14ac:dyDescent="0.3">
      <c r="A85" s="1585"/>
      <c r="B85" s="1591"/>
      <c r="C85" s="353" t="s">
        <v>169</v>
      </c>
      <c r="D85" s="336" t="s">
        <v>5370</v>
      </c>
      <c r="E85" s="848" t="s">
        <v>53</v>
      </c>
      <c r="F85" s="863"/>
      <c r="G85" s="863"/>
      <c r="H85" s="864"/>
      <c r="I85" s="864"/>
      <c r="J85" s="864"/>
      <c r="K85" s="864"/>
      <c r="L85" s="864"/>
      <c r="M85" s="864"/>
      <c r="N85" s="852"/>
      <c r="O85" s="864"/>
      <c r="P85" s="864"/>
      <c r="Q85" s="864"/>
      <c r="R85" s="864"/>
      <c r="S85" s="864"/>
      <c r="T85" s="864"/>
      <c r="U85" s="864"/>
      <c r="V85" s="980">
        <v>2</v>
      </c>
      <c r="W85" s="980">
        <v>2</v>
      </c>
      <c r="X85" s="980">
        <v>2</v>
      </c>
      <c r="Y85" s="980">
        <v>3</v>
      </c>
      <c r="Z85" s="980"/>
      <c r="AA85" s="864"/>
      <c r="AB85" s="864"/>
      <c r="AC85" s="864"/>
      <c r="AD85" s="864"/>
      <c r="AE85" s="864"/>
      <c r="AF85" s="864"/>
      <c r="AG85" s="864"/>
      <c r="AH85" s="864"/>
      <c r="AI85" s="864"/>
      <c r="AJ85" s="864"/>
      <c r="AK85" s="864"/>
      <c r="AL85" s="864"/>
      <c r="AM85" s="864"/>
      <c r="AN85" s="864"/>
      <c r="AO85" s="864"/>
      <c r="AP85" s="864"/>
      <c r="AQ85" s="864"/>
      <c r="AR85" s="864"/>
      <c r="AS85" s="864"/>
      <c r="AT85" s="864"/>
      <c r="AU85" s="864"/>
      <c r="AV85" s="855"/>
      <c r="AW85" s="980">
        <v>11</v>
      </c>
      <c r="AX85" s="864"/>
      <c r="AY85" s="864"/>
      <c r="AZ85" s="864"/>
      <c r="BA85" s="852">
        <v>3</v>
      </c>
      <c r="BB85" s="980">
        <v>8</v>
      </c>
      <c r="BC85" s="980"/>
      <c r="BD85" s="980"/>
      <c r="BE85" s="864"/>
      <c r="BF85" s="864"/>
      <c r="BG85" s="864"/>
      <c r="BH85" s="864"/>
      <c r="BI85" s="864"/>
      <c r="BJ85" s="864"/>
      <c r="BK85" s="864"/>
      <c r="BL85" s="864"/>
      <c r="BM85" s="864"/>
      <c r="BN85" s="864"/>
      <c r="BO85" s="864"/>
      <c r="BP85" s="864"/>
      <c r="BQ85" s="864"/>
      <c r="BR85" s="864"/>
      <c r="BS85" s="864"/>
      <c r="BT85" s="980">
        <v>10</v>
      </c>
      <c r="BU85" s="980">
        <v>1</v>
      </c>
      <c r="BV85" s="980">
        <v>3</v>
      </c>
      <c r="BW85" s="980">
        <v>1</v>
      </c>
      <c r="BX85" s="864"/>
      <c r="BY85" s="864"/>
      <c r="BZ85" s="864"/>
      <c r="CA85" s="864"/>
      <c r="CB85" s="864"/>
      <c r="CC85" s="998"/>
      <c r="CD85" s="864"/>
      <c r="CE85" s="864"/>
      <c r="CF85" s="864"/>
      <c r="CG85" s="864"/>
      <c r="CH85" s="864"/>
      <c r="CI85" s="864"/>
      <c r="CJ85" s="864"/>
      <c r="CK85" s="980">
        <v>10</v>
      </c>
      <c r="CL85" s="980">
        <v>11</v>
      </c>
      <c r="CM85" s="864"/>
      <c r="CN85" s="864"/>
      <c r="CO85" s="864"/>
      <c r="CP85" s="864"/>
      <c r="CQ85" s="864"/>
      <c r="CR85" s="864"/>
      <c r="CS85" s="864"/>
      <c r="CT85" s="864"/>
      <c r="CU85" s="864"/>
      <c r="CV85" s="864"/>
      <c r="CW85" s="864"/>
      <c r="CX85" s="864"/>
      <c r="CY85" s="864"/>
      <c r="CZ85" s="864"/>
      <c r="DA85" s="864"/>
      <c r="DB85" s="864"/>
      <c r="DC85" s="864"/>
      <c r="DD85" s="864"/>
      <c r="DE85" s="864"/>
      <c r="DF85" s="980">
        <v>2</v>
      </c>
      <c r="DG85" s="864"/>
      <c r="DH85" s="980">
        <v>11</v>
      </c>
      <c r="DI85" s="980"/>
      <c r="DJ85" s="980"/>
      <c r="DK85" s="980" t="s">
        <v>504</v>
      </c>
      <c r="DL85" s="980"/>
      <c r="DM85" s="980"/>
      <c r="DN85" s="864"/>
      <c r="DO85" s="864"/>
      <c r="DP85" s="980"/>
      <c r="DQ85" s="864"/>
      <c r="DR85" s="864"/>
      <c r="DS85" s="864"/>
      <c r="DT85" s="864"/>
      <c r="DU85" s="864"/>
      <c r="DV85" s="864"/>
      <c r="DW85" s="864"/>
      <c r="DX85" s="864"/>
      <c r="DY85" s="864"/>
      <c r="DZ85" s="864"/>
      <c r="EA85" s="864"/>
      <c r="EB85" s="864"/>
      <c r="EC85" s="864"/>
      <c r="ED85" s="864"/>
      <c r="EE85" s="864"/>
      <c r="EF85" s="980"/>
      <c r="EG85" s="980">
        <v>14</v>
      </c>
      <c r="EH85" s="980"/>
      <c r="EI85" s="855">
        <v>6</v>
      </c>
      <c r="EJ85" s="999">
        <v>2</v>
      </c>
      <c r="EK85" s="999"/>
      <c r="EL85" s="999"/>
      <c r="EM85" s="853">
        <v>2</v>
      </c>
      <c r="EN85" s="999"/>
      <c r="EO85" s="999"/>
      <c r="EP85" s="999"/>
      <c r="EQ85" s="999">
        <v>3</v>
      </c>
      <c r="ER85" s="999"/>
      <c r="ES85" s="999"/>
      <c r="ET85" s="999">
        <v>2</v>
      </c>
      <c r="EU85" s="864"/>
      <c r="EV85" s="864"/>
      <c r="EW85" s="980">
        <v>3</v>
      </c>
      <c r="EX85" s="864"/>
      <c r="EY85" s="864"/>
      <c r="EZ85" s="864"/>
      <c r="FA85" s="864"/>
      <c r="FB85" s="864"/>
      <c r="FC85" s="864"/>
      <c r="FD85" s="864"/>
      <c r="FE85" s="980">
        <v>12</v>
      </c>
      <c r="FF85" s="864"/>
      <c r="FG85" s="864"/>
      <c r="FH85" s="864"/>
      <c r="FI85" s="864"/>
      <c r="FJ85" s="864"/>
      <c r="FK85" s="1000"/>
      <c r="FL85" s="980" t="s">
        <v>465</v>
      </c>
      <c r="FM85" s="855">
        <v>3</v>
      </c>
      <c r="FN85" s="980"/>
      <c r="FO85" s="980"/>
      <c r="FP85" s="980"/>
      <c r="FQ85" s="980">
        <v>16</v>
      </c>
      <c r="FR85" s="864"/>
      <c r="FS85" s="864"/>
      <c r="FT85" s="864"/>
      <c r="FU85" s="864"/>
      <c r="FV85" s="864"/>
      <c r="FW85" s="864"/>
      <c r="FX85" s="864"/>
      <c r="FY85" s="864"/>
      <c r="FZ85" s="864"/>
      <c r="GA85" s="1053">
        <v>1</v>
      </c>
      <c r="GB85" s="980"/>
      <c r="GC85" s="980"/>
      <c r="GD85" s="980">
        <v>4</v>
      </c>
      <c r="GE85" s="980">
        <v>2</v>
      </c>
      <c r="GF85" s="980"/>
      <c r="GG85" s="980"/>
      <c r="GH85" s="864"/>
      <c r="GI85" s="864"/>
      <c r="GJ85" s="864"/>
      <c r="GK85" s="864"/>
      <c r="GL85" s="864"/>
      <c r="GM85" s="864"/>
      <c r="GN85" s="864"/>
      <c r="GO85" s="1001"/>
      <c r="GP85" s="1002">
        <v>1</v>
      </c>
      <c r="GQ85" s="1003">
        <v>3</v>
      </c>
      <c r="GR85" s="864"/>
      <c r="GS85" s="864"/>
      <c r="GT85" s="864"/>
      <c r="GU85" s="864"/>
      <c r="GV85" s="864"/>
      <c r="GW85" s="864"/>
      <c r="GX85" s="864"/>
      <c r="GY85" s="864"/>
      <c r="GZ85" s="864"/>
      <c r="HA85" s="864"/>
      <c r="HB85" s="864"/>
      <c r="HC85" s="864"/>
      <c r="HD85" s="864"/>
      <c r="HE85" s="980">
        <v>2</v>
      </c>
      <c r="HF85" s="980">
        <v>4</v>
      </c>
      <c r="HG85" s="864"/>
      <c r="HH85" s="999">
        <v>10</v>
      </c>
      <c r="HI85" s="980">
        <v>2</v>
      </c>
      <c r="HJ85" s="980"/>
      <c r="HK85" s="999"/>
      <c r="HL85" s="864"/>
      <c r="HM85" s="864"/>
      <c r="HN85" s="864"/>
      <c r="HO85" s="1004">
        <v>2</v>
      </c>
      <c r="HP85" s="980">
        <v>2</v>
      </c>
      <c r="HQ85" s="980">
        <v>1</v>
      </c>
      <c r="HR85" s="998">
        <v>12</v>
      </c>
      <c r="HS85" s="980">
        <v>1</v>
      </c>
      <c r="HT85" s="980">
        <v>1</v>
      </c>
      <c r="HU85" s="980">
        <v>1</v>
      </c>
      <c r="HV85" s="852">
        <v>1</v>
      </c>
      <c r="HW85" s="980">
        <v>1</v>
      </c>
      <c r="HX85" s="980">
        <v>7</v>
      </c>
      <c r="HY85" s="980">
        <v>1</v>
      </c>
      <c r="HZ85" s="980"/>
      <c r="IA85" s="980">
        <v>1</v>
      </c>
      <c r="IB85" s="980">
        <v>4</v>
      </c>
      <c r="IC85" s="980">
        <v>2</v>
      </c>
      <c r="ID85" s="980">
        <v>3</v>
      </c>
      <c r="IE85" s="980">
        <v>2</v>
      </c>
      <c r="IF85" s="980">
        <v>1</v>
      </c>
      <c r="IG85" s="998"/>
      <c r="IH85" s="980">
        <v>12</v>
      </c>
      <c r="II85" s="980">
        <v>1</v>
      </c>
      <c r="IJ85" s="998">
        <v>1</v>
      </c>
      <c r="IK85" s="980">
        <v>1</v>
      </c>
      <c r="IL85" s="980">
        <v>11</v>
      </c>
      <c r="IM85" s="980"/>
      <c r="IN85" s="980"/>
      <c r="IO85" s="864"/>
      <c r="IP85" s="864"/>
      <c r="IQ85" s="864"/>
      <c r="IR85" s="998">
        <v>1</v>
      </c>
      <c r="IS85" s="980">
        <v>1</v>
      </c>
      <c r="IT85" s="980">
        <v>1</v>
      </c>
      <c r="IU85" s="980">
        <v>2</v>
      </c>
      <c r="IV85" s="980">
        <v>2</v>
      </c>
      <c r="IW85" s="980">
        <v>2</v>
      </c>
      <c r="IX85" s="999">
        <v>1</v>
      </c>
      <c r="IY85" s="980">
        <v>14</v>
      </c>
      <c r="IZ85" s="980">
        <v>2</v>
      </c>
      <c r="JA85" s="980"/>
      <c r="JB85" s="980">
        <v>2</v>
      </c>
      <c r="JC85" s="980">
        <v>1</v>
      </c>
      <c r="JD85" s="980" t="s">
        <v>4016</v>
      </c>
      <c r="JE85" s="980">
        <f>2+2+4+1+1</f>
        <v>10</v>
      </c>
      <c r="JF85" s="980" t="s">
        <v>4054</v>
      </c>
      <c r="JG85" s="980">
        <v>1</v>
      </c>
      <c r="JH85" s="980"/>
      <c r="JI85" s="980">
        <v>2</v>
      </c>
      <c r="JJ85" s="980">
        <v>3</v>
      </c>
      <c r="JK85" s="980">
        <v>7</v>
      </c>
      <c r="JL85" s="980">
        <v>1</v>
      </c>
      <c r="JM85" s="980"/>
      <c r="JN85" s="980">
        <v>1</v>
      </c>
      <c r="JO85" s="980">
        <v>1</v>
      </c>
      <c r="JP85" s="855">
        <v>1</v>
      </c>
      <c r="JQ85" s="999">
        <v>1</v>
      </c>
      <c r="JR85" s="980"/>
      <c r="JS85" s="980"/>
      <c r="JT85" s="980">
        <v>2</v>
      </c>
      <c r="JU85" s="980">
        <v>1</v>
      </c>
      <c r="JV85" s="980"/>
      <c r="JW85" s="980"/>
      <c r="JX85" s="980"/>
      <c r="JY85" s="980"/>
      <c r="JZ85" s="980"/>
      <c r="KA85" s="980">
        <v>2</v>
      </c>
      <c r="KB85" s="980"/>
      <c r="KC85" s="980">
        <v>1</v>
      </c>
      <c r="KD85" s="980">
        <v>1</v>
      </c>
      <c r="KE85" s="998" t="s">
        <v>4312</v>
      </c>
      <c r="KF85" s="998" t="s">
        <v>4321</v>
      </c>
      <c r="KG85" s="998" t="s">
        <v>4330</v>
      </c>
      <c r="KH85" s="998" t="s">
        <v>4337</v>
      </c>
      <c r="KI85" s="998" t="s">
        <v>4344</v>
      </c>
      <c r="KJ85" s="998" t="s">
        <v>4351</v>
      </c>
      <c r="KK85" s="998" t="s">
        <v>4358</v>
      </c>
      <c r="KL85" s="980">
        <v>1</v>
      </c>
      <c r="KM85" s="864"/>
      <c r="KN85" s="864"/>
      <c r="KO85" s="864"/>
      <c r="KP85" s="864"/>
      <c r="KQ85" s="864"/>
      <c r="KR85" s="980"/>
      <c r="KS85" s="864"/>
      <c r="KT85" s="980"/>
      <c r="KU85" s="864"/>
      <c r="KV85" s="980"/>
      <c r="KW85" s="980"/>
      <c r="KX85" s="980"/>
      <c r="KY85" s="858"/>
      <c r="KZ85" s="980"/>
      <c r="LA85" s="980"/>
      <c r="LB85" s="980"/>
      <c r="LC85" s="980"/>
      <c r="LD85" s="980">
        <v>3</v>
      </c>
      <c r="LE85" s="980">
        <v>4</v>
      </c>
      <c r="LF85" s="858"/>
      <c r="LG85" s="999"/>
      <c r="LH85" s="999"/>
      <c r="LI85" s="999">
        <v>2</v>
      </c>
      <c r="LJ85" s="999"/>
      <c r="LK85" s="999"/>
      <c r="LL85" s="999">
        <v>1</v>
      </c>
      <c r="LM85" s="999"/>
      <c r="LN85" s="999"/>
      <c r="LO85" s="999"/>
      <c r="LP85" s="999"/>
      <c r="LQ85" s="999"/>
      <c r="LR85" s="999">
        <v>3</v>
      </c>
      <c r="LS85" s="999">
        <v>3</v>
      </c>
      <c r="LT85" s="999">
        <v>3</v>
      </c>
      <c r="LU85" s="999">
        <v>3</v>
      </c>
      <c r="LV85" s="1006">
        <v>2</v>
      </c>
      <c r="LW85" s="999">
        <v>2</v>
      </c>
      <c r="LX85" s="999">
        <v>2</v>
      </c>
      <c r="LY85" s="999">
        <v>2</v>
      </c>
    </row>
    <row r="86" spans="1:337" x14ac:dyDescent="0.25">
      <c r="A86" s="1583" t="s">
        <v>29</v>
      </c>
      <c r="B86" s="1586" t="s">
        <v>5371</v>
      </c>
      <c r="C86" s="1594" t="s">
        <v>59</v>
      </c>
      <c r="D86" s="1597" t="s">
        <v>278</v>
      </c>
      <c r="E86" s="849" t="s">
        <v>171</v>
      </c>
      <c r="F86" s="863"/>
      <c r="G86" s="863"/>
      <c r="H86" s="864"/>
      <c r="I86" s="864"/>
      <c r="J86" s="864"/>
      <c r="K86" s="864"/>
      <c r="L86" s="864"/>
      <c r="M86" s="864"/>
      <c r="N86" s="852" t="s">
        <v>504</v>
      </c>
      <c r="O86" s="864"/>
      <c r="P86" s="864"/>
      <c r="Q86" s="864"/>
      <c r="R86" s="864"/>
      <c r="S86" s="864"/>
      <c r="T86" s="864"/>
      <c r="U86" s="864"/>
      <c r="V86" s="855" t="s">
        <v>471</v>
      </c>
      <c r="W86" s="855" t="s">
        <v>471</v>
      </c>
      <c r="X86" s="855" t="s">
        <v>471</v>
      </c>
      <c r="Y86" s="855" t="s">
        <v>479</v>
      </c>
      <c r="Z86" s="855" t="s">
        <v>504</v>
      </c>
      <c r="AA86" s="864"/>
      <c r="AB86" s="864"/>
      <c r="AC86" s="864"/>
      <c r="AD86" s="864"/>
      <c r="AE86" s="864"/>
      <c r="AF86" s="864"/>
      <c r="AG86" s="864"/>
      <c r="AH86" s="864"/>
      <c r="AI86" s="864"/>
      <c r="AJ86" s="864"/>
      <c r="AK86" s="864"/>
      <c r="AL86" s="864"/>
      <c r="AM86" s="864"/>
      <c r="AN86" s="864"/>
      <c r="AO86" s="864"/>
      <c r="AP86" s="864"/>
      <c r="AQ86" s="864"/>
      <c r="AR86" s="864"/>
      <c r="AS86" s="864"/>
      <c r="AT86" s="864"/>
      <c r="AU86" s="864"/>
      <c r="AV86" s="855" t="s">
        <v>504</v>
      </c>
      <c r="AW86" s="855" t="s">
        <v>504</v>
      </c>
      <c r="AX86" s="864"/>
      <c r="AY86" s="864"/>
      <c r="AZ86" s="864"/>
      <c r="BA86" s="852" t="s">
        <v>500</v>
      </c>
      <c r="BB86" s="980" t="s">
        <v>500</v>
      </c>
      <c r="BC86" s="855" t="s">
        <v>500</v>
      </c>
      <c r="BD86" s="980" t="s">
        <v>656</v>
      </c>
      <c r="BE86" s="864"/>
      <c r="BF86" s="864"/>
      <c r="BG86" s="864"/>
      <c r="BH86" s="864"/>
      <c r="BI86" s="864"/>
      <c r="BJ86" s="864"/>
      <c r="BK86" s="864"/>
      <c r="BL86" s="864"/>
      <c r="BM86" s="864"/>
      <c r="BN86" s="864"/>
      <c r="BO86" s="864"/>
      <c r="BP86" s="864"/>
      <c r="BQ86" s="864"/>
      <c r="BR86" s="864"/>
      <c r="BS86" s="864"/>
      <c r="BT86" s="855" t="s">
        <v>504</v>
      </c>
      <c r="BU86" s="855"/>
      <c r="BV86" s="855" t="s">
        <v>500</v>
      </c>
      <c r="BW86" s="855" t="s">
        <v>504</v>
      </c>
      <c r="BX86" s="864"/>
      <c r="BY86" s="864"/>
      <c r="BZ86" s="864"/>
      <c r="CA86" s="864"/>
      <c r="CB86" s="864"/>
      <c r="CC86" s="862" t="s">
        <v>500</v>
      </c>
      <c r="CD86" s="864"/>
      <c r="CE86" s="864"/>
      <c r="CF86" s="864"/>
      <c r="CG86" s="864"/>
      <c r="CH86" s="864"/>
      <c r="CI86" s="864"/>
      <c r="CJ86" s="864"/>
      <c r="CK86" s="855" t="s">
        <v>500</v>
      </c>
      <c r="CL86" s="855"/>
      <c r="CM86" s="864"/>
      <c r="CN86" s="864"/>
      <c r="CO86" s="864"/>
      <c r="CP86" s="864"/>
      <c r="CQ86" s="864"/>
      <c r="CR86" s="864"/>
      <c r="CS86" s="864"/>
      <c r="CT86" s="864"/>
      <c r="CU86" s="864"/>
      <c r="CV86" s="864"/>
      <c r="CW86" s="864"/>
      <c r="CX86" s="864"/>
      <c r="CY86" s="864"/>
      <c r="CZ86" s="864"/>
      <c r="DA86" s="864"/>
      <c r="DB86" s="864"/>
      <c r="DC86" s="864"/>
      <c r="DD86" s="864"/>
      <c r="DE86" s="864"/>
      <c r="DF86" s="855" t="s">
        <v>504</v>
      </c>
      <c r="DG86" s="864"/>
      <c r="DH86" s="855" t="s">
        <v>504</v>
      </c>
      <c r="DI86" s="855"/>
      <c r="DJ86" s="855"/>
      <c r="DK86" s="855"/>
      <c r="DL86" s="855" t="s">
        <v>504</v>
      </c>
      <c r="DM86" s="855" t="s">
        <v>504</v>
      </c>
      <c r="DN86" s="864"/>
      <c r="DO86" s="864"/>
      <c r="DP86" s="855" t="s">
        <v>656</v>
      </c>
      <c r="DQ86" s="864"/>
      <c r="DR86" s="864"/>
      <c r="DS86" s="864"/>
      <c r="DT86" s="864"/>
      <c r="DU86" s="864"/>
      <c r="DV86" s="864"/>
      <c r="DW86" s="864"/>
      <c r="DX86" s="864"/>
      <c r="DY86" s="864"/>
      <c r="DZ86" s="864"/>
      <c r="EA86" s="864"/>
      <c r="EB86" s="864"/>
      <c r="EC86" s="864"/>
      <c r="ED86" s="864"/>
      <c r="EE86" s="864"/>
      <c r="EF86" s="855" t="s">
        <v>500</v>
      </c>
      <c r="EG86" s="855" t="s">
        <v>500</v>
      </c>
      <c r="EH86" s="855"/>
      <c r="EI86" s="855" t="s">
        <v>504</v>
      </c>
      <c r="EJ86" s="858" t="s">
        <v>504</v>
      </c>
      <c r="EK86" s="858" t="s">
        <v>500</v>
      </c>
      <c r="EL86" s="858" t="s">
        <v>500</v>
      </c>
      <c r="EM86" s="858" t="s">
        <v>500</v>
      </c>
      <c r="EN86" s="858" t="s">
        <v>500</v>
      </c>
      <c r="EO86" s="858" t="s">
        <v>504</v>
      </c>
      <c r="EP86" s="858" t="s">
        <v>504</v>
      </c>
      <c r="EQ86" s="858" t="s">
        <v>504</v>
      </c>
      <c r="ER86" s="858"/>
      <c r="ES86" s="858" t="s">
        <v>500</v>
      </c>
      <c r="ET86" s="858" t="s">
        <v>504</v>
      </c>
      <c r="EU86" s="864"/>
      <c r="EV86" s="864"/>
      <c r="EW86" s="855" t="s">
        <v>504</v>
      </c>
      <c r="EX86" s="864"/>
      <c r="EY86" s="864"/>
      <c r="EZ86" s="864"/>
      <c r="FA86" s="864"/>
      <c r="FB86" s="864"/>
      <c r="FC86" s="864"/>
      <c r="FD86" s="864"/>
      <c r="FE86" s="855" t="s">
        <v>479</v>
      </c>
      <c r="FF86" s="864"/>
      <c r="FG86" s="864"/>
      <c r="FH86" s="864"/>
      <c r="FI86" s="864"/>
      <c r="FJ86" s="864"/>
      <c r="FK86" s="852" t="s">
        <v>504</v>
      </c>
      <c r="FL86" s="852" t="s">
        <v>504</v>
      </c>
      <c r="FM86" s="855" t="s">
        <v>504</v>
      </c>
      <c r="FN86" s="855"/>
      <c r="FO86" s="855"/>
      <c r="FP86" s="980" t="s">
        <v>504</v>
      </c>
      <c r="FQ86" s="855" t="s">
        <v>504</v>
      </c>
      <c r="FR86" s="864"/>
      <c r="FS86" s="864"/>
      <c r="FT86" s="864"/>
      <c r="FU86" s="864"/>
      <c r="FV86" s="864"/>
      <c r="FW86" s="864"/>
      <c r="FX86" s="864"/>
      <c r="FY86" s="864"/>
      <c r="FZ86" s="864"/>
      <c r="GA86" s="855" t="s">
        <v>500</v>
      </c>
      <c r="GB86" s="855" t="s">
        <v>500</v>
      </c>
      <c r="GC86" s="855" t="s">
        <v>3363</v>
      </c>
      <c r="GD86" s="855" t="s">
        <v>500</v>
      </c>
      <c r="GE86" s="855" t="s">
        <v>504</v>
      </c>
      <c r="GF86" s="855" t="s">
        <v>500</v>
      </c>
      <c r="GG86" s="855" t="s">
        <v>500</v>
      </c>
      <c r="GH86" s="864"/>
      <c r="GI86" s="864"/>
      <c r="GJ86" s="864"/>
      <c r="GK86" s="864"/>
      <c r="GL86" s="864"/>
      <c r="GM86" s="864"/>
      <c r="GN86" s="864"/>
      <c r="GO86" s="859" t="s">
        <v>500</v>
      </c>
      <c r="GP86" s="866" t="s">
        <v>500</v>
      </c>
      <c r="GQ86" s="860" t="s">
        <v>504</v>
      </c>
      <c r="GR86" s="864"/>
      <c r="GS86" s="864"/>
      <c r="GT86" s="864"/>
      <c r="GU86" s="864"/>
      <c r="GV86" s="864"/>
      <c r="GW86" s="864"/>
      <c r="GX86" s="864"/>
      <c r="GY86" s="864"/>
      <c r="GZ86" s="864"/>
      <c r="HA86" s="864"/>
      <c r="HB86" s="864"/>
      <c r="HC86" s="864"/>
      <c r="HD86" s="864"/>
      <c r="HE86" s="855" t="s">
        <v>504</v>
      </c>
      <c r="HF86" s="855" t="s">
        <v>504</v>
      </c>
      <c r="HG86" s="864"/>
      <c r="HH86" s="858" t="s">
        <v>500</v>
      </c>
      <c r="HI86" s="855" t="s">
        <v>500</v>
      </c>
      <c r="HJ86" s="855" t="s">
        <v>500</v>
      </c>
      <c r="HK86" s="858" t="s">
        <v>504</v>
      </c>
      <c r="HL86" s="864"/>
      <c r="HM86" s="864"/>
      <c r="HN86" s="864"/>
      <c r="HO86" s="861" t="s">
        <v>504</v>
      </c>
      <c r="HP86" s="852" t="s">
        <v>500</v>
      </c>
      <c r="HQ86" s="852" t="s">
        <v>504</v>
      </c>
      <c r="HR86" s="862" t="s">
        <v>504</v>
      </c>
      <c r="HS86" s="852" t="s">
        <v>504</v>
      </c>
      <c r="HT86" s="852" t="s">
        <v>504</v>
      </c>
      <c r="HU86" s="852" t="s">
        <v>504</v>
      </c>
      <c r="HV86" s="852" t="s">
        <v>504</v>
      </c>
      <c r="HW86" s="852" t="s">
        <v>504</v>
      </c>
      <c r="HX86" s="855" t="s">
        <v>504</v>
      </c>
      <c r="HY86" s="855" t="s">
        <v>504</v>
      </c>
      <c r="HZ86" s="855" t="s">
        <v>504</v>
      </c>
      <c r="IA86" s="855" t="s">
        <v>504</v>
      </c>
      <c r="IB86" s="855" t="s">
        <v>504</v>
      </c>
      <c r="IC86" s="855" t="s">
        <v>504</v>
      </c>
      <c r="ID86" s="855" t="s">
        <v>504</v>
      </c>
      <c r="IE86" s="852" t="s">
        <v>504</v>
      </c>
      <c r="IF86" s="852" t="s">
        <v>504</v>
      </c>
      <c r="IG86" s="862" t="s">
        <v>504</v>
      </c>
      <c r="IH86" s="855" t="s">
        <v>504</v>
      </c>
      <c r="II86" s="855" t="s">
        <v>504</v>
      </c>
      <c r="IJ86" s="862" t="s">
        <v>504</v>
      </c>
      <c r="IK86" s="852" t="s">
        <v>504</v>
      </c>
      <c r="IL86" s="855" t="s">
        <v>504</v>
      </c>
      <c r="IM86" s="855" t="s">
        <v>504</v>
      </c>
      <c r="IN86" s="855" t="s">
        <v>504</v>
      </c>
      <c r="IO86" s="864"/>
      <c r="IP86" s="864"/>
      <c r="IQ86" s="864"/>
      <c r="IR86" s="862" t="s">
        <v>500</v>
      </c>
      <c r="IS86" s="855" t="s">
        <v>504</v>
      </c>
      <c r="IT86" s="855" t="s">
        <v>500</v>
      </c>
      <c r="IU86" s="855" t="s">
        <v>504</v>
      </c>
      <c r="IV86" s="855" t="s">
        <v>504</v>
      </c>
      <c r="IW86" s="855" t="s">
        <v>500</v>
      </c>
      <c r="IX86" s="858" t="s">
        <v>500</v>
      </c>
      <c r="IY86" s="855" t="s">
        <v>500</v>
      </c>
      <c r="IZ86" s="855" t="s">
        <v>504</v>
      </c>
      <c r="JA86" s="855" t="s">
        <v>500</v>
      </c>
      <c r="JB86" s="855"/>
      <c r="JC86" s="855" t="s">
        <v>504</v>
      </c>
      <c r="JD86" s="855" t="s">
        <v>504</v>
      </c>
      <c r="JE86" s="855" t="s">
        <v>500</v>
      </c>
      <c r="JF86" s="858" t="s">
        <v>504</v>
      </c>
      <c r="JG86" s="855" t="s">
        <v>504</v>
      </c>
      <c r="JH86" s="855"/>
      <c r="JI86" s="855" t="s">
        <v>471</v>
      </c>
      <c r="JJ86" s="855"/>
      <c r="JK86" s="855" t="s">
        <v>500</v>
      </c>
      <c r="JL86" s="855" t="s">
        <v>500</v>
      </c>
      <c r="JM86" s="855" t="s">
        <v>500</v>
      </c>
      <c r="JN86" s="855" t="s">
        <v>504</v>
      </c>
      <c r="JO86" s="855" t="s">
        <v>504</v>
      </c>
      <c r="JP86" s="855" t="s">
        <v>500</v>
      </c>
      <c r="JQ86" s="858" t="s">
        <v>504</v>
      </c>
      <c r="JR86" s="855" t="s">
        <v>504</v>
      </c>
      <c r="JS86" s="855" t="s">
        <v>500</v>
      </c>
      <c r="JT86" s="855" t="s">
        <v>500</v>
      </c>
      <c r="JU86" s="855" t="s">
        <v>504</v>
      </c>
      <c r="JV86" s="855" t="s">
        <v>504</v>
      </c>
      <c r="JW86" s="855" t="s">
        <v>500</v>
      </c>
      <c r="JX86" s="855"/>
      <c r="JY86" s="855" t="s">
        <v>504</v>
      </c>
      <c r="JZ86" s="855" t="s">
        <v>504</v>
      </c>
      <c r="KA86" s="855" t="s">
        <v>504</v>
      </c>
      <c r="KB86" s="855" t="s">
        <v>500</v>
      </c>
      <c r="KC86" s="855" t="s">
        <v>504</v>
      </c>
      <c r="KD86" s="855" t="s">
        <v>504</v>
      </c>
      <c r="KE86" s="862" t="s">
        <v>500</v>
      </c>
      <c r="KF86" s="862" t="s">
        <v>500</v>
      </c>
      <c r="KG86" s="862" t="s">
        <v>500</v>
      </c>
      <c r="KH86" s="862" t="s">
        <v>504</v>
      </c>
      <c r="KI86" s="862" t="s">
        <v>500</v>
      </c>
      <c r="KJ86" s="862" t="s">
        <v>500</v>
      </c>
      <c r="KK86" s="862" t="s">
        <v>500</v>
      </c>
      <c r="KL86" s="855" t="s">
        <v>504</v>
      </c>
      <c r="KM86" s="864"/>
      <c r="KN86" s="864"/>
      <c r="KO86" s="864"/>
      <c r="KP86" s="864"/>
      <c r="KQ86" s="864"/>
      <c r="KR86" s="855" t="s">
        <v>500</v>
      </c>
      <c r="KS86" s="864"/>
      <c r="KT86" s="855" t="s">
        <v>500</v>
      </c>
      <c r="KU86" s="864"/>
      <c r="KV86" s="855" t="s">
        <v>504</v>
      </c>
      <c r="KW86" s="855" t="s">
        <v>500</v>
      </c>
      <c r="KX86" s="855" t="s">
        <v>504</v>
      </c>
      <c r="KY86" s="858" t="s">
        <v>500</v>
      </c>
      <c r="KZ86" s="855" t="s">
        <v>500</v>
      </c>
      <c r="LA86" s="855" t="s">
        <v>500</v>
      </c>
      <c r="LB86" s="855" t="s">
        <v>504</v>
      </c>
      <c r="LC86" s="855" t="s">
        <v>504</v>
      </c>
      <c r="LD86" s="855" t="s">
        <v>500</v>
      </c>
      <c r="LE86" s="855" t="s">
        <v>504</v>
      </c>
      <c r="LF86" s="858" t="s">
        <v>500</v>
      </c>
      <c r="LG86" s="858" t="s">
        <v>504</v>
      </c>
      <c r="LH86" s="858" t="s">
        <v>504</v>
      </c>
      <c r="LI86" s="858" t="s">
        <v>504</v>
      </c>
      <c r="LJ86" s="858" t="s">
        <v>504</v>
      </c>
      <c r="LK86" s="858" t="s">
        <v>504</v>
      </c>
      <c r="LL86" s="858" t="s">
        <v>504</v>
      </c>
      <c r="LM86" s="858" t="s">
        <v>504</v>
      </c>
      <c r="LN86" s="858" t="s">
        <v>504</v>
      </c>
      <c r="LO86" s="858" t="s">
        <v>500</v>
      </c>
      <c r="LP86" s="909" t="s">
        <v>504</v>
      </c>
      <c r="LQ86" s="858"/>
      <c r="LR86" s="858" t="s">
        <v>500</v>
      </c>
      <c r="LS86" s="858" t="s">
        <v>500</v>
      </c>
      <c r="LT86" s="858" t="s">
        <v>504</v>
      </c>
      <c r="LU86" s="858" t="s">
        <v>504</v>
      </c>
      <c r="LV86" s="909" t="s">
        <v>504</v>
      </c>
      <c r="LW86" s="858" t="s">
        <v>500</v>
      </c>
      <c r="LX86" s="858" t="s">
        <v>504</v>
      </c>
      <c r="LY86" s="858" t="s">
        <v>504</v>
      </c>
    </row>
    <row r="87" spans="1:337" ht="29.25" customHeight="1" x14ac:dyDescent="0.25">
      <c r="A87" s="1584"/>
      <c r="B87" s="1587"/>
      <c r="C87" s="1600"/>
      <c r="D87" s="1598"/>
      <c r="E87" s="847" t="s">
        <v>172</v>
      </c>
      <c r="F87" s="863"/>
      <c r="G87" s="863"/>
      <c r="H87" s="864"/>
      <c r="I87" s="864"/>
      <c r="J87" s="864"/>
      <c r="K87" s="864"/>
      <c r="L87" s="864"/>
      <c r="M87" s="864"/>
      <c r="N87" s="852"/>
      <c r="O87" s="864"/>
      <c r="P87" s="864"/>
      <c r="Q87" s="864"/>
      <c r="R87" s="864"/>
      <c r="S87" s="864"/>
      <c r="T87" s="864"/>
      <c r="U87" s="864"/>
      <c r="V87" s="855" t="s">
        <v>2673</v>
      </c>
      <c r="W87" s="855" t="s">
        <v>2673</v>
      </c>
      <c r="X87" s="856" t="s">
        <v>2673</v>
      </c>
      <c r="Y87" s="855" t="s">
        <v>465</v>
      </c>
      <c r="Z87" s="855"/>
      <c r="AA87" s="864"/>
      <c r="AB87" s="864"/>
      <c r="AC87" s="864"/>
      <c r="AD87" s="864"/>
      <c r="AE87" s="864"/>
      <c r="AF87" s="864"/>
      <c r="AG87" s="864"/>
      <c r="AH87" s="864"/>
      <c r="AI87" s="864"/>
      <c r="AJ87" s="864"/>
      <c r="AK87" s="864"/>
      <c r="AL87" s="864"/>
      <c r="AM87" s="864"/>
      <c r="AN87" s="864"/>
      <c r="AO87" s="864"/>
      <c r="AP87" s="864"/>
      <c r="AQ87" s="864"/>
      <c r="AR87" s="864"/>
      <c r="AS87" s="864"/>
      <c r="AT87" s="864"/>
      <c r="AU87" s="864"/>
      <c r="AV87" s="855"/>
      <c r="AW87" s="855"/>
      <c r="AX87" s="864"/>
      <c r="AY87" s="864"/>
      <c r="AZ87" s="864"/>
      <c r="BA87" s="852" t="s">
        <v>2761</v>
      </c>
      <c r="BB87" s="855" t="s">
        <v>2780</v>
      </c>
      <c r="BC87" s="855" t="s">
        <v>2794</v>
      </c>
      <c r="BD87" s="855"/>
      <c r="BE87" s="864"/>
      <c r="BF87" s="864"/>
      <c r="BG87" s="864"/>
      <c r="BH87" s="864"/>
      <c r="BI87" s="864"/>
      <c r="BJ87" s="864"/>
      <c r="BK87" s="864"/>
      <c r="BL87" s="864"/>
      <c r="BM87" s="864"/>
      <c r="BN87" s="864"/>
      <c r="BO87" s="864"/>
      <c r="BP87" s="864"/>
      <c r="BQ87" s="864"/>
      <c r="BR87" s="864"/>
      <c r="BS87" s="864"/>
      <c r="BT87" s="855"/>
      <c r="BU87" s="855"/>
      <c r="BV87" s="855" t="s">
        <v>2761</v>
      </c>
      <c r="BW87" s="855"/>
      <c r="BX87" s="864"/>
      <c r="BY87" s="864"/>
      <c r="BZ87" s="864"/>
      <c r="CA87" s="864"/>
      <c r="CB87" s="864"/>
      <c r="CC87" s="862"/>
      <c r="CD87" s="864"/>
      <c r="CE87" s="864"/>
      <c r="CF87" s="864"/>
      <c r="CG87" s="864"/>
      <c r="CH87" s="864"/>
      <c r="CI87" s="864"/>
      <c r="CJ87" s="864"/>
      <c r="CK87" s="855" t="s">
        <v>2885</v>
      </c>
      <c r="CL87" s="855"/>
      <c r="CM87" s="864"/>
      <c r="CN87" s="864"/>
      <c r="CO87" s="864"/>
      <c r="CP87" s="864"/>
      <c r="CQ87" s="864"/>
      <c r="CR87" s="864"/>
      <c r="CS87" s="864"/>
      <c r="CT87" s="864"/>
      <c r="CU87" s="864"/>
      <c r="CV87" s="864"/>
      <c r="CW87" s="864"/>
      <c r="CX87" s="864"/>
      <c r="CY87" s="864"/>
      <c r="CZ87" s="864"/>
      <c r="DA87" s="864"/>
      <c r="DB87" s="864"/>
      <c r="DC87" s="864"/>
      <c r="DD87" s="864"/>
      <c r="DE87" s="864"/>
      <c r="DF87" s="855"/>
      <c r="DG87" s="864"/>
      <c r="DH87" s="855"/>
      <c r="DI87" s="855"/>
      <c r="DJ87" s="855"/>
      <c r="DK87" s="855"/>
      <c r="DL87" s="855"/>
      <c r="DM87" s="855"/>
      <c r="DN87" s="864"/>
      <c r="DO87" s="864"/>
      <c r="DP87" s="855" t="s">
        <v>2987</v>
      </c>
      <c r="DQ87" s="864"/>
      <c r="DR87" s="864"/>
      <c r="DS87" s="864"/>
      <c r="DT87" s="864"/>
      <c r="DU87" s="864"/>
      <c r="DV87" s="864"/>
      <c r="DW87" s="864"/>
      <c r="DX87" s="864"/>
      <c r="DY87" s="864"/>
      <c r="DZ87" s="864"/>
      <c r="EA87" s="864"/>
      <c r="EB87" s="864"/>
      <c r="EC87" s="864"/>
      <c r="ED87" s="864"/>
      <c r="EE87" s="864"/>
      <c r="EF87" s="855" t="s">
        <v>2996</v>
      </c>
      <c r="EG87" s="855" t="s">
        <v>3018</v>
      </c>
      <c r="EH87" s="855"/>
      <c r="EI87" s="855"/>
      <c r="EJ87" s="858"/>
      <c r="EK87" s="858" t="s">
        <v>2154</v>
      </c>
      <c r="EL87" s="858" t="s">
        <v>3089</v>
      </c>
      <c r="EM87" s="853" t="s">
        <v>3101</v>
      </c>
      <c r="EN87" s="858" t="s">
        <v>2154</v>
      </c>
      <c r="EO87" s="858"/>
      <c r="EP87" s="858"/>
      <c r="EQ87" s="858"/>
      <c r="ER87" s="858"/>
      <c r="ES87" s="1054" t="s">
        <v>3179</v>
      </c>
      <c r="ET87" s="858"/>
      <c r="EU87" s="864"/>
      <c r="EV87" s="864"/>
      <c r="EW87" s="855"/>
      <c r="EX87" s="864"/>
      <c r="EY87" s="864"/>
      <c r="EZ87" s="864"/>
      <c r="FA87" s="864"/>
      <c r="FB87" s="864"/>
      <c r="FC87" s="864"/>
      <c r="FD87" s="864"/>
      <c r="FE87" s="855"/>
      <c r="FF87" s="864"/>
      <c r="FG87" s="864"/>
      <c r="FH87" s="864"/>
      <c r="FI87" s="864"/>
      <c r="FJ87" s="864"/>
      <c r="FK87" s="852"/>
      <c r="FL87" s="852"/>
      <c r="FM87" s="855"/>
      <c r="FN87" s="855"/>
      <c r="FO87" s="855"/>
      <c r="FP87" s="855"/>
      <c r="FQ87" s="855"/>
      <c r="FR87" s="864"/>
      <c r="FS87" s="864"/>
      <c r="FT87" s="864"/>
      <c r="FU87" s="864"/>
      <c r="FV87" s="864"/>
      <c r="FW87" s="864"/>
      <c r="FX87" s="864"/>
      <c r="FY87" s="864"/>
      <c r="FZ87" s="864"/>
      <c r="GA87" s="855" t="s">
        <v>2761</v>
      </c>
      <c r="GB87" s="855" t="s">
        <v>3353</v>
      </c>
      <c r="GC87" s="855" t="s">
        <v>3364</v>
      </c>
      <c r="GD87" s="855" t="s">
        <v>3384</v>
      </c>
      <c r="GE87" s="855"/>
      <c r="GF87" s="855"/>
      <c r="GG87" s="855" t="s">
        <v>3418</v>
      </c>
      <c r="GH87" s="864"/>
      <c r="GI87" s="864"/>
      <c r="GJ87" s="864"/>
      <c r="GK87" s="864"/>
      <c r="GL87" s="864"/>
      <c r="GM87" s="864"/>
      <c r="GN87" s="864"/>
      <c r="GO87" s="859" t="s">
        <v>3431</v>
      </c>
      <c r="GP87" s="866" t="s">
        <v>3447</v>
      </c>
      <c r="GQ87" s="867"/>
      <c r="GR87" s="864"/>
      <c r="GS87" s="864"/>
      <c r="GT87" s="864"/>
      <c r="GU87" s="864"/>
      <c r="GV87" s="864"/>
      <c r="GW87" s="864"/>
      <c r="GX87" s="864"/>
      <c r="GY87" s="864"/>
      <c r="GZ87" s="864"/>
      <c r="HA87" s="864"/>
      <c r="HB87" s="864"/>
      <c r="HC87" s="864"/>
      <c r="HD87" s="864"/>
      <c r="HE87" s="855"/>
      <c r="HF87" s="855"/>
      <c r="HG87" s="864"/>
      <c r="HH87" s="853" t="s">
        <v>3500</v>
      </c>
      <c r="HI87" s="855" t="s">
        <v>3517</v>
      </c>
      <c r="HJ87" s="855"/>
      <c r="HK87" s="858"/>
      <c r="HL87" s="864"/>
      <c r="HM87" s="864"/>
      <c r="HN87" s="864"/>
      <c r="HO87" s="861"/>
      <c r="HP87" s="852" t="s">
        <v>3566</v>
      </c>
      <c r="HQ87" s="852"/>
      <c r="HR87" s="862"/>
      <c r="HS87" s="852"/>
      <c r="HT87" s="852"/>
      <c r="HU87" s="852"/>
      <c r="HV87" s="1000"/>
      <c r="HW87" s="852"/>
      <c r="HX87" s="855"/>
      <c r="HY87" s="855"/>
      <c r="HZ87" s="855"/>
      <c r="IA87" s="855"/>
      <c r="IB87" s="855"/>
      <c r="IC87" s="855"/>
      <c r="ID87" s="855" t="s">
        <v>3698</v>
      </c>
      <c r="IE87" s="1000" t="s">
        <v>504</v>
      </c>
      <c r="IF87" s="852"/>
      <c r="IG87" s="862"/>
      <c r="IH87" s="855"/>
      <c r="II87" s="855"/>
      <c r="IJ87" s="862"/>
      <c r="IK87" s="852"/>
      <c r="IL87" s="855"/>
      <c r="IM87" s="855"/>
      <c r="IN87" s="855"/>
      <c r="IO87" s="864"/>
      <c r="IP87" s="864"/>
      <c r="IQ87" s="864"/>
      <c r="IR87" s="862" t="s">
        <v>3384</v>
      </c>
      <c r="IS87" s="855"/>
      <c r="IT87" s="855" t="s">
        <v>3850</v>
      </c>
      <c r="IU87" s="855"/>
      <c r="IV87" s="855" t="s">
        <v>465</v>
      </c>
      <c r="IW87" s="855" t="s">
        <v>3916</v>
      </c>
      <c r="IX87" s="858" t="s">
        <v>3931</v>
      </c>
      <c r="IY87" s="855" t="s">
        <v>3946</v>
      </c>
      <c r="IZ87" s="855"/>
      <c r="JA87" s="855" t="s">
        <v>1586</v>
      </c>
      <c r="JB87" s="855"/>
      <c r="JC87" s="910"/>
      <c r="JD87" s="855"/>
      <c r="JE87" s="907" t="s">
        <v>4033</v>
      </c>
      <c r="JF87" s="858"/>
      <c r="JG87" s="855"/>
      <c r="JH87" s="855"/>
      <c r="JI87" s="855" t="s">
        <v>4105</v>
      </c>
      <c r="JJ87" s="855"/>
      <c r="JK87" s="907" t="s">
        <v>4137</v>
      </c>
      <c r="JL87" s="928"/>
      <c r="JM87" s="855" t="s">
        <v>4153</v>
      </c>
      <c r="JN87" s="855"/>
      <c r="JO87" s="855"/>
      <c r="JP87" s="855" t="s">
        <v>2724</v>
      </c>
      <c r="JQ87" s="858"/>
      <c r="JR87" s="855"/>
      <c r="JS87" s="855"/>
      <c r="JT87" s="855" t="s">
        <v>4208</v>
      </c>
      <c r="JU87" s="855"/>
      <c r="JV87" s="855"/>
      <c r="JW87" s="910" t="s">
        <v>4234</v>
      </c>
      <c r="JX87" s="855"/>
      <c r="JY87" s="855"/>
      <c r="JZ87" s="855"/>
      <c r="KA87" s="855"/>
      <c r="KB87" s="910" t="s">
        <v>4286</v>
      </c>
      <c r="KC87" s="855"/>
      <c r="KD87" s="855"/>
      <c r="KE87" s="862" t="s">
        <v>2761</v>
      </c>
      <c r="KF87" s="930" t="s">
        <v>4324</v>
      </c>
      <c r="KG87" s="1055" t="s">
        <v>4332</v>
      </c>
      <c r="KH87" s="862" t="s">
        <v>504</v>
      </c>
      <c r="KI87" s="862" t="s">
        <v>2761</v>
      </c>
      <c r="KJ87" s="862" t="s">
        <v>4352</v>
      </c>
      <c r="KK87" s="862" t="s">
        <v>4352</v>
      </c>
      <c r="KL87" s="855" t="s">
        <v>504</v>
      </c>
      <c r="KM87" s="864"/>
      <c r="KN87" s="864"/>
      <c r="KO87" s="864"/>
      <c r="KP87" s="864"/>
      <c r="KQ87" s="864"/>
      <c r="KR87" s="855" t="s">
        <v>655</v>
      </c>
      <c r="KS87" s="864"/>
      <c r="KT87" s="908" t="s">
        <v>4398</v>
      </c>
      <c r="KU87" s="864"/>
      <c r="KV87" s="855"/>
      <c r="KW87" s="855" t="s">
        <v>4442</v>
      </c>
      <c r="KX87" s="855"/>
      <c r="KY87" s="858" t="s">
        <v>4485</v>
      </c>
      <c r="KZ87" s="855" t="s">
        <v>4504</v>
      </c>
      <c r="LA87" s="855" t="s">
        <v>4468</v>
      </c>
      <c r="LB87" s="855"/>
      <c r="LC87" s="855"/>
      <c r="LD87" s="855"/>
      <c r="LE87" s="855"/>
      <c r="LF87" s="858" t="s">
        <v>4581</v>
      </c>
      <c r="LG87" s="858"/>
      <c r="LH87" s="858"/>
      <c r="LI87" s="858"/>
      <c r="LJ87" s="858"/>
      <c r="LK87" s="858"/>
      <c r="LL87" s="858"/>
      <c r="LM87" s="858"/>
      <c r="LN87" s="858"/>
      <c r="LO87" s="923" t="s">
        <v>4684</v>
      </c>
      <c r="LP87" s="858"/>
      <c r="LQ87" s="858"/>
      <c r="LR87" s="858" t="s">
        <v>2761</v>
      </c>
      <c r="LS87" s="858" t="s">
        <v>3384</v>
      </c>
      <c r="LT87" s="858"/>
      <c r="LU87" s="923"/>
      <c r="LV87" s="940"/>
      <c r="LW87" s="923"/>
      <c r="LX87" s="923"/>
      <c r="LY87" s="923"/>
    </row>
    <row r="88" spans="1:337" ht="16.5" thickBot="1" x14ac:dyDescent="0.3">
      <c r="A88" s="1584"/>
      <c r="B88" s="1587"/>
      <c r="C88" s="1603"/>
      <c r="D88" s="1599"/>
      <c r="E88" s="850" t="s">
        <v>174</v>
      </c>
      <c r="F88" s="863"/>
      <c r="G88" s="863"/>
      <c r="H88" s="864"/>
      <c r="I88" s="864"/>
      <c r="J88" s="864"/>
      <c r="K88" s="864"/>
      <c r="L88" s="864"/>
      <c r="M88" s="864"/>
      <c r="N88" s="852"/>
      <c r="O88" s="864"/>
      <c r="P88" s="864"/>
      <c r="Q88" s="864"/>
      <c r="R88" s="864"/>
      <c r="S88" s="864"/>
      <c r="T88" s="864"/>
      <c r="U88" s="864"/>
      <c r="V88" s="980">
        <v>80</v>
      </c>
      <c r="W88" s="980">
        <v>179</v>
      </c>
      <c r="X88" s="980">
        <v>387</v>
      </c>
      <c r="Y88" s="980" t="s">
        <v>465</v>
      </c>
      <c r="Z88" s="980"/>
      <c r="AA88" s="864"/>
      <c r="AB88" s="864"/>
      <c r="AC88" s="864"/>
      <c r="AD88" s="864"/>
      <c r="AE88" s="864"/>
      <c r="AF88" s="864"/>
      <c r="AG88" s="864"/>
      <c r="AH88" s="864"/>
      <c r="AI88" s="864"/>
      <c r="AJ88" s="864"/>
      <c r="AK88" s="864"/>
      <c r="AL88" s="864"/>
      <c r="AM88" s="864"/>
      <c r="AN88" s="864"/>
      <c r="AO88" s="864"/>
      <c r="AP88" s="864"/>
      <c r="AQ88" s="864"/>
      <c r="AR88" s="864"/>
      <c r="AS88" s="864"/>
      <c r="AT88" s="864"/>
      <c r="AU88" s="864"/>
      <c r="AV88" s="980"/>
      <c r="AW88" s="980"/>
      <c r="AX88" s="864"/>
      <c r="AY88" s="864"/>
      <c r="AZ88" s="864"/>
      <c r="BA88" s="852">
        <v>1605</v>
      </c>
      <c r="BB88" s="855">
        <v>115</v>
      </c>
      <c r="BC88" s="980">
        <v>50</v>
      </c>
      <c r="BD88" s="855"/>
      <c r="BE88" s="864"/>
      <c r="BF88" s="864"/>
      <c r="BG88" s="864"/>
      <c r="BH88" s="864"/>
      <c r="BI88" s="864"/>
      <c r="BJ88" s="864"/>
      <c r="BK88" s="864"/>
      <c r="BL88" s="864"/>
      <c r="BM88" s="864"/>
      <c r="BN88" s="864"/>
      <c r="BO88" s="864"/>
      <c r="BP88" s="864"/>
      <c r="BQ88" s="864"/>
      <c r="BR88" s="864"/>
      <c r="BS88" s="864"/>
      <c r="BT88" s="980"/>
      <c r="BU88" s="980"/>
      <c r="BV88" s="980">
        <v>286</v>
      </c>
      <c r="BW88" s="980"/>
      <c r="BX88" s="864"/>
      <c r="BY88" s="864"/>
      <c r="BZ88" s="864"/>
      <c r="CA88" s="864"/>
      <c r="CB88" s="864"/>
      <c r="CC88" s="998"/>
      <c r="CD88" s="864"/>
      <c r="CE88" s="864"/>
      <c r="CF88" s="864"/>
      <c r="CG88" s="864"/>
      <c r="CH88" s="864"/>
      <c r="CI88" s="864"/>
      <c r="CJ88" s="864"/>
      <c r="CK88" s="980">
        <v>25</v>
      </c>
      <c r="CL88" s="980"/>
      <c r="CM88" s="864"/>
      <c r="CN88" s="864"/>
      <c r="CO88" s="864"/>
      <c r="CP88" s="864"/>
      <c r="CQ88" s="864"/>
      <c r="CR88" s="864"/>
      <c r="CS88" s="864"/>
      <c r="CT88" s="864"/>
      <c r="CU88" s="864"/>
      <c r="CV88" s="864"/>
      <c r="CW88" s="864"/>
      <c r="CX88" s="864"/>
      <c r="CY88" s="864"/>
      <c r="CZ88" s="864"/>
      <c r="DA88" s="864"/>
      <c r="DB88" s="864"/>
      <c r="DC88" s="864"/>
      <c r="DD88" s="864"/>
      <c r="DE88" s="864"/>
      <c r="DF88" s="980"/>
      <c r="DG88" s="864"/>
      <c r="DH88" s="980"/>
      <c r="DI88" s="980"/>
      <c r="DJ88" s="980"/>
      <c r="DK88" s="980"/>
      <c r="DL88" s="980"/>
      <c r="DM88" s="980"/>
      <c r="DN88" s="864"/>
      <c r="DO88" s="864"/>
      <c r="DP88" s="980">
        <v>206</v>
      </c>
      <c r="DQ88" s="864"/>
      <c r="DR88" s="864"/>
      <c r="DS88" s="864"/>
      <c r="DT88" s="864"/>
      <c r="DU88" s="864"/>
      <c r="DV88" s="864"/>
      <c r="DW88" s="864"/>
      <c r="DX88" s="864"/>
      <c r="DY88" s="864"/>
      <c r="DZ88" s="864"/>
      <c r="EA88" s="864"/>
      <c r="EB88" s="864"/>
      <c r="EC88" s="864"/>
      <c r="ED88" s="864"/>
      <c r="EE88" s="864"/>
      <c r="EF88" s="980">
        <v>58</v>
      </c>
      <c r="EG88" s="980">
        <v>96</v>
      </c>
      <c r="EH88" s="980"/>
      <c r="EI88" s="855"/>
      <c r="EJ88" s="999"/>
      <c r="EK88" s="999">
        <v>438</v>
      </c>
      <c r="EL88" s="999">
        <v>163</v>
      </c>
      <c r="EM88" s="999">
        <v>280</v>
      </c>
      <c r="EN88" s="999">
        <v>119</v>
      </c>
      <c r="EO88" s="999"/>
      <c r="EP88" s="999"/>
      <c r="EQ88" s="999"/>
      <c r="ER88" s="999"/>
      <c r="ES88" s="999"/>
      <c r="ET88" s="999"/>
      <c r="EU88" s="864"/>
      <c r="EV88" s="864"/>
      <c r="EW88" s="980"/>
      <c r="EX88" s="864"/>
      <c r="EY88" s="864"/>
      <c r="EZ88" s="864"/>
      <c r="FA88" s="864"/>
      <c r="FB88" s="864"/>
      <c r="FC88" s="864"/>
      <c r="FD88" s="864"/>
      <c r="FE88" s="980"/>
      <c r="FF88" s="864"/>
      <c r="FG88" s="864"/>
      <c r="FH88" s="864"/>
      <c r="FI88" s="864"/>
      <c r="FJ88" s="864"/>
      <c r="FK88" s="1000"/>
      <c r="FL88" s="1000"/>
      <c r="FM88" s="980"/>
      <c r="FN88" s="980"/>
      <c r="FO88" s="980"/>
      <c r="FP88" s="855"/>
      <c r="FQ88" s="980"/>
      <c r="FR88" s="864"/>
      <c r="FS88" s="864"/>
      <c r="FT88" s="864"/>
      <c r="FU88" s="864"/>
      <c r="FV88" s="864"/>
      <c r="FW88" s="864"/>
      <c r="FX88" s="864"/>
      <c r="FY88" s="864"/>
      <c r="FZ88" s="864"/>
      <c r="GA88" s="980">
        <v>408</v>
      </c>
      <c r="GB88" s="980">
        <v>51</v>
      </c>
      <c r="GC88" s="980" t="s">
        <v>465</v>
      </c>
      <c r="GD88" s="980">
        <v>93</v>
      </c>
      <c r="GE88" s="980"/>
      <c r="GF88" s="980"/>
      <c r="GG88" s="980">
        <v>16152</v>
      </c>
      <c r="GH88" s="864"/>
      <c r="GI88" s="864"/>
      <c r="GJ88" s="864"/>
      <c r="GK88" s="864"/>
      <c r="GL88" s="864"/>
      <c r="GM88" s="864"/>
      <c r="GN88" s="864"/>
      <c r="GO88" s="1001">
        <v>1209</v>
      </c>
      <c r="GP88" s="1002">
        <v>487</v>
      </c>
      <c r="GQ88" s="867"/>
      <c r="GR88" s="864"/>
      <c r="GS88" s="864"/>
      <c r="GT88" s="864"/>
      <c r="GU88" s="864"/>
      <c r="GV88" s="864"/>
      <c r="GW88" s="864"/>
      <c r="GX88" s="864"/>
      <c r="GY88" s="864"/>
      <c r="GZ88" s="864"/>
      <c r="HA88" s="864"/>
      <c r="HB88" s="864"/>
      <c r="HC88" s="864"/>
      <c r="HD88" s="864"/>
      <c r="HE88" s="980"/>
      <c r="HF88" s="980"/>
      <c r="HG88" s="864"/>
      <c r="HH88" s="999">
        <v>891</v>
      </c>
      <c r="HI88" s="980">
        <v>652</v>
      </c>
      <c r="HJ88" s="980">
        <v>70</v>
      </c>
      <c r="HK88" s="999"/>
      <c r="HL88" s="864"/>
      <c r="HM88" s="864"/>
      <c r="HN88" s="864"/>
      <c r="HO88" s="1004"/>
      <c r="HP88" s="1000">
        <v>12</v>
      </c>
      <c r="HQ88" s="1000"/>
      <c r="HR88" s="998"/>
      <c r="HS88" s="1000"/>
      <c r="HT88" s="1000"/>
      <c r="HU88" s="1000"/>
      <c r="HV88" s="852"/>
      <c r="HW88" s="1000"/>
      <c r="HX88" s="980"/>
      <c r="HY88" s="980"/>
      <c r="HZ88" s="980"/>
      <c r="IA88" s="980"/>
      <c r="IB88" s="980"/>
      <c r="IC88" s="980"/>
      <c r="ID88" s="980">
        <v>56</v>
      </c>
      <c r="IE88" s="852" t="s">
        <v>504</v>
      </c>
      <c r="IF88" s="1000"/>
      <c r="IG88" s="998"/>
      <c r="IH88" s="980"/>
      <c r="II88" s="980"/>
      <c r="IJ88" s="998"/>
      <c r="IK88" s="1000"/>
      <c r="IL88" s="980"/>
      <c r="IM88" s="980"/>
      <c r="IN88" s="980"/>
      <c r="IO88" s="864"/>
      <c r="IP88" s="864"/>
      <c r="IQ88" s="864"/>
      <c r="IR88" s="998">
        <v>30</v>
      </c>
      <c r="IS88" s="980"/>
      <c r="IT88" s="980">
        <v>5960</v>
      </c>
      <c r="IU88" s="980"/>
      <c r="IV88" s="980" t="s">
        <v>465</v>
      </c>
      <c r="IW88" s="980">
        <v>4.8</v>
      </c>
      <c r="IX88" s="999">
        <v>1314</v>
      </c>
      <c r="IY88" s="980">
        <v>223</v>
      </c>
      <c r="IZ88" s="980"/>
      <c r="JA88" s="980">
        <v>907</v>
      </c>
      <c r="JB88" s="980"/>
      <c r="JC88" s="980"/>
      <c r="JD88" s="980"/>
      <c r="JE88" s="980">
        <v>50</v>
      </c>
      <c r="JF88" s="858"/>
      <c r="JG88" s="980"/>
      <c r="JH88" s="980"/>
      <c r="JI88" s="980">
        <v>1000</v>
      </c>
      <c r="JJ88" s="980"/>
      <c r="JK88" s="980">
        <v>22</v>
      </c>
      <c r="JL88" s="980">
        <v>950</v>
      </c>
      <c r="JM88" s="980">
        <v>30</v>
      </c>
      <c r="JN88" s="980"/>
      <c r="JO88" s="980"/>
      <c r="JP88" s="980">
        <v>85</v>
      </c>
      <c r="JQ88" s="999"/>
      <c r="JR88" s="980"/>
      <c r="JS88" s="980">
        <v>290</v>
      </c>
      <c r="JT88" s="980">
        <v>234</v>
      </c>
      <c r="JU88" s="980"/>
      <c r="JV88" s="980"/>
      <c r="JW88" s="980">
        <v>104</v>
      </c>
      <c r="JX88" s="980"/>
      <c r="JY88" s="980"/>
      <c r="JZ88" s="980"/>
      <c r="KA88" s="980"/>
      <c r="KB88" s="980"/>
      <c r="KC88" s="980"/>
      <c r="KD88" s="980"/>
      <c r="KE88" s="998">
        <v>205</v>
      </c>
      <c r="KF88" s="998">
        <v>48</v>
      </c>
      <c r="KG88" s="998">
        <v>122</v>
      </c>
      <c r="KH88" s="998"/>
      <c r="KI88" s="998">
        <v>112</v>
      </c>
      <c r="KJ88" s="998">
        <v>53</v>
      </c>
      <c r="KK88" s="998">
        <v>66</v>
      </c>
      <c r="KL88" s="980"/>
      <c r="KM88" s="864"/>
      <c r="KN88" s="864"/>
      <c r="KO88" s="864"/>
      <c r="KP88" s="864"/>
      <c r="KQ88" s="864"/>
      <c r="KR88" s="980">
        <v>40</v>
      </c>
      <c r="KS88" s="864"/>
      <c r="KT88" s="980">
        <v>2021</v>
      </c>
      <c r="KU88" s="864"/>
      <c r="KV88" s="980"/>
      <c r="KW88" s="980">
        <f>7524+522</f>
        <v>8046</v>
      </c>
      <c r="KX88" s="980"/>
      <c r="KY88" s="858">
        <v>845</v>
      </c>
      <c r="KZ88" s="980">
        <v>1809</v>
      </c>
      <c r="LA88" s="980">
        <v>356</v>
      </c>
      <c r="LB88" s="980"/>
      <c r="LC88" s="980"/>
      <c r="LD88" s="980"/>
      <c r="LE88" s="980"/>
      <c r="LF88" s="999">
        <v>326</v>
      </c>
      <c r="LG88" s="999"/>
      <c r="LH88" s="999"/>
      <c r="LI88" s="999"/>
      <c r="LJ88" s="999"/>
      <c r="LK88" s="999"/>
      <c r="LL88" s="999"/>
      <c r="LM88" s="999"/>
      <c r="LN88" s="999"/>
      <c r="LO88" s="999">
        <v>177</v>
      </c>
      <c r="LP88" s="999"/>
      <c r="LQ88" s="999"/>
      <c r="LR88" s="999">
        <v>1128</v>
      </c>
      <c r="LS88" s="999">
        <v>49</v>
      </c>
      <c r="LT88" s="999"/>
      <c r="LU88" s="999"/>
      <c r="LV88" s="1006"/>
      <c r="LW88" s="999"/>
      <c r="LX88" s="999"/>
      <c r="LY88" s="999"/>
    </row>
    <row r="89" spans="1:337" ht="343.7" customHeight="1" x14ac:dyDescent="0.25">
      <c r="A89" s="1584"/>
      <c r="B89" s="1587"/>
      <c r="C89" s="1594" t="s">
        <v>60</v>
      </c>
      <c r="D89" s="1597" t="s">
        <v>279</v>
      </c>
      <c r="E89" s="849" t="s">
        <v>171</v>
      </c>
      <c r="F89" s="863"/>
      <c r="G89" s="863"/>
      <c r="H89" s="864"/>
      <c r="I89" s="864"/>
      <c r="J89" s="864"/>
      <c r="K89" s="864"/>
      <c r="L89" s="864"/>
      <c r="M89" s="864"/>
      <c r="N89" s="852" t="s">
        <v>504</v>
      </c>
      <c r="O89" s="864"/>
      <c r="P89" s="864"/>
      <c r="Q89" s="864"/>
      <c r="R89" s="864"/>
      <c r="S89" s="864"/>
      <c r="T89" s="864"/>
      <c r="U89" s="864"/>
      <c r="V89" s="855" t="s">
        <v>471</v>
      </c>
      <c r="W89" s="855" t="s">
        <v>471</v>
      </c>
      <c r="X89" s="855" t="s">
        <v>471</v>
      </c>
      <c r="Y89" s="855" t="s">
        <v>471</v>
      </c>
      <c r="Z89" s="855" t="s">
        <v>500</v>
      </c>
      <c r="AA89" s="864"/>
      <c r="AB89" s="864"/>
      <c r="AC89" s="864"/>
      <c r="AD89" s="864"/>
      <c r="AE89" s="864"/>
      <c r="AF89" s="864"/>
      <c r="AG89" s="864"/>
      <c r="AH89" s="864"/>
      <c r="AI89" s="864"/>
      <c r="AJ89" s="864"/>
      <c r="AK89" s="864"/>
      <c r="AL89" s="864"/>
      <c r="AM89" s="864"/>
      <c r="AN89" s="864"/>
      <c r="AO89" s="864"/>
      <c r="AP89" s="864"/>
      <c r="AQ89" s="864"/>
      <c r="AR89" s="864"/>
      <c r="AS89" s="864"/>
      <c r="AT89" s="864"/>
      <c r="AU89" s="864"/>
      <c r="AV89" s="855" t="s">
        <v>500</v>
      </c>
      <c r="AW89" s="855" t="s">
        <v>500</v>
      </c>
      <c r="AX89" s="864"/>
      <c r="AY89" s="864"/>
      <c r="AZ89" s="864"/>
      <c r="BA89" s="852" t="s">
        <v>500</v>
      </c>
      <c r="BB89" s="980" t="s">
        <v>500</v>
      </c>
      <c r="BC89" s="855" t="s">
        <v>500</v>
      </c>
      <c r="BD89" s="980" t="s">
        <v>656</v>
      </c>
      <c r="BE89" s="864"/>
      <c r="BF89" s="864"/>
      <c r="BG89" s="864"/>
      <c r="BH89" s="864"/>
      <c r="BI89" s="864"/>
      <c r="BJ89" s="864"/>
      <c r="BK89" s="864"/>
      <c r="BL89" s="864"/>
      <c r="BM89" s="864"/>
      <c r="BN89" s="864"/>
      <c r="BO89" s="864"/>
      <c r="BP89" s="864"/>
      <c r="BQ89" s="864"/>
      <c r="BR89" s="864"/>
      <c r="BS89" s="864"/>
      <c r="BT89" s="855" t="s">
        <v>500</v>
      </c>
      <c r="BU89" s="855" t="s">
        <v>500</v>
      </c>
      <c r="BV89" s="855" t="s">
        <v>500</v>
      </c>
      <c r="BW89" s="855" t="s">
        <v>504</v>
      </c>
      <c r="BX89" s="864"/>
      <c r="BY89" s="864"/>
      <c r="BZ89" s="864"/>
      <c r="CA89" s="864"/>
      <c r="CB89" s="864"/>
      <c r="CC89" s="862"/>
      <c r="CD89" s="864"/>
      <c r="CE89" s="864"/>
      <c r="CF89" s="864"/>
      <c r="CG89" s="864"/>
      <c r="CH89" s="864"/>
      <c r="CI89" s="864"/>
      <c r="CJ89" s="864"/>
      <c r="CK89" s="855" t="s">
        <v>500</v>
      </c>
      <c r="CL89" s="855" t="s">
        <v>500</v>
      </c>
      <c r="CM89" s="864"/>
      <c r="CN89" s="864"/>
      <c r="CO89" s="864"/>
      <c r="CP89" s="864"/>
      <c r="CQ89" s="864"/>
      <c r="CR89" s="864"/>
      <c r="CS89" s="864"/>
      <c r="CT89" s="864"/>
      <c r="CU89" s="864"/>
      <c r="CV89" s="864"/>
      <c r="CW89" s="864"/>
      <c r="CX89" s="864"/>
      <c r="CY89" s="864"/>
      <c r="CZ89" s="864"/>
      <c r="DA89" s="864"/>
      <c r="DB89" s="864"/>
      <c r="DC89" s="864"/>
      <c r="DD89" s="864"/>
      <c r="DE89" s="864"/>
      <c r="DF89" s="855" t="s">
        <v>500</v>
      </c>
      <c r="DG89" s="864"/>
      <c r="DH89" s="855" t="s">
        <v>500</v>
      </c>
      <c r="DI89" s="855"/>
      <c r="DJ89" s="855"/>
      <c r="DK89" s="855"/>
      <c r="DL89" s="855" t="s">
        <v>504</v>
      </c>
      <c r="DM89" s="855" t="s">
        <v>504</v>
      </c>
      <c r="DN89" s="864"/>
      <c r="DO89" s="864"/>
      <c r="DP89" s="855" t="s">
        <v>656</v>
      </c>
      <c r="DQ89" s="864"/>
      <c r="DR89" s="864"/>
      <c r="DS89" s="864"/>
      <c r="DT89" s="864"/>
      <c r="DU89" s="864"/>
      <c r="DV89" s="864"/>
      <c r="DW89" s="864"/>
      <c r="DX89" s="864"/>
      <c r="DY89" s="864"/>
      <c r="DZ89" s="864"/>
      <c r="EA89" s="864"/>
      <c r="EB89" s="864"/>
      <c r="EC89" s="864"/>
      <c r="ED89" s="864"/>
      <c r="EE89" s="864"/>
      <c r="EF89" s="855" t="s">
        <v>500</v>
      </c>
      <c r="EG89" s="855" t="s">
        <v>500</v>
      </c>
      <c r="EH89" s="855" t="s">
        <v>500</v>
      </c>
      <c r="EI89" s="855" t="s">
        <v>500</v>
      </c>
      <c r="EJ89" s="858" t="s">
        <v>500</v>
      </c>
      <c r="EK89" s="858" t="s">
        <v>500</v>
      </c>
      <c r="EL89" s="999" t="s">
        <v>504</v>
      </c>
      <c r="EM89" s="858" t="s">
        <v>500</v>
      </c>
      <c r="EN89" s="858" t="s">
        <v>500</v>
      </c>
      <c r="EO89" s="858" t="s">
        <v>500</v>
      </c>
      <c r="EP89" s="858" t="s">
        <v>500</v>
      </c>
      <c r="EQ89" s="858" t="s">
        <v>500</v>
      </c>
      <c r="ER89" s="858" t="s">
        <v>500</v>
      </c>
      <c r="ES89" s="858"/>
      <c r="ET89" s="858" t="s">
        <v>500</v>
      </c>
      <c r="EU89" s="864"/>
      <c r="EV89" s="864"/>
      <c r="EW89" s="855" t="s">
        <v>504</v>
      </c>
      <c r="EX89" s="864"/>
      <c r="EY89" s="864"/>
      <c r="EZ89" s="864"/>
      <c r="FA89" s="864"/>
      <c r="FB89" s="864"/>
      <c r="FC89" s="864"/>
      <c r="FD89" s="864"/>
      <c r="FE89" s="855" t="s">
        <v>471</v>
      </c>
      <c r="FF89" s="864"/>
      <c r="FG89" s="864"/>
      <c r="FH89" s="864"/>
      <c r="FI89" s="864"/>
      <c r="FJ89" s="864"/>
      <c r="FK89" s="852" t="s">
        <v>504</v>
      </c>
      <c r="FL89" s="852" t="s">
        <v>504</v>
      </c>
      <c r="FM89" s="855" t="s">
        <v>3274</v>
      </c>
      <c r="FN89" s="855"/>
      <c r="FO89" s="855"/>
      <c r="FP89" s="855" t="s">
        <v>500</v>
      </c>
      <c r="FQ89" s="855" t="s">
        <v>500</v>
      </c>
      <c r="FR89" s="864"/>
      <c r="FS89" s="864"/>
      <c r="FT89" s="864"/>
      <c r="FU89" s="864"/>
      <c r="FV89" s="864"/>
      <c r="FW89" s="864"/>
      <c r="FX89" s="864"/>
      <c r="FY89" s="864"/>
      <c r="FZ89" s="864"/>
      <c r="GA89" s="855" t="s">
        <v>500</v>
      </c>
      <c r="GB89" s="855" t="s">
        <v>504</v>
      </c>
      <c r="GC89" s="855" t="s">
        <v>3365</v>
      </c>
      <c r="GD89" s="855" t="s">
        <v>3385</v>
      </c>
      <c r="GE89" s="855" t="s">
        <v>504</v>
      </c>
      <c r="GF89" s="855"/>
      <c r="GG89" s="855" t="s">
        <v>500</v>
      </c>
      <c r="GH89" s="864"/>
      <c r="GI89" s="864"/>
      <c r="GJ89" s="864"/>
      <c r="GK89" s="864"/>
      <c r="GL89" s="864"/>
      <c r="GM89" s="864"/>
      <c r="GN89" s="864"/>
      <c r="GO89" s="859" t="s">
        <v>504</v>
      </c>
      <c r="GP89" s="866" t="s">
        <v>500</v>
      </c>
      <c r="GQ89" s="860" t="s">
        <v>500</v>
      </c>
      <c r="GR89" s="864"/>
      <c r="GS89" s="864"/>
      <c r="GT89" s="864"/>
      <c r="GU89" s="864"/>
      <c r="GV89" s="864"/>
      <c r="GW89" s="864"/>
      <c r="GX89" s="864"/>
      <c r="GY89" s="864"/>
      <c r="GZ89" s="864"/>
      <c r="HA89" s="864"/>
      <c r="HB89" s="864"/>
      <c r="HC89" s="864"/>
      <c r="HD89" s="864"/>
      <c r="HE89" s="855" t="s">
        <v>500</v>
      </c>
      <c r="HF89" s="852" t="s">
        <v>500</v>
      </c>
      <c r="HG89" s="864"/>
      <c r="HH89" s="858" t="s">
        <v>500</v>
      </c>
      <c r="HI89" s="855" t="s">
        <v>3518</v>
      </c>
      <c r="HJ89" s="855" t="s">
        <v>500</v>
      </c>
      <c r="HK89" s="858" t="s">
        <v>500</v>
      </c>
      <c r="HL89" s="864"/>
      <c r="HM89" s="864"/>
      <c r="HN89" s="864"/>
      <c r="HO89" s="861" t="s">
        <v>504</v>
      </c>
      <c r="HP89" s="855" t="s">
        <v>504</v>
      </c>
      <c r="HQ89" s="852" t="s">
        <v>500</v>
      </c>
      <c r="HR89" s="862" t="s">
        <v>504</v>
      </c>
      <c r="HS89" s="852" t="s">
        <v>500</v>
      </c>
      <c r="HT89" s="852" t="s">
        <v>500</v>
      </c>
      <c r="HU89" s="852" t="s">
        <v>500</v>
      </c>
      <c r="HV89" s="852" t="s">
        <v>500</v>
      </c>
      <c r="HW89" s="852" t="s">
        <v>500</v>
      </c>
      <c r="HX89" s="855" t="s">
        <v>500</v>
      </c>
      <c r="HY89" s="855" t="s">
        <v>500</v>
      </c>
      <c r="HZ89" s="852" t="s">
        <v>500</v>
      </c>
      <c r="IA89" s="855" t="s">
        <v>500</v>
      </c>
      <c r="IB89" s="855" t="s">
        <v>500</v>
      </c>
      <c r="IC89" s="855" t="s">
        <v>504</v>
      </c>
      <c r="ID89" s="855" t="s">
        <v>504</v>
      </c>
      <c r="IE89" s="852" t="s">
        <v>500</v>
      </c>
      <c r="IF89" s="852" t="s">
        <v>500</v>
      </c>
      <c r="IG89" s="862" t="s">
        <v>500</v>
      </c>
      <c r="IH89" s="855" t="s">
        <v>504</v>
      </c>
      <c r="II89" s="855" t="s">
        <v>500</v>
      </c>
      <c r="IJ89" s="862" t="s">
        <v>500</v>
      </c>
      <c r="IK89" s="852" t="s">
        <v>500</v>
      </c>
      <c r="IL89" s="855" t="s">
        <v>504</v>
      </c>
      <c r="IM89" s="855" t="s">
        <v>500</v>
      </c>
      <c r="IN89" s="855" t="s">
        <v>504</v>
      </c>
      <c r="IO89" s="864"/>
      <c r="IP89" s="864"/>
      <c r="IQ89" s="864"/>
      <c r="IR89" s="862" t="s">
        <v>500</v>
      </c>
      <c r="IS89" s="855" t="s">
        <v>500</v>
      </c>
      <c r="IT89" s="855" t="s">
        <v>500</v>
      </c>
      <c r="IU89" s="855" t="s">
        <v>500</v>
      </c>
      <c r="IV89" s="855" t="s">
        <v>504</v>
      </c>
      <c r="IW89" s="855" t="s">
        <v>500</v>
      </c>
      <c r="IX89" s="858" t="s">
        <v>500</v>
      </c>
      <c r="IY89" s="855" t="s">
        <v>500</v>
      </c>
      <c r="IZ89" s="855" t="s">
        <v>504</v>
      </c>
      <c r="JA89" s="855" t="s">
        <v>500</v>
      </c>
      <c r="JB89" s="855" t="s">
        <v>465</v>
      </c>
      <c r="JC89" s="855" t="s">
        <v>504</v>
      </c>
      <c r="JD89" s="855" t="s">
        <v>500</v>
      </c>
      <c r="JE89" s="855" t="s">
        <v>500</v>
      </c>
      <c r="JF89" s="858" t="s">
        <v>500</v>
      </c>
      <c r="JG89" s="855" t="s">
        <v>504</v>
      </c>
      <c r="JH89" s="855"/>
      <c r="JI89" s="855" t="s">
        <v>471</v>
      </c>
      <c r="JJ89" s="855" t="s">
        <v>500</v>
      </c>
      <c r="JK89" s="855" t="s">
        <v>500</v>
      </c>
      <c r="JL89" s="855" t="s">
        <v>500</v>
      </c>
      <c r="JM89" s="855" t="s">
        <v>500</v>
      </c>
      <c r="JN89" s="855" t="s">
        <v>500</v>
      </c>
      <c r="JO89" s="855" t="s">
        <v>500</v>
      </c>
      <c r="JP89" s="855" t="s">
        <v>500</v>
      </c>
      <c r="JQ89" s="858" t="s">
        <v>500</v>
      </c>
      <c r="JR89" s="855" t="s">
        <v>504</v>
      </c>
      <c r="JS89" s="855" t="s">
        <v>500</v>
      </c>
      <c r="JT89" s="855" t="s">
        <v>500</v>
      </c>
      <c r="JU89" s="855" t="s">
        <v>500</v>
      </c>
      <c r="JV89" s="855" t="s">
        <v>500</v>
      </c>
      <c r="JW89" s="855" t="s">
        <v>500</v>
      </c>
      <c r="JX89" s="855" t="s">
        <v>500</v>
      </c>
      <c r="JY89" s="855" t="s">
        <v>504</v>
      </c>
      <c r="JZ89" s="855" t="s">
        <v>504</v>
      </c>
      <c r="KA89" s="855" t="s">
        <v>500</v>
      </c>
      <c r="KB89" s="855" t="s">
        <v>504</v>
      </c>
      <c r="KC89" s="855" t="s">
        <v>500</v>
      </c>
      <c r="KD89" s="855" t="s">
        <v>500</v>
      </c>
      <c r="KE89" s="862" t="s">
        <v>500</v>
      </c>
      <c r="KF89" s="862" t="s">
        <v>504</v>
      </c>
      <c r="KG89" s="862" t="s">
        <v>504</v>
      </c>
      <c r="KH89" s="862" t="s">
        <v>500</v>
      </c>
      <c r="KI89" s="862" t="s">
        <v>504</v>
      </c>
      <c r="KJ89" s="862" t="s">
        <v>500</v>
      </c>
      <c r="KK89" s="862" t="s">
        <v>504</v>
      </c>
      <c r="KL89" s="855" t="s">
        <v>504</v>
      </c>
      <c r="KM89" s="864"/>
      <c r="KN89" s="864"/>
      <c r="KO89" s="864"/>
      <c r="KP89" s="864"/>
      <c r="KQ89" s="864"/>
      <c r="KR89" s="855" t="s">
        <v>500</v>
      </c>
      <c r="KS89" s="864"/>
      <c r="KT89" s="855" t="s">
        <v>500</v>
      </c>
      <c r="KU89" s="864"/>
      <c r="KV89" s="855" t="s">
        <v>504</v>
      </c>
      <c r="KW89" s="855" t="s">
        <v>500</v>
      </c>
      <c r="KX89" s="855" t="s">
        <v>500</v>
      </c>
      <c r="KY89" s="858" t="s">
        <v>656</v>
      </c>
      <c r="KZ89" s="855" t="s">
        <v>500</v>
      </c>
      <c r="LA89" s="855" t="s">
        <v>500</v>
      </c>
      <c r="LB89" s="855" t="s">
        <v>504</v>
      </c>
      <c r="LC89" s="855" t="s">
        <v>504</v>
      </c>
      <c r="LD89" s="855" t="s">
        <v>500</v>
      </c>
      <c r="LE89" s="855" t="s">
        <v>500</v>
      </c>
      <c r="LF89" s="858" t="s">
        <v>500</v>
      </c>
      <c r="LG89" s="858" t="s">
        <v>500</v>
      </c>
      <c r="LH89" s="858" t="s">
        <v>500</v>
      </c>
      <c r="LI89" s="858" t="s">
        <v>500</v>
      </c>
      <c r="LJ89" s="858" t="s">
        <v>500</v>
      </c>
      <c r="LK89" s="858" t="s">
        <v>500</v>
      </c>
      <c r="LL89" s="858" t="s">
        <v>500</v>
      </c>
      <c r="LM89" s="858" t="s">
        <v>500</v>
      </c>
      <c r="LN89" s="858" t="s">
        <v>504</v>
      </c>
      <c r="LO89" s="858" t="s">
        <v>500</v>
      </c>
      <c r="LP89" s="858" t="s">
        <v>500</v>
      </c>
      <c r="LQ89" s="858" t="s">
        <v>500</v>
      </c>
      <c r="LR89" s="858" t="s">
        <v>500</v>
      </c>
      <c r="LS89" s="858" t="s">
        <v>500</v>
      </c>
      <c r="LT89" s="858" t="s">
        <v>500</v>
      </c>
      <c r="LU89" s="858" t="s">
        <v>500</v>
      </c>
      <c r="LV89" s="909" t="s">
        <v>500</v>
      </c>
      <c r="LW89" s="858" t="s">
        <v>504</v>
      </c>
      <c r="LX89" s="858" t="s">
        <v>504</v>
      </c>
      <c r="LY89" s="858" t="s">
        <v>504</v>
      </c>
    </row>
    <row r="90" spans="1:337" ht="409.5" x14ac:dyDescent="0.25">
      <c r="A90" s="1584"/>
      <c r="B90" s="1587"/>
      <c r="C90" s="1600"/>
      <c r="D90" s="1598"/>
      <c r="E90" s="847" t="s">
        <v>172</v>
      </c>
      <c r="F90" s="863"/>
      <c r="G90" s="863"/>
      <c r="H90" s="864"/>
      <c r="I90" s="864"/>
      <c r="J90" s="864"/>
      <c r="K90" s="864"/>
      <c r="L90" s="864"/>
      <c r="M90" s="864"/>
      <c r="N90" s="852"/>
      <c r="O90" s="864"/>
      <c r="P90" s="864"/>
      <c r="Q90" s="864"/>
      <c r="R90" s="864"/>
      <c r="S90" s="864"/>
      <c r="T90" s="864"/>
      <c r="U90" s="864"/>
      <c r="V90" s="855" t="s">
        <v>2674</v>
      </c>
      <c r="W90" s="855" t="s">
        <v>2690</v>
      </c>
      <c r="X90" s="856" t="s">
        <v>2674</v>
      </c>
      <c r="Y90" s="855" t="s">
        <v>2674</v>
      </c>
      <c r="Z90" s="855" t="s">
        <v>2722</v>
      </c>
      <c r="AA90" s="864"/>
      <c r="AB90" s="864"/>
      <c r="AC90" s="864"/>
      <c r="AD90" s="864"/>
      <c r="AE90" s="864"/>
      <c r="AF90" s="864"/>
      <c r="AG90" s="864"/>
      <c r="AH90" s="864"/>
      <c r="AI90" s="864"/>
      <c r="AJ90" s="864"/>
      <c r="AK90" s="864"/>
      <c r="AL90" s="864"/>
      <c r="AM90" s="864"/>
      <c r="AN90" s="864"/>
      <c r="AO90" s="864"/>
      <c r="AP90" s="864"/>
      <c r="AQ90" s="864"/>
      <c r="AR90" s="864"/>
      <c r="AS90" s="864"/>
      <c r="AT90" s="864"/>
      <c r="AU90" s="864"/>
      <c r="AV90" s="855" t="s">
        <v>2735</v>
      </c>
      <c r="AW90" s="855" t="s">
        <v>2749</v>
      </c>
      <c r="AX90" s="864"/>
      <c r="AY90" s="864"/>
      <c r="AZ90" s="864"/>
      <c r="BA90" s="852" t="s">
        <v>2762</v>
      </c>
      <c r="BB90" s="855" t="s">
        <v>2781</v>
      </c>
      <c r="BC90" s="855" t="s">
        <v>581</v>
      </c>
      <c r="BD90" s="855" t="s">
        <v>2810</v>
      </c>
      <c r="BE90" s="864"/>
      <c r="BF90" s="864"/>
      <c r="BG90" s="864"/>
      <c r="BH90" s="864"/>
      <c r="BI90" s="864"/>
      <c r="BJ90" s="864"/>
      <c r="BK90" s="864"/>
      <c r="BL90" s="864"/>
      <c r="BM90" s="864"/>
      <c r="BN90" s="864"/>
      <c r="BO90" s="864"/>
      <c r="BP90" s="864"/>
      <c r="BQ90" s="864"/>
      <c r="BR90" s="864"/>
      <c r="BS90" s="864"/>
      <c r="BT90" s="855" t="s">
        <v>2822</v>
      </c>
      <c r="BU90" s="852" t="s">
        <v>2836</v>
      </c>
      <c r="BV90" s="855" t="s">
        <v>655</v>
      </c>
      <c r="BW90" s="855"/>
      <c r="BX90" s="864"/>
      <c r="BY90" s="864"/>
      <c r="BZ90" s="864"/>
      <c r="CA90" s="864"/>
      <c r="CB90" s="864"/>
      <c r="CC90" s="862"/>
      <c r="CD90" s="864"/>
      <c r="CE90" s="864"/>
      <c r="CF90" s="864"/>
      <c r="CG90" s="864"/>
      <c r="CH90" s="864"/>
      <c r="CI90" s="864"/>
      <c r="CJ90" s="864"/>
      <c r="CK90" s="855" t="s">
        <v>2886</v>
      </c>
      <c r="CL90" s="855" t="s">
        <v>2899</v>
      </c>
      <c r="CM90" s="864"/>
      <c r="CN90" s="864"/>
      <c r="CO90" s="864"/>
      <c r="CP90" s="864"/>
      <c r="CQ90" s="864"/>
      <c r="CR90" s="864"/>
      <c r="CS90" s="864"/>
      <c r="CT90" s="864"/>
      <c r="CU90" s="864"/>
      <c r="CV90" s="864"/>
      <c r="CW90" s="864"/>
      <c r="CX90" s="864"/>
      <c r="CY90" s="864"/>
      <c r="CZ90" s="864"/>
      <c r="DA90" s="864"/>
      <c r="DB90" s="864"/>
      <c r="DC90" s="864"/>
      <c r="DD90" s="864"/>
      <c r="DE90" s="864"/>
      <c r="DF90" s="855" t="s">
        <v>2913</v>
      </c>
      <c r="DG90" s="864"/>
      <c r="DH90" s="855" t="s">
        <v>2928</v>
      </c>
      <c r="DI90" s="855"/>
      <c r="DJ90" s="855"/>
      <c r="DK90" s="855"/>
      <c r="DL90" s="855"/>
      <c r="DM90" s="855"/>
      <c r="DN90" s="864"/>
      <c r="DO90" s="864"/>
      <c r="DP90" s="855" t="s">
        <v>2987</v>
      </c>
      <c r="DQ90" s="864"/>
      <c r="DR90" s="864"/>
      <c r="DS90" s="864"/>
      <c r="DT90" s="864"/>
      <c r="DU90" s="864"/>
      <c r="DV90" s="864"/>
      <c r="DW90" s="864"/>
      <c r="DX90" s="864"/>
      <c r="DY90" s="864"/>
      <c r="DZ90" s="864"/>
      <c r="EA90" s="864"/>
      <c r="EB90" s="864"/>
      <c r="EC90" s="864"/>
      <c r="ED90" s="864"/>
      <c r="EE90" s="864"/>
      <c r="EF90" s="855" t="s">
        <v>2997</v>
      </c>
      <c r="EG90" s="855" t="s">
        <v>48</v>
      </c>
      <c r="EH90" s="855" t="s">
        <v>2018</v>
      </c>
      <c r="EI90" s="855" t="s">
        <v>3047</v>
      </c>
      <c r="EJ90" s="858" t="s">
        <v>3062</v>
      </c>
      <c r="EK90" s="858" t="s">
        <v>795</v>
      </c>
      <c r="EL90" s="999"/>
      <c r="EM90" s="853" t="s">
        <v>3102</v>
      </c>
      <c r="EN90" s="858" t="s">
        <v>3117</v>
      </c>
      <c r="EO90" s="858" t="s">
        <v>1052</v>
      </c>
      <c r="EP90" s="858"/>
      <c r="EQ90" s="858" t="s">
        <v>2724</v>
      </c>
      <c r="ER90" s="858" t="s">
        <v>3163</v>
      </c>
      <c r="ES90" s="858"/>
      <c r="ET90" s="858" t="s">
        <v>3192</v>
      </c>
      <c r="EU90" s="864"/>
      <c r="EV90" s="864"/>
      <c r="EW90" s="855"/>
      <c r="EX90" s="864"/>
      <c r="EY90" s="864"/>
      <c r="EZ90" s="864"/>
      <c r="FA90" s="864"/>
      <c r="FB90" s="864"/>
      <c r="FC90" s="864"/>
      <c r="FD90" s="864"/>
      <c r="FE90" s="855" t="s">
        <v>1348</v>
      </c>
      <c r="FF90" s="864"/>
      <c r="FG90" s="864"/>
      <c r="FH90" s="864"/>
      <c r="FI90" s="864"/>
      <c r="FJ90" s="864"/>
      <c r="FK90" s="852"/>
      <c r="FL90" s="852"/>
      <c r="FM90" s="855" t="s">
        <v>3275</v>
      </c>
      <c r="FN90" s="855"/>
      <c r="FO90" s="855"/>
      <c r="FP90" s="855" t="s">
        <v>3311</v>
      </c>
      <c r="FQ90" s="855" t="s">
        <v>3325</v>
      </c>
      <c r="FR90" s="864"/>
      <c r="FS90" s="864"/>
      <c r="FT90" s="864"/>
      <c r="FU90" s="864"/>
      <c r="FV90" s="864"/>
      <c r="FW90" s="864"/>
      <c r="FX90" s="864"/>
      <c r="FY90" s="864"/>
      <c r="FZ90" s="864"/>
      <c r="GA90" s="855" t="s">
        <v>3338</v>
      </c>
      <c r="GB90" s="855"/>
      <c r="GC90" s="855" t="s">
        <v>504</v>
      </c>
      <c r="GD90" s="855" t="s">
        <v>1348</v>
      </c>
      <c r="GE90" s="855"/>
      <c r="GF90" s="855"/>
      <c r="GG90" s="855" t="s">
        <v>2735</v>
      </c>
      <c r="GH90" s="864"/>
      <c r="GI90" s="864"/>
      <c r="GJ90" s="864"/>
      <c r="GK90" s="864"/>
      <c r="GL90" s="864"/>
      <c r="GM90" s="864"/>
      <c r="GN90" s="864"/>
      <c r="GO90" s="859"/>
      <c r="GP90" s="866" t="s">
        <v>3448</v>
      </c>
      <c r="GQ90" s="860" t="s">
        <v>3460</v>
      </c>
      <c r="GR90" s="864"/>
      <c r="GS90" s="864"/>
      <c r="GT90" s="864"/>
      <c r="GU90" s="864"/>
      <c r="GV90" s="864"/>
      <c r="GW90" s="864"/>
      <c r="GX90" s="864"/>
      <c r="GY90" s="864"/>
      <c r="GZ90" s="864"/>
      <c r="HA90" s="864"/>
      <c r="HB90" s="864"/>
      <c r="HC90" s="864"/>
      <c r="HD90" s="864"/>
      <c r="HE90" s="855"/>
      <c r="HF90" s="855" t="s">
        <v>3489</v>
      </c>
      <c r="HG90" s="864"/>
      <c r="HH90" s="853" t="s">
        <v>3080</v>
      </c>
      <c r="HI90" s="855" t="s">
        <v>3519</v>
      </c>
      <c r="HJ90" s="855" t="s">
        <v>2254</v>
      </c>
      <c r="HK90" s="858" t="s">
        <v>3548</v>
      </c>
      <c r="HL90" s="864"/>
      <c r="HM90" s="864"/>
      <c r="HN90" s="864"/>
      <c r="HO90" s="861"/>
      <c r="HP90" s="855"/>
      <c r="HQ90" s="852" t="s">
        <v>630</v>
      </c>
      <c r="HR90" s="862"/>
      <c r="HS90" s="852" t="s">
        <v>630</v>
      </c>
      <c r="HT90" s="852" t="s">
        <v>630</v>
      </c>
      <c r="HU90" s="852" t="s">
        <v>630</v>
      </c>
      <c r="HV90" s="1000" t="s">
        <v>3614</v>
      </c>
      <c r="HW90" s="852" t="s">
        <v>630</v>
      </c>
      <c r="HX90" s="855" t="s">
        <v>3632</v>
      </c>
      <c r="HY90" s="855" t="s">
        <v>3642</v>
      </c>
      <c r="HZ90" s="852" t="s">
        <v>3651</v>
      </c>
      <c r="IA90" s="855" t="s">
        <v>935</v>
      </c>
      <c r="IB90" s="855" t="s">
        <v>3673</v>
      </c>
      <c r="IC90" s="855"/>
      <c r="ID90" s="855"/>
      <c r="IE90" s="1000" t="s">
        <v>3709</v>
      </c>
      <c r="IF90" s="852" t="s">
        <v>630</v>
      </c>
      <c r="IG90" s="862" t="s">
        <v>3727</v>
      </c>
      <c r="IH90" s="855"/>
      <c r="II90" s="855" t="s">
        <v>3751</v>
      </c>
      <c r="IJ90" s="862" t="s">
        <v>3765</v>
      </c>
      <c r="IK90" s="852" t="s">
        <v>630</v>
      </c>
      <c r="IL90" s="855"/>
      <c r="IM90" s="980" t="s">
        <v>3793</v>
      </c>
      <c r="IN90" s="855"/>
      <c r="IO90" s="864"/>
      <c r="IP90" s="864"/>
      <c r="IQ90" s="864"/>
      <c r="IR90" s="862" t="s">
        <v>935</v>
      </c>
      <c r="IS90" s="855" t="s">
        <v>935</v>
      </c>
      <c r="IT90" s="855" t="s">
        <v>935</v>
      </c>
      <c r="IU90" s="855" t="s">
        <v>2008</v>
      </c>
      <c r="IV90" s="855" t="s">
        <v>465</v>
      </c>
      <c r="IW90" s="855"/>
      <c r="IX90" s="858" t="s">
        <v>3932</v>
      </c>
      <c r="IY90" s="855" t="s">
        <v>2724</v>
      </c>
      <c r="IZ90" s="855"/>
      <c r="JA90" s="855" t="s">
        <v>935</v>
      </c>
      <c r="JB90" s="855" t="s">
        <v>465</v>
      </c>
      <c r="JC90" s="855"/>
      <c r="JD90" s="855" t="s">
        <v>4017</v>
      </c>
      <c r="JE90" s="855" t="s">
        <v>4034</v>
      </c>
      <c r="JF90" s="855" t="s">
        <v>4055</v>
      </c>
      <c r="JG90" s="855"/>
      <c r="JH90" s="855"/>
      <c r="JI90" s="855" t="s">
        <v>4106</v>
      </c>
      <c r="JJ90" s="855" t="s">
        <v>4126</v>
      </c>
      <c r="JK90" s="907" t="s">
        <v>4137</v>
      </c>
      <c r="JL90" s="980" t="s">
        <v>4146</v>
      </c>
      <c r="JM90" s="855" t="s">
        <v>1931</v>
      </c>
      <c r="JN90" s="855" t="s">
        <v>935</v>
      </c>
      <c r="JO90" s="855" t="s">
        <v>4154</v>
      </c>
      <c r="JP90" s="855" t="s">
        <v>2724</v>
      </c>
      <c r="JQ90" s="858" t="s">
        <v>4181</v>
      </c>
      <c r="JR90" s="855"/>
      <c r="JS90" s="855" t="s">
        <v>4198</v>
      </c>
      <c r="JT90" s="855" t="s">
        <v>4208</v>
      </c>
      <c r="JU90" s="910" t="s">
        <v>4217</v>
      </c>
      <c r="JV90" s="855" t="s">
        <v>4226</v>
      </c>
      <c r="JW90" s="855"/>
      <c r="JX90" s="855" t="s">
        <v>4249</v>
      </c>
      <c r="JY90" s="855"/>
      <c r="JZ90" s="855"/>
      <c r="KA90" s="855"/>
      <c r="KB90" s="855"/>
      <c r="KC90" s="855" t="s">
        <v>4296</v>
      </c>
      <c r="KD90" s="855" t="s">
        <v>4306</v>
      </c>
      <c r="KE90" s="862" t="s">
        <v>2761</v>
      </c>
      <c r="KF90" s="862" t="s">
        <v>504</v>
      </c>
      <c r="KG90" s="862" t="s">
        <v>504</v>
      </c>
      <c r="KH90" s="930" t="s">
        <v>4339</v>
      </c>
      <c r="KI90" s="862" t="s">
        <v>504</v>
      </c>
      <c r="KJ90" s="862" t="s">
        <v>4353</v>
      </c>
      <c r="KK90" s="862" t="s">
        <v>504</v>
      </c>
      <c r="KL90" s="855" t="s">
        <v>504</v>
      </c>
      <c r="KM90" s="864"/>
      <c r="KN90" s="864"/>
      <c r="KO90" s="864"/>
      <c r="KP90" s="864"/>
      <c r="KQ90" s="864"/>
      <c r="KR90" s="855" t="s">
        <v>4385</v>
      </c>
      <c r="KS90" s="864"/>
      <c r="KT90" s="908" t="s">
        <v>4399</v>
      </c>
      <c r="KU90" s="864"/>
      <c r="KV90" s="855"/>
      <c r="KW90" s="855" t="s">
        <v>4443</v>
      </c>
      <c r="KX90" s="855" t="s">
        <v>4465</v>
      </c>
      <c r="KY90" s="934" t="s">
        <v>4486</v>
      </c>
      <c r="KZ90" s="855" t="s">
        <v>4505</v>
      </c>
      <c r="LA90" s="855" t="s">
        <v>4529</v>
      </c>
      <c r="LB90" s="855"/>
      <c r="LC90" s="855"/>
      <c r="LD90" s="855"/>
      <c r="LE90" s="855"/>
      <c r="LF90" s="858" t="s">
        <v>4582</v>
      </c>
      <c r="LG90" s="858">
        <v>30</v>
      </c>
      <c r="LH90" s="858" t="s">
        <v>4603</v>
      </c>
      <c r="LI90" s="858"/>
      <c r="LJ90" s="858" t="s">
        <v>4635</v>
      </c>
      <c r="LK90" s="858"/>
      <c r="LL90" s="858" t="s">
        <v>935</v>
      </c>
      <c r="LM90" s="858" t="s">
        <v>4663</v>
      </c>
      <c r="LN90" s="858"/>
      <c r="LO90" s="923" t="s">
        <v>4685</v>
      </c>
      <c r="LP90" s="938" t="s">
        <v>4700</v>
      </c>
      <c r="LQ90" s="858" t="s">
        <v>4722</v>
      </c>
      <c r="LR90" s="858" t="s">
        <v>935</v>
      </c>
      <c r="LS90" s="853" t="s">
        <v>2735</v>
      </c>
      <c r="LT90" s="858" t="s">
        <v>935</v>
      </c>
      <c r="LU90" s="923" t="s">
        <v>4772</v>
      </c>
      <c r="LV90" s="940" t="s">
        <v>4787</v>
      </c>
      <c r="LW90" s="923"/>
      <c r="LX90" s="923"/>
      <c r="LY90" s="1056"/>
    </row>
    <row r="91" spans="1:337" ht="16.5" thickBot="1" x14ac:dyDescent="0.3">
      <c r="A91" s="1584"/>
      <c r="B91" s="1587"/>
      <c r="C91" s="1603"/>
      <c r="D91" s="1598"/>
      <c r="E91" s="848" t="s">
        <v>174</v>
      </c>
      <c r="F91" s="863"/>
      <c r="G91" s="863"/>
      <c r="H91" s="864"/>
      <c r="I91" s="864"/>
      <c r="J91" s="864"/>
      <c r="K91" s="864"/>
      <c r="L91" s="864"/>
      <c r="M91" s="864"/>
      <c r="N91" s="852"/>
      <c r="O91" s="864"/>
      <c r="P91" s="864"/>
      <c r="Q91" s="864"/>
      <c r="R91" s="864"/>
      <c r="S91" s="864"/>
      <c r="T91" s="864"/>
      <c r="U91" s="864"/>
      <c r="V91" s="980">
        <v>242</v>
      </c>
      <c r="W91" s="980">
        <v>294</v>
      </c>
      <c r="X91" s="980">
        <v>51</v>
      </c>
      <c r="Y91" s="980">
        <v>14</v>
      </c>
      <c r="Z91" s="980">
        <v>259</v>
      </c>
      <c r="AA91" s="864"/>
      <c r="AB91" s="864"/>
      <c r="AC91" s="864"/>
      <c r="AD91" s="864"/>
      <c r="AE91" s="864"/>
      <c r="AF91" s="864"/>
      <c r="AG91" s="864"/>
      <c r="AH91" s="864"/>
      <c r="AI91" s="864"/>
      <c r="AJ91" s="864"/>
      <c r="AK91" s="864"/>
      <c r="AL91" s="864"/>
      <c r="AM91" s="864"/>
      <c r="AN91" s="864"/>
      <c r="AO91" s="864"/>
      <c r="AP91" s="864"/>
      <c r="AQ91" s="864"/>
      <c r="AR91" s="864"/>
      <c r="AS91" s="864"/>
      <c r="AT91" s="864"/>
      <c r="AU91" s="864"/>
      <c r="AV91" s="980">
        <v>19</v>
      </c>
      <c r="AW91" s="980">
        <v>246</v>
      </c>
      <c r="AX91" s="864"/>
      <c r="AY91" s="864"/>
      <c r="AZ91" s="864"/>
      <c r="BA91" s="852">
        <v>747</v>
      </c>
      <c r="BB91" s="855" t="s">
        <v>2782</v>
      </c>
      <c r="BC91" s="980">
        <v>88</v>
      </c>
      <c r="BD91" s="855">
        <v>364</v>
      </c>
      <c r="BE91" s="864"/>
      <c r="BF91" s="864"/>
      <c r="BG91" s="864"/>
      <c r="BH91" s="864"/>
      <c r="BI91" s="864"/>
      <c r="BJ91" s="864"/>
      <c r="BK91" s="864"/>
      <c r="BL91" s="864"/>
      <c r="BM91" s="864"/>
      <c r="BN91" s="864"/>
      <c r="BO91" s="864"/>
      <c r="BP91" s="864"/>
      <c r="BQ91" s="864"/>
      <c r="BR91" s="864"/>
      <c r="BS91" s="864"/>
      <c r="BT91" s="980">
        <f>1359+652+1746+615+1632+359+1265+1106</f>
        <v>8734</v>
      </c>
      <c r="BU91" s="980">
        <v>58</v>
      </c>
      <c r="BV91" s="980">
        <v>61</v>
      </c>
      <c r="BW91" s="980"/>
      <c r="BX91" s="864"/>
      <c r="BY91" s="864"/>
      <c r="BZ91" s="864"/>
      <c r="CA91" s="864"/>
      <c r="CB91" s="864"/>
      <c r="CC91" s="998"/>
      <c r="CD91" s="864"/>
      <c r="CE91" s="864"/>
      <c r="CF91" s="864"/>
      <c r="CG91" s="864"/>
      <c r="CH91" s="864"/>
      <c r="CI91" s="864"/>
      <c r="CJ91" s="864"/>
      <c r="CK91" s="980">
        <v>25</v>
      </c>
      <c r="CL91" s="980">
        <v>700</v>
      </c>
      <c r="CM91" s="864"/>
      <c r="CN91" s="864"/>
      <c r="CO91" s="864"/>
      <c r="CP91" s="864"/>
      <c r="CQ91" s="864"/>
      <c r="CR91" s="864"/>
      <c r="CS91" s="864"/>
      <c r="CT91" s="864"/>
      <c r="CU91" s="864"/>
      <c r="CV91" s="864"/>
      <c r="CW91" s="864"/>
      <c r="CX91" s="864"/>
      <c r="CY91" s="864"/>
      <c r="CZ91" s="864"/>
      <c r="DA91" s="864"/>
      <c r="DB91" s="864"/>
      <c r="DC91" s="864"/>
      <c r="DD91" s="864"/>
      <c r="DE91" s="864"/>
      <c r="DF91" s="980" t="s">
        <v>2914</v>
      </c>
      <c r="DG91" s="864"/>
      <c r="DH91" s="980">
        <v>6998</v>
      </c>
      <c r="DI91" s="980"/>
      <c r="DJ91" s="980"/>
      <c r="DK91" s="980"/>
      <c r="DL91" s="980"/>
      <c r="DM91" s="980"/>
      <c r="DN91" s="864"/>
      <c r="DO91" s="864"/>
      <c r="DP91" s="980">
        <v>206</v>
      </c>
      <c r="DQ91" s="864"/>
      <c r="DR91" s="864"/>
      <c r="DS91" s="864"/>
      <c r="DT91" s="864"/>
      <c r="DU91" s="864"/>
      <c r="DV91" s="864"/>
      <c r="DW91" s="864"/>
      <c r="DX91" s="864"/>
      <c r="DY91" s="864"/>
      <c r="DZ91" s="864"/>
      <c r="EA91" s="864"/>
      <c r="EB91" s="864"/>
      <c r="EC91" s="864"/>
      <c r="ED91" s="864"/>
      <c r="EE91" s="864"/>
      <c r="EF91" s="980">
        <v>58</v>
      </c>
      <c r="EG91" s="980">
        <v>10</v>
      </c>
      <c r="EH91" s="980">
        <v>196</v>
      </c>
      <c r="EI91" s="855">
        <v>256</v>
      </c>
      <c r="EJ91" s="999">
        <v>86</v>
      </c>
      <c r="EK91" s="999">
        <v>438</v>
      </c>
      <c r="EL91" s="999"/>
      <c r="EM91" s="999">
        <v>186</v>
      </c>
      <c r="EN91" s="999">
        <v>153</v>
      </c>
      <c r="EO91" s="999">
        <v>320</v>
      </c>
      <c r="EP91" s="999">
        <v>73</v>
      </c>
      <c r="EQ91" s="999">
        <v>228</v>
      </c>
      <c r="ER91" s="999">
        <v>7</v>
      </c>
      <c r="ES91" s="999"/>
      <c r="ET91" s="999">
        <v>234</v>
      </c>
      <c r="EU91" s="864"/>
      <c r="EV91" s="864"/>
      <c r="EW91" s="980"/>
      <c r="EX91" s="864"/>
      <c r="EY91" s="864"/>
      <c r="EZ91" s="864"/>
      <c r="FA91" s="864"/>
      <c r="FB91" s="864"/>
      <c r="FC91" s="864"/>
      <c r="FD91" s="864"/>
      <c r="FE91" s="980">
        <v>1172</v>
      </c>
      <c r="FF91" s="864"/>
      <c r="FG91" s="864"/>
      <c r="FH91" s="864"/>
      <c r="FI91" s="864"/>
      <c r="FJ91" s="864"/>
      <c r="FK91" s="1000"/>
      <c r="FL91" s="1000"/>
      <c r="FM91" s="980">
        <v>387</v>
      </c>
      <c r="FN91" s="980"/>
      <c r="FO91" s="980"/>
      <c r="FP91" s="980">
        <v>2000</v>
      </c>
      <c r="FQ91" s="980">
        <v>149</v>
      </c>
      <c r="FR91" s="864"/>
      <c r="FS91" s="864"/>
      <c r="FT91" s="864"/>
      <c r="FU91" s="864"/>
      <c r="FV91" s="864"/>
      <c r="FW91" s="864"/>
      <c r="FX91" s="864"/>
      <c r="FY91" s="864"/>
      <c r="FZ91" s="864"/>
      <c r="GA91" s="980">
        <v>1058</v>
      </c>
      <c r="GB91" s="980"/>
      <c r="GC91" s="980">
        <v>15</v>
      </c>
      <c r="GD91" s="980">
        <v>93</v>
      </c>
      <c r="GE91" s="980"/>
      <c r="GF91" s="980"/>
      <c r="GG91" s="980">
        <v>4744</v>
      </c>
      <c r="GH91" s="864"/>
      <c r="GI91" s="864"/>
      <c r="GJ91" s="864"/>
      <c r="GK91" s="864"/>
      <c r="GL91" s="864"/>
      <c r="GM91" s="864"/>
      <c r="GN91" s="864"/>
      <c r="GO91" s="1001"/>
      <c r="GP91" s="1002">
        <v>155</v>
      </c>
      <c r="GQ91" s="1003">
        <v>471</v>
      </c>
      <c r="GR91" s="864"/>
      <c r="GS91" s="864"/>
      <c r="GT91" s="864"/>
      <c r="GU91" s="864"/>
      <c r="GV91" s="864"/>
      <c r="GW91" s="864"/>
      <c r="GX91" s="864"/>
      <c r="GY91" s="864"/>
      <c r="GZ91" s="864"/>
      <c r="HA91" s="864"/>
      <c r="HB91" s="864"/>
      <c r="HC91" s="864"/>
      <c r="HD91" s="864"/>
      <c r="HE91" s="980"/>
      <c r="HF91" s="980">
        <v>1049</v>
      </c>
      <c r="HG91" s="864"/>
      <c r="HH91" s="999">
        <v>623</v>
      </c>
      <c r="HI91" s="980"/>
      <c r="HJ91" s="980">
        <v>49</v>
      </c>
      <c r="HK91" s="999">
        <v>66</v>
      </c>
      <c r="HL91" s="864"/>
      <c r="HM91" s="864"/>
      <c r="HN91" s="864"/>
      <c r="HO91" s="1004"/>
      <c r="HP91" s="980"/>
      <c r="HQ91" s="1000">
        <v>5</v>
      </c>
      <c r="HR91" s="998"/>
      <c r="HS91" s="1000">
        <v>5</v>
      </c>
      <c r="HT91" s="1000">
        <v>5</v>
      </c>
      <c r="HU91" s="1000">
        <v>5</v>
      </c>
      <c r="HV91" s="852">
        <v>120</v>
      </c>
      <c r="HW91" s="1000">
        <v>5</v>
      </c>
      <c r="HX91" s="980">
        <v>7</v>
      </c>
      <c r="HY91" s="980">
        <v>11</v>
      </c>
      <c r="HZ91" s="1000">
        <v>45</v>
      </c>
      <c r="IA91" s="980">
        <v>11</v>
      </c>
      <c r="IB91" s="980">
        <v>24</v>
      </c>
      <c r="IC91" s="980">
        <v>23</v>
      </c>
      <c r="ID91" s="980"/>
      <c r="IE91" s="852"/>
      <c r="IF91" s="1000">
        <v>5</v>
      </c>
      <c r="IG91" s="998">
        <v>58</v>
      </c>
      <c r="IH91" s="980" t="s">
        <v>465</v>
      </c>
      <c r="II91" s="980">
        <v>7</v>
      </c>
      <c r="IJ91" s="998">
        <v>5</v>
      </c>
      <c r="IK91" s="1000">
        <v>5</v>
      </c>
      <c r="IL91" s="980"/>
      <c r="IM91" s="980">
        <v>32</v>
      </c>
      <c r="IN91" s="980"/>
      <c r="IO91" s="864"/>
      <c r="IP91" s="864"/>
      <c r="IQ91" s="864"/>
      <c r="IR91" s="998">
        <v>10</v>
      </c>
      <c r="IS91" s="980">
        <v>30</v>
      </c>
      <c r="IT91" s="980">
        <v>111</v>
      </c>
      <c r="IU91" s="980" t="s">
        <v>806</v>
      </c>
      <c r="IV91" s="980" t="s">
        <v>465</v>
      </c>
      <c r="IW91" s="855">
        <v>218</v>
      </c>
      <c r="IX91" s="999">
        <v>1020</v>
      </c>
      <c r="IY91" s="855">
        <v>3</v>
      </c>
      <c r="IZ91" s="980"/>
      <c r="JA91" s="980">
        <v>179</v>
      </c>
      <c r="JB91" s="980" t="s">
        <v>465</v>
      </c>
      <c r="JC91" s="980"/>
      <c r="JD91" s="980">
        <v>7</v>
      </c>
      <c r="JE91" s="980">
        <f>36+50</f>
        <v>86</v>
      </c>
      <c r="JF91" s="999">
        <v>876</v>
      </c>
      <c r="JG91" s="980"/>
      <c r="JH91" s="980"/>
      <c r="JI91" s="980">
        <v>135</v>
      </c>
      <c r="JJ91" s="980">
        <v>825</v>
      </c>
      <c r="JK91" s="980">
        <v>22</v>
      </c>
      <c r="JL91" s="980">
        <v>5</v>
      </c>
      <c r="JM91" s="980">
        <v>20</v>
      </c>
      <c r="JN91" s="980">
        <v>26</v>
      </c>
      <c r="JO91" s="980">
        <v>17</v>
      </c>
      <c r="JP91" s="980">
        <v>25</v>
      </c>
      <c r="JQ91" s="999">
        <v>10</v>
      </c>
      <c r="JR91" s="980"/>
      <c r="JS91" s="980">
        <v>57</v>
      </c>
      <c r="JT91" s="980">
        <v>105</v>
      </c>
      <c r="JU91" s="980">
        <v>11</v>
      </c>
      <c r="JV91" s="980">
        <v>15</v>
      </c>
      <c r="JW91" s="980">
        <v>69</v>
      </c>
      <c r="JX91" s="980">
        <v>673</v>
      </c>
      <c r="JY91" s="980"/>
      <c r="JZ91" s="980"/>
      <c r="KA91" s="980">
        <v>12</v>
      </c>
      <c r="KB91" s="980"/>
      <c r="KC91" s="980">
        <v>8</v>
      </c>
      <c r="KD91" s="980">
        <v>40</v>
      </c>
      <c r="KE91" s="998">
        <v>205</v>
      </c>
      <c r="KF91" s="998">
        <v>0</v>
      </c>
      <c r="KG91" s="998">
        <v>0</v>
      </c>
      <c r="KH91" s="998">
        <v>75</v>
      </c>
      <c r="KI91" s="998">
        <v>0</v>
      </c>
      <c r="KJ91" s="998">
        <v>41</v>
      </c>
      <c r="KK91" s="998">
        <v>0</v>
      </c>
      <c r="KL91" s="980"/>
      <c r="KM91" s="864"/>
      <c r="KN91" s="864"/>
      <c r="KO91" s="864"/>
      <c r="KP91" s="864"/>
      <c r="KQ91" s="864"/>
      <c r="KR91" s="980">
        <v>40</v>
      </c>
      <c r="KS91" s="864"/>
      <c r="KT91" s="980">
        <v>500</v>
      </c>
      <c r="KU91" s="864"/>
      <c r="KV91" s="980"/>
      <c r="KW91" s="980">
        <v>127</v>
      </c>
      <c r="KX91" s="980">
        <v>75</v>
      </c>
      <c r="KY91" s="858">
        <v>30</v>
      </c>
      <c r="KZ91" s="980">
        <v>301</v>
      </c>
      <c r="LA91" s="980">
        <v>140</v>
      </c>
      <c r="LB91" s="980"/>
      <c r="LC91" s="980"/>
      <c r="LD91" s="980"/>
      <c r="LE91" s="980">
        <v>34</v>
      </c>
      <c r="LF91" s="999">
        <v>396</v>
      </c>
      <c r="LG91" s="999">
        <v>30</v>
      </c>
      <c r="LH91" s="999">
        <v>10</v>
      </c>
      <c r="LI91" s="999"/>
      <c r="LJ91" s="999">
        <v>16</v>
      </c>
      <c r="LK91" s="999">
        <v>15</v>
      </c>
      <c r="LL91" s="999">
        <v>12</v>
      </c>
      <c r="LM91" s="999">
        <v>10</v>
      </c>
      <c r="LN91" s="999"/>
      <c r="LO91" s="999">
        <v>59</v>
      </c>
      <c r="LP91" s="999">
        <v>173</v>
      </c>
      <c r="LQ91" s="999">
        <v>20</v>
      </c>
      <c r="LR91" s="999">
        <v>490</v>
      </c>
      <c r="LS91" s="999">
        <v>49</v>
      </c>
      <c r="LT91" s="999">
        <v>8</v>
      </c>
      <c r="LU91" s="999">
        <v>47</v>
      </c>
      <c r="LV91" s="1006">
        <v>30</v>
      </c>
      <c r="LW91" s="999"/>
      <c r="LX91" s="999"/>
      <c r="LY91" s="999"/>
    </row>
    <row r="92" spans="1:337" ht="33.75" customHeight="1" x14ac:dyDescent="0.25">
      <c r="A92" s="1584"/>
      <c r="B92" s="1587"/>
      <c r="C92" s="1605" t="s">
        <v>61</v>
      </c>
      <c r="D92" s="1607" t="s">
        <v>250</v>
      </c>
      <c r="E92" s="833" t="s">
        <v>171</v>
      </c>
      <c r="F92" s="863"/>
      <c r="G92" s="863"/>
      <c r="H92" s="864"/>
      <c r="I92" s="864"/>
      <c r="J92" s="864"/>
      <c r="K92" s="864"/>
      <c r="L92" s="864"/>
      <c r="M92" s="864"/>
      <c r="N92" s="852" t="s">
        <v>504</v>
      </c>
      <c r="O92" s="864"/>
      <c r="P92" s="864"/>
      <c r="Q92" s="864"/>
      <c r="R92" s="864"/>
      <c r="S92" s="864"/>
      <c r="T92" s="864"/>
      <c r="U92" s="864"/>
      <c r="V92" s="980" t="s">
        <v>479</v>
      </c>
      <c r="W92" s="980" t="s">
        <v>479</v>
      </c>
      <c r="X92" s="980" t="s">
        <v>479</v>
      </c>
      <c r="Y92" s="980" t="s">
        <v>479</v>
      </c>
      <c r="Z92" s="980" t="s">
        <v>504</v>
      </c>
      <c r="AA92" s="864"/>
      <c r="AB92" s="864"/>
      <c r="AC92" s="864"/>
      <c r="AD92" s="864"/>
      <c r="AE92" s="864"/>
      <c r="AF92" s="864"/>
      <c r="AG92" s="864"/>
      <c r="AH92" s="864"/>
      <c r="AI92" s="864"/>
      <c r="AJ92" s="864"/>
      <c r="AK92" s="864"/>
      <c r="AL92" s="864"/>
      <c r="AM92" s="864"/>
      <c r="AN92" s="864"/>
      <c r="AO92" s="864"/>
      <c r="AP92" s="864"/>
      <c r="AQ92" s="864"/>
      <c r="AR92" s="864"/>
      <c r="AS92" s="864"/>
      <c r="AT92" s="864"/>
      <c r="AU92" s="864"/>
      <c r="AV92" s="980" t="s">
        <v>504</v>
      </c>
      <c r="AW92" s="980" t="s">
        <v>504</v>
      </c>
      <c r="AX92" s="864"/>
      <c r="AY92" s="864"/>
      <c r="AZ92" s="864"/>
      <c r="BA92" s="852" t="s">
        <v>504</v>
      </c>
      <c r="BB92" s="980" t="s">
        <v>504</v>
      </c>
      <c r="BC92" s="980" t="s">
        <v>504</v>
      </c>
      <c r="BD92" s="980"/>
      <c r="BE92" s="864"/>
      <c r="BF92" s="864"/>
      <c r="BG92" s="864"/>
      <c r="BH92" s="864"/>
      <c r="BI92" s="864"/>
      <c r="BJ92" s="864"/>
      <c r="BK92" s="864"/>
      <c r="BL92" s="864"/>
      <c r="BM92" s="864"/>
      <c r="BN92" s="864"/>
      <c r="BO92" s="864"/>
      <c r="BP92" s="864"/>
      <c r="BQ92" s="864"/>
      <c r="BR92" s="864"/>
      <c r="BS92" s="864"/>
      <c r="BT92" s="980" t="s">
        <v>504</v>
      </c>
      <c r="BU92" s="980"/>
      <c r="BV92" s="980" t="s">
        <v>500</v>
      </c>
      <c r="BW92" s="980" t="s">
        <v>504</v>
      </c>
      <c r="BX92" s="864"/>
      <c r="BY92" s="864"/>
      <c r="BZ92" s="864"/>
      <c r="CA92" s="864"/>
      <c r="CB92" s="864"/>
      <c r="CC92" s="998"/>
      <c r="CD92" s="864"/>
      <c r="CE92" s="864"/>
      <c r="CF92" s="864"/>
      <c r="CG92" s="864"/>
      <c r="CH92" s="864"/>
      <c r="CI92" s="864"/>
      <c r="CJ92" s="864"/>
      <c r="CK92" s="980"/>
      <c r="CL92" s="980"/>
      <c r="CM92" s="864"/>
      <c r="CN92" s="864"/>
      <c r="CO92" s="864"/>
      <c r="CP92" s="864"/>
      <c r="CQ92" s="864"/>
      <c r="CR92" s="864"/>
      <c r="CS92" s="864"/>
      <c r="CT92" s="864"/>
      <c r="CU92" s="864"/>
      <c r="CV92" s="864"/>
      <c r="CW92" s="864"/>
      <c r="CX92" s="864"/>
      <c r="CY92" s="864"/>
      <c r="CZ92" s="864"/>
      <c r="DA92" s="864"/>
      <c r="DB92" s="864"/>
      <c r="DC92" s="864"/>
      <c r="DD92" s="864"/>
      <c r="DE92" s="864"/>
      <c r="DF92" s="980"/>
      <c r="DG92" s="864"/>
      <c r="DH92" s="980" t="s">
        <v>504</v>
      </c>
      <c r="DI92" s="980"/>
      <c r="DJ92" s="980"/>
      <c r="DK92" s="980"/>
      <c r="DL92" s="980" t="s">
        <v>504</v>
      </c>
      <c r="DM92" s="980" t="s">
        <v>504</v>
      </c>
      <c r="DN92" s="864"/>
      <c r="DO92" s="864"/>
      <c r="DP92" s="980" t="s">
        <v>504</v>
      </c>
      <c r="DQ92" s="864"/>
      <c r="DR92" s="864"/>
      <c r="DS92" s="864"/>
      <c r="DT92" s="864"/>
      <c r="DU92" s="864"/>
      <c r="DV92" s="864"/>
      <c r="DW92" s="864"/>
      <c r="DX92" s="864"/>
      <c r="DY92" s="864"/>
      <c r="DZ92" s="864"/>
      <c r="EA92" s="864"/>
      <c r="EB92" s="864"/>
      <c r="EC92" s="864"/>
      <c r="ED92" s="864"/>
      <c r="EE92" s="864"/>
      <c r="EF92" s="980" t="s">
        <v>504</v>
      </c>
      <c r="EG92" s="980" t="s">
        <v>504</v>
      </c>
      <c r="EH92" s="980" t="s">
        <v>504</v>
      </c>
      <c r="EI92" s="855" t="s">
        <v>504</v>
      </c>
      <c r="EJ92" s="999" t="s">
        <v>504</v>
      </c>
      <c r="EK92" s="999" t="s">
        <v>504</v>
      </c>
      <c r="EL92" s="999" t="s">
        <v>504</v>
      </c>
      <c r="EM92" s="999" t="s">
        <v>504</v>
      </c>
      <c r="EN92" s="999" t="s">
        <v>504</v>
      </c>
      <c r="EO92" s="999" t="s">
        <v>504</v>
      </c>
      <c r="EP92" s="999" t="s">
        <v>504</v>
      </c>
      <c r="EQ92" s="999" t="s">
        <v>504</v>
      </c>
      <c r="ER92" s="999"/>
      <c r="ES92" s="999"/>
      <c r="ET92" s="999" t="s">
        <v>504</v>
      </c>
      <c r="EU92" s="864"/>
      <c r="EV92" s="864"/>
      <c r="EW92" s="980" t="s">
        <v>504</v>
      </c>
      <c r="EX92" s="864"/>
      <c r="EY92" s="864"/>
      <c r="EZ92" s="864"/>
      <c r="FA92" s="864"/>
      <c r="FB92" s="864"/>
      <c r="FC92" s="864"/>
      <c r="FD92" s="864"/>
      <c r="FE92" s="980" t="s">
        <v>504</v>
      </c>
      <c r="FF92" s="864"/>
      <c r="FG92" s="864"/>
      <c r="FH92" s="864"/>
      <c r="FI92" s="864"/>
      <c r="FJ92" s="864"/>
      <c r="FK92" s="1000" t="s">
        <v>504</v>
      </c>
      <c r="FL92" s="852" t="s">
        <v>504</v>
      </c>
      <c r="FM92" s="855" t="s">
        <v>504</v>
      </c>
      <c r="FN92" s="980"/>
      <c r="FO92" s="980"/>
      <c r="FP92" s="980" t="s">
        <v>504</v>
      </c>
      <c r="FQ92" s="980" t="s">
        <v>504</v>
      </c>
      <c r="FR92" s="864"/>
      <c r="FS92" s="864"/>
      <c r="FT92" s="864"/>
      <c r="FU92" s="864"/>
      <c r="FV92" s="864"/>
      <c r="FW92" s="864"/>
      <c r="FX92" s="864"/>
      <c r="FY92" s="864"/>
      <c r="FZ92" s="864"/>
      <c r="GA92" s="980" t="s">
        <v>504</v>
      </c>
      <c r="GB92" s="980" t="s">
        <v>504</v>
      </c>
      <c r="GC92" s="980" t="s">
        <v>504</v>
      </c>
      <c r="GD92" s="980" t="s">
        <v>504</v>
      </c>
      <c r="GE92" s="980" t="s">
        <v>504</v>
      </c>
      <c r="GF92" s="980"/>
      <c r="GG92" s="980" t="s">
        <v>504</v>
      </c>
      <c r="GH92" s="864"/>
      <c r="GI92" s="864"/>
      <c r="GJ92" s="864"/>
      <c r="GK92" s="864"/>
      <c r="GL92" s="864"/>
      <c r="GM92" s="864"/>
      <c r="GN92" s="864"/>
      <c r="GO92" s="1001" t="s">
        <v>504</v>
      </c>
      <c r="GP92" s="866" t="s">
        <v>504</v>
      </c>
      <c r="GQ92" s="1003" t="s">
        <v>504</v>
      </c>
      <c r="GR92" s="864"/>
      <c r="GS92" s="864"/>
      <c r="GT92" s="864"/>
      <c r="GU92" s="864"/>
      <c r="GV92" s="864"/>
      <c r="GW92" s="864"/>
      <c r="GX92" s="864"/>
      <c r="GY92" s="864"/>
      <c r="GZ92" s="864"/>
      <c r="HA92" s="864"/>
      <c r="HB92" s="864"/>
      <c r="HC92" s="864"/>
      <c r="HD92" s="864"/>
      <c r="HE92" s="980" t="s">
        <v>500</v>
      </c>
      <c r="HF92" s="1000" t="s">
        <v>504</v>
      </c>
      <c r="HG92" s="864"/>
      <c r="HH92" s="999" t="s">
        <v>504</v>
      </c>
      <c r="HI92" s="980" t="s">
        <v>504</v>
      </c>
      <c r="HJ92" s="980" t="s">
        <v>504</v>
      </c>
      <c r="HK92" s="999" t="s">
        <v>504</v>
      </c>
      <c r="HL92" s="864"/>
      <c r="HM92" s="864"/>
      <c r="HN92" s="864"/>
      <c r="HO92" s="861" t="s">
        <v>504</v>
      </c>
      <c r="HP92" s="980" t="s">
        <v>504</v>
      </c>
      <c r="HQ92" s="852" t="s">
        <v>504</v>
      </c>
      <c r="HR92" s="998" t="s">
        <v>504</v>
      </c>
      <c r="HS92" s="852" t="s">
        <v>504</v>
      </c>
      <c r="HT92" s="852" t="s">
        <v>504</v>
      </c>
      <c r="HU92" s="852" t="s">
        <v>504</v>
      </c>
      <c r="HV92" s="852" t="s">
        <v>504</v>
      </c>
      <c r="HW92" s="852" t="s">
        <v>504</v>
      </c>
      <c r="HX92" s="980" t="s">
        <v>504</v>
      </c>
      <c r="HY92" s="980" t="s">
        <v>504</v>
      </c>
      <c r="HZ92" s="980" t="s">
        <v>504</v>
      </c>
      <c r="IA92" s="855" t="s">
        <v>504</v>
      </c>
      <c r="IB92" s="980" t="s">
        <v>504</v>
      </c>
      <c r="IC92" s="855" t="s">
        <v>504</v>
      </c>
      <c r="ID92" s="980" t="s">
        <v>504</v>
      </c>
      <c r="IE92" s="852" t="s">
        <v>504</v>
      </c>
      <c r="IF92" s="852" t="s">
        <v>504</v>
      </c>
      <c r="IG92" s="998" t="s">
        <v>504</v>
      </c>
      <c r="IH92" s="980" t="s">
        <v>504</v>
      </c>
      <c r="II92" s="980" t="s">
        <v>504</v>
      </c>
      <c r="IJ92" s="998" t="s">
        <v>504</v>
      </c>
      <c r="IK92" s="852" t="s">
        <v>504</v>
      </c>
      <c r="IL92" s="980" t="s">
        <v>504</v>
      </c>
      <c r="IM92" s="980" t="s">
        <v>500</v>
      </c>
      <c r="IN92" s="980" t="s">
        <v>500</v>
      </c>
      <c r="IO92" s="864"/>
      <c r="IP92" s="864"/>
      <c r="IQ92" s="864"/>
      <c r="IR92" s="998" t="s">
        <v>504</v>
      </c>
      <c r="IS92" s="980" t="s">
        <v>504</v>
      </c>
      <c r="IT92" s="980" t="s">
        <v>504</v>
      </c>
      <c r="IU92" s="980" t="s">
        <v>504</v>
      </c>
      <c r="IV92" s="980" t="s">
        <v>504</v>
      </c>
      <c r="IW92" s="980" t="s">
        <v>504</v>
      </c>
      <c r="IX92" s="999" t="s">
        <v>500</v>
      </c>
      <c r="IY92" s="855" t="s">
        <v>504</v>
      </c>
      <c r="IZ92" s="980" t="s">
        <v>504</v>
      </c>
      <c r="JA92" s="980" t="s">
        <v>504</v>
      </c>
      <c r="JB92" s="980"/>
      <c r="JC92" s="980" t="s">
        <v>504</v>
      </c>
      <c r="JD92" s="980" t="s">
        <v>504</v>
      </c>
      <c r="JE92" s="980" t="s">
        <v>504</v>
      </c>
      <c r="JF92" s="999" t="s">
        <v>504</v>
      </c>
      <c r="JG92" s="980" t="s">
        <v>504</v>
      </c>
      <c r="JH92" s="980" t="s">
        <v>500</v>
      </c>
      <c r="JI92" s="980" t="s">
        <v>471</v>
      </c>
      <c r="JJ92" s="980" t="s">
        <v>504</v>
      </c>
      <c r="JK92" s="980" t="s">
        <v>504</v>
      </c>
      <c r="JL92" s="980" t="s">
        <v>500</v>
      </c>
      <c r="JM92" s="980" t="s">
        <v>504</v>
      </c>
      <c r="JN92" s="980" t="s">
        <v>504</v>
      </c>
      <c r="JO92" s="980" t="s">
        <v>504</v>
      </c>
      <c r="JP92" s="980" t="s">
        <v>504</v>
      </c>
      <c r="JQ92" s="999" t="s">
        <v>504</v>
      </c>
      <c r="JR92" s="980" t="s">
        <v>504</v>
      </c>
      <c r="JS92" s="980" t="s">
        <v>504</v>
      </c>
      <c r="JT92" s="980" t="s">
        <v>504</v>
      </c>
      <c r="JU92" s="980" t="s">
        <v>504</v>
      </c>
      <c r="JV92" s="980" t="s">
        <v>504</v>
      </c>
      <c r="JW92" s="980" t="s">
        <v>504</v>
      </c>
      <c r="JX92" s="980"/>
      <c r="JY92" s="980" t="s">
        <v>504</v>
      </c>
      <c r="JZ92" s="980" t="s">
        <v>504</v>
      </c>
      <c r="KA92" s="980" t="s">
        <v>504</v>
      </c>
      <c r="KB92" s="980" t="s">
        <v>504</v>
      </c>
      <c r="KC92" s="980" t="s">
        <v>504</v>
      </c>
      <c r="KD92" s="980" t="s">
        <v>504</v>
      </c>
      <c r="KE92" s="998" t="s">
        <v>500</v>
      </c>
      <c r="KF92" s="862" t="s">
        <v>504</v>
      </c>
      <c r="KG92" s="862" t="s">
        <v>504</v>
      </c>
      <c r="KH92" s="998" t="s">
        <v>504</v>
      </c>
      <c r="KI92" s="998" t="s">
        <v>504</v>
      </c>
      <c r="KJ92" s="998" t="s">
        <v>504</v>
      </c>
      <c r="KK92" s="998" t="s">
        <v>504</v>
      </c>
      <c r="KL92" s="980" t="s">
        <v>504</v>
      </c>
      <c r="KM92" s="864"/>
      <c r="KN92" s="864"/>
      <c r="KO92" s="864"/>
      <c r="KP92" s="864"/>
      <c r="KQ92" s="864"/>
      <c r="KR92" s="980" t="s">
        <v>504</v>
      </c>
      <c r="KS92" s="864"/>
      <c r="KT92" s="980" t="s">
        <v>504</v>
      </c>
      <c r="KU92" s="864"/>
      <c r="KV92" s="980" t="s">
        <v>504</v>
      </c>
      <c r="KW92" s="980" t="s">
        <v>504</v>
      </c>
      <c r="KX92" s="980" t="s">
        <v>504</v>
      </c>
      <c r="KY92" s="858" t="s">
        <v>504</v>
      </c>
      <c r="KZ92" s="980" t="s">
        <v>504</v>
      </c>
      <c r="LA92" s="980" t="s">
        <v>504</v>
      </c>
      <c r="LB92" s="980" t="s">
        <v>504</v>
      </c>
      <c r="LC92" s="980" t="s">
        <v>504</v>
      </c>
      <c r="LD92" s="855" t="s">
        <v>504</v>
      </c>
      <c r="LE92" s="855" t="s">
        <v>504</v>
      </c>
      <c r="LF92" s="858" t="s">
        <v>504</v>
      </c>
      <c r="LG92" s="999" t="s">
        <v>504</v>
      </c>
      <c r="LH92" s="999" t="s">
        <v>504</v>
      </c>
      <c r="LI92" s="999" t="s">
        <v>504</v>
      </c>
      <c r="LJ92" s="999" t="s">
        <v>504</v>
      </c>
      <c r="LK92" s="999" t="s">
        <v>504</v>
      </c>
      <c r="LL92" s="999" t="s">
        <v>504</v>
      </c>
      <c r="LM92" s="999" t="s">
        <v>504</v>
      </c>
      <c r="LN92" s="999" t="s">
        <v>504</v>
      </c>
      <c r="LO92" s="999" t="s">
        <v>504</v>
      </c>
      <c r="LP92" s="999" t="s">
        <v>504</v>
      </c>
      <c r="LQ92" s="999"/>
      <c r="LR92" s="999"/>
      <c r="LS92" s="999" t="s">
        <v>504</v>
      </c>
      <c r="LT92" s="999" t="s">
        <v>504</v>
      </c>
      <c r="LU92" s="999" t="s">
        <v>504</v>
      </c>
      <c r="LV92" s="999" t="s">
        <v>504</v>
      </c>
      <c r="LW92" s="999" t="s">
        <v>504</v>
      </c>
      <c r="LX92" s="999" t="s">
        <v>504</v>
      </c>
      <c r="LY92" s="999" t="s">
        <v>504</v>
      </c>
    </row>
    <row r="93" spans="1:337" ht="33.75" customHeight="1" x14ac:dyDescent="0.25">
      <c r="A93" s="1584"/>
      <c r="B93" s="1587"/>
      <c r="C93" s="1606"/>
      <c r="D93" s="1608"/>
      <c r="E93" s="840" t="s">
        <v>172</v>
      </c>
      <c r="F93" s="863"/>
      <c r="G93" s="863"/>
      <c r="H93" s="864"/>
      <c r="I93" s="864"/>
      <c r="J93" s="864"/>
      <c r="K93" s="864"/>
      <c r="L93" s="864"/>
      <c r="M93" s="864"/>
      <c r="N93" s="852"/>
      <c r="O93" s="864"/>
      <c r="P93" s="864"/>
      <c r="Q93" s="864"/>
      <c r="R93" s="864"/>
      <c r="S93" s="864"/>
      <c r="T93" s="864"/>
      <c r="U93" s="864"/>
      <c r="V93" s="980"/>
      <c r="W93" s="980"/>
      <c r="X93" s="980"/>
      <c r="Y93" s="980" t="s">
        <v>465</v>
      </c>
      <c r="Z93" s="980"/>
      <c r="AA93" s="864"/>
      <c r="AB93" s="864"/>
      <c r="AC93" s="864"/>
      <c r="AD93" s="864"/>
      <c r="AE93" s="864"/>
      <c r="AF93" s="864"/>
      <c r="AG93" s="864"/>
      <c r="AH93" s="864"/>
      <c r="AI93" s="864"/>
      <c r="AJ93" s="864"/>
      <c r="AK93" s="864"/>
      <c r="AL93" s="864"/>
      <c r="AM93" s="864"/>
      <c r="AN93" s="864"/>
      <c r="AO93" s="864"/>
      <c r="AP93" s="864"/>
      <c r="AQ93" s="864"/>
      <c r="AR93" s="864"/>
      <c r="AS93" s="864"/>
      <c r="AT93" s="864"/>
      <c r="AU93" s="864"/>
      <c r="AV93" s="980"/>
      <c r="AW93" s="980"/>
      <c r="AX93" s="864"/>
      <c r="AY93" s="864"/>
      <c r="AZ93" s="864"/>
      <c r="BA93" s="852"/>
      <c r="BB93" s="980"/>
      <c r="BC93" s="980"/>
      <c r="BD93" s="980"/>
      <c r="BE93" s="864"/>
      <c r="BF93" s="864"/>
      <c r="BG93" s="864"/>
      <c r="BH93" s="864"/>
      <c r="BI93" s="864"/>
      <c r="BJ93" s="864"/>
      <c r="BK93" s="864"/>
      <c r="BL93" s="864"/>
      <c r="BM93" s="864"/>
      <c r="BN93" s="864"/>
      <c r="BO93" s="864"/>
      <c r="BP93" s="864"/>
      <c r="BQ93" s="864"/>
      <c r="BR93" s="864"/>
      <c r="BS93" s="864"/>
      <c r="BT93" s="1057"/>
      <c r="BU93" s="980"/>
      <c r="BV93" s="855" t="s">
        <v>655</v>
      </c>
      <c r="BW93" s="980"/>
      <c r="BX93" s="864"/>
      <c r="BY93" s="864"/>
      <c r="BZ93" s="864"/>
      <c r="CA93" s="864"/>
      <c r="CB93" s="864"/>
      <c r="CC93" s="998"/>
      <c r="CD93" s="864"/>
      <c r="CE93" s="864"/>
      <c r="CF93" s="864"/>
      <c r="CG93" s="864"/>
      <c r="CH93" s="864"/>
      <c r="CI93" s="864"/>
      <c r="CJ93" s="864"/>
      <c r="CK93" s="980"/>
      <c r="CL93" s="980"/>
      <c r="CM93" s="864"/>
      <c r="CN93" s="864"/>
      <c r="CO93" s="864"/>
      <c r="CP93" s="864"/>
      <c r="CQ93" s="864"/>
      <c r="CR93" s="864"/>
      <c r="CS93" s="864"/>
      <c r="CT93" s="864"/>
      <c r="CU93" s="864"/>
      <c r="CV93" s="864"/>
      <c r="CW93" s="864"/>
      <c r="CX93" s="864"/>
      <c r="CY93" s="864"/>
      <c r="CZ93" s="864"/>
      <c r="DA93" s="864"/>
      <c r="DB93" s="864"/>
      <c r="DC93" s="864"/>
      <c r="DD93" s="864"/>
      <c r="DE93" s="864"/>
      <c r="DF93" s="980"/>
      <c r="DG93" s="864"/>
      <c r="DH93" s="980"/>
      <c r="DI93" s="980"/>
      <c r="DJ93" s="980"/>
      <c r="DK93" s="980"/>
      <c r="DL93" s="980"/>
      <c r="DM93" s="980"/>
      <c r="DN93" s="864"/>
      <c r="DO93" s="864"/>
      <c r="DP93" s="980"/>
      <c r="DQ93" s="864"/>
      <c r="DR93" s="864"/>
      <c r="DS93" s="864"/>
      <c r="DT93" s="864"/>
      <c r="DU93" s="864"/>
      <c r="DV93" s="864"/>
      <c r="DW93" s="864"/>
      <c r="DX93" s="864"/>
      <c r="DY93" s="864"/>
      <c r="DZ93" s="864"/>
      <c r="EA93" s="864"/>
      <c r="EB93" s="864"/>
      <c r="EC93" s="864"/>
      <c r="ED93" s="864"/>
      <c r="EE93" s="864"/>
      <c r="EF93" s="980"/>
      <c r="EG93" s="980"/>
      <c r="EH93" s="980"/>
      <c r="EI93" s="855"/>
      <c r="EJ93" s="999"/>
      <c r="EK93" s="999"/>
      <c r="EL93" s="999"/>
      <c r="EM93" s="853"/>
      <c r="EN93" s="999" t="s">
        <v>504</v>
      </c>
      <c r="EO93" s="999"/>
      <c r="EP93" s="999"/>
      <c r="EQ93" s="999"/>
      <c r="ER93" s="999"/>
      <c r="ES93" s="999"/>
      <c r="ET93" s="999"/>
      <c r="EU93" s="864"/>
      <c r="EV93" s="864"/>
      <c r="EW93" s="980"/>
      <c r="EX93" s="864"/>
      <c r="EY93" s="864"/>
      <c r="EZ93" s="864"/>
      <c r="FA93" s="864"/>
      <c r="FB93" s="864"/>
      <c r="FC93" s="864"/>
      <c r="FD93" s="864"/>
      <c r="FE93" s="980"/>
      <c r="FF93" s="864"/>
      <c r="FG93" s="864"/>
      <c r="FH93" s="864"/>
      <c r="FI93" s="864"/>
      <c r="FJ93" s="864"/>
      <c r="FK93" s="1000"/>
      <c r="FL93" s="852"/>
      <c r="FM93" s="855"/>
      <c r="FN93" s="980"/>
      <c r="FO93" s="980"/>
      <c r="FP93" s="980"/>
      <c r="FQ93" s="980"/>
      <c r="FR93" s="864"/>
      <c r="FS93" s="864"/>
      <c r="FT93" s="864"/>
      <c r="FU93" s="864"/>
      <c r="FV93" s="864"/>
      <c r="FW93" s="864"/>
      <c r="FX93" s="864"/>
      <c r="FY93" s="864"/>
      <c r="FZ93" s="864"/>
      <c r="GA93" s="980"/>
      <c r="GB93" s="980"/>
      <c r="GC93" s="980">
        <v>0</v>
      </c>
      <c r="GD93" s="980"/>
      <c r="GE93" s="980"/>
      <c r="GF93" s="980"/>
      <c r="GG93" s="980" t="s">
        <v>465</v>
      </c>
      <c r="GH93" s="864"/>
      <c r="GI93" s="864"/>
      <c r="GJ93" s="864"/>
      <c r="GK93" s="864"/>
      <c r="GL93" s="864"/>
      <c r="GM93" s="864"/>
      <c r="GN93" s="864"/>
      <c r="GO93" s="1001"/>
      <c r="GP93" s="1002"/>
      <c r="GQ93" s="867"/>
      <c r="GR93" s="864"/>
      <c r="GS93" s="864"/>
      <c r="GT93" s="864"/>
      <c r="GU93" s="864"/>
      <c r="GV93" s="864"/>
      <c r="GW93" s="864"/>
      <c r="GX93" s="864"/>
      <c r="GY93" s="864"/>
      <c r="GZ93" s="864"/>
      <c r="HA93" s="864"/>
      <c r="HB93" s="864"/>
      <c r="HC93" s="864"/>
      <c r="HD93" s="864"/>
      <c r="HE93" s="980"/>
      <c r="HF93" s="980"/>
      <c r="HG93" s="864"/>
      <c r="HH93" s="999"/>
      <c r="HI93" s="980"/>
      <c r="HJ93" s="980"/>
      <c r="HK93" s="999"/>
      <c r="HL93" s="864"/>
      <c r="HM93" s="864"/>
      <c r="HN93" s="864"/>
      <c r="HO93" s="1004"/>
      <c r="HP93" s="980"/>
      <c r="HQ93" s="852"/>
      <c r="HR93" s="998"/>
      <c r="HS93" s="852"/>
      <c r="HT93" s="852"/>
      <c r="HU93" s="852"/>
      <c r="HV93" s="1000"/>
      <c r="HW93" s="852"/>
      <c r="HX93" s="980"/>
      <c r="HY93" s="980"/>
      <c r="HZ93" s="980"/>
      <c r="IA93" s="980"/>
      <c r="IB93" s="980"/>
      <c r="IC93" s="980"/>
      <c r="ID93" s="980"/>
      <c r="IE93" s="1000"/>
      <c r="IF93" s="852"/>
      <c r="IG93" s="998"/>
      <c r="IH93" s="980"/>
      <c r="II93" s="980"/>
      <c r="IJ93" s="998"/>
      <c r="IK93" s="852"/>
      <c r="IL93" s="980"/>
      <c r="IM93" s="980" t="s">
        <v>3794</v>
      </c>
      <c r="IN93" s="980" t="s">
        <v>935</v>
      </c>
      <c r="IO93" s="864"/>
      <c r="IP93" s="864"/>
      <c r="IQ93" s="864"/>
      <c r="IR93" s="998" t="s">
        <v>504</v>
      </c>
      <c r="IS93" s="980"/>
      <c r="IT93" s="980"/>
      <c r="IU93" s="980"/>
      <c r="IV93" s="980" t="s">
        <v>465</v>
      </c>
      <c r="IW93" s="980"/>
      <c r="IX93" s="999" t="s">
        <v>3932</v>
      </c>
      <c r="IY93" s="980"/>
      <c r="IZ93" s="980"/>
      <c r="JA93" s="980"/>
      <c r="JB93" s="980"/>
      <c r="JC93" s="980"/>
      <c r="JD93" s="980"/>
      <c r="JE93" s="980"/>
      <c r="JF93" s="999"/>
      <c r="JG93" s="980"/>
      <c r="JH93" s="980" t="s">
        <v>4087</v>
      </c>
      <c r="JI93" s="980" t="s">
        <v>4107</v>
      </c>
      <c r="JJ93" s="980"/>
      <c r="JK93" s="980"/>
      <c r="JL93" s="980" t="s">
        <v>4146</v>
      </c>
      <c r="JM93" s="980"/>
      <c r="JN93" s="980"/>
      <c r="JO93" s="980"/>
      <c r="JP93" s="855" t="s">
        <v>702</v>
      </c>
      <c r="JQ93" s="999"/>
      <c r="JR93" s="980"/>
      <c r="JS93" s="980"/>
      <c r="JT93" s="980"/>
      <c r="JU93" s="980"/>
      <c r="JV93" s="980"/>
      <c r="JW93" s="980"/>
      <c r="JX93" s="980"/>
      <c r="JY93" s="980"/>
      <c r="JZ93" s="980"/>
      <c r="KA93" s="980"/>
      <c r="KB93" s="980"/>
      <c r="KC93" s="980"/>
      <c r="KD93" s="980"/>
      <c r="KE93" s="998" t="s">
        <v>2017</v>
      </c>
      <c r="KF93" s="862" t="s">
        <v>504</v>
      </c>
      <c r="KG93" s="862" t="s">
        <v>504</v>
      </c>
      <c r="KH93" s="998" t="s">
        <v>504</v>
      </c>
      <c r="KI93" s="998" t="s">
        <v>504</v>
      </c>
      <c r="KJ93" s="998" t="s">
        <v>504</v>
      </c>
      <c r="KK93" s="998" t="s">
        <v>504</v>
      </c>
      <c r="KL93" s="980" t="s">
        <v>504</v>
      </c>
      <c r="KM93" s="864"/>
      <c r="KN93" s="864"/>
      <c r="KO93" s="864"/>
      <c r="KP93" s="864"/>
      <c r="KQ93" s="864"/>
      <c r="KR93" s="980"/>
      <c r="KS93" s="864"/>
      <c r="KT93" s="980"/>
      <c r="KU93" s="864"/>
      <c r="KV93" s="980"/>
      <c r="KW93" s="980"/>
      <c r="KX93" s="980"/>
      <c r="KY93" s="858"/>
      <c r="KZ93" s="980"/>
      <c r="LA93" s="980"/>
      <c r="LB93" s="980"/>
      <c r="LC93" s="980"/>
      <c r="LD93" s="855"/>
      <c r="LE93" s="855"/>
      <c r="LF93" s="858"/>
      <c r="LG93" s="999"/>
      <c r="LH93" s="999"/>
      <c r="LI93" s="999"/>
      <c r="LJ93" s="999"/>
      <c r="LK93" s="999"/>
      <c r="LL93" s="999"/>
      <c r="LM93" s="999"/>
      <c r="LN93" s="999"/>
      <c r="LO93" s="999"/>
      <c r="LP93" s="999"/>
      <c r="LQ93" s="999"/>
      <c r="LR93" s="999"/>
      <c r="LS93" s="999"/>
      <c r="LT93" s="999"/>
      <c r="LU93" s="999"/>
      <c r="LV93" s="999"/>
      <c r="LW93" s="999"/>
      <c r="LX93" s="999"/>
      <c r="LY93" s="999"/>
    </row>
    <row r="94" spans="1:337" ht="16.5" thickBot="1" x14ac:dyDescent="0.3">
      <c r="A94" s="1584"/>
      <c r="B94" s="1587"/>
      <c r="C94" s="1606"/>
      <c r="D94" s="1608"/>
      <c r="E94" s="841" t="s">
        <v>174</v>
      </c>
      <c r="F94" s="863"/>
      <c r="G94" s="863"/>
      <c r="H94" s="864"/>
      <c r="I94" s="864"/>
      <c r="J94" s="864"/>
      <c r="K94" s="864"/>
      <c r="L94" s="864"/>
      <c r="M94" s="864"/>
      <c r="N94" s="852"/>
      <c r="O94" s="864"/>
      <c r="P94" s="864"/>
      <c r="Q94" s="864"/>
      <c r="R94" s="864"/>
      <c r="S94" s="864"/>
      <c r="T94" s="864"/>
      <c r="U94" s="864"/>
      <c r="V94" s="980"/>
      <c r="W94" s="980"/>
      <c r="X94" s="980"/>
      <c r="Y94" s="980" t="s">
        <v>465</v>
      </c>
      <c r="Z94" s="980"/>
      <c r="AA94" s="864"/>
      <c r="AB94" s="864"/>
      <c r="AC94" s="864"/>
      <c r="AD94" s="864"/>
      <c r="AE94" s="864"/>
      <c r="AF94" s="864"/>
      <c r="AG94" s="864"/>
      <c r="AH94" s="864"/>
      <c r="AI94" s="864"/>
      <c r="AJ94" s="864"/>
      <c r="AK94" s="864"/>
      <c r="AL94" s="864"/>
      <c r="AM94" s="864"/>
      <c r="AN94" s="864"/>
      <c r="AO94" s="864"/>
      <c r="AP94" s="864"/>
      <c r="AQ94" s="864"/>
      <c r="AR94" s="864"/>
      <c r="AS94" s="864"/>
      <c r="AT94" s="864"/>
      <c r="AU94" s="864"/>
      <c r="AV94" s="980"/>
      <c r="AW94" s="980"/>
      <c r="AX94" s="864"/>
      <c r="AY94" s="864"/>
      <c r="AZ94" s="864"/>
      <c r="BA94" s="852"/>
      <c r="BB94" s="980"/>
      <c r="BC94" s="980"/>
      <c r="BD94" s="980"/>
      <c r="BE94" s="864"/>
      <c r="BF94" s="864"/>
      <c r="BG94" s="864"/>
      <c r="BH94" s="864"/>
      <c r="BI94" s="864"/>
      <c r="BJ94" s="864"/>
      <c r="BK94" s="864"/>
      <c r="BL94" s="864"/>
      <c r="BM94" s="864"/>
      <c r="BN94" s="864"/>
      <c r="BO94" s="864"/>
      <c r="BP94" s="864"/>
      <c r="BQ94" s="864"/>
      <c r="BR94" s="864"/>
      <c r="BS94" s="864"/>
      <c r="BT94" s="980"/>
      <c r="BU94" s="980"/>
      <c r="BV94" s="980">
        <v>61</v>
      </c>
      <c r="BW94" s="980"/>
      <c r="BX94" s="864"/>
      <c r="BY94" s="864"/>
      <c r="BZ94" s="864"/>
      <c r="CA94" s="864"/>
      <c r="CB94" s="864"/>
      <c r="CC94" s="998"/>
      <c r="CD94" s="864"/>
      <c r="CE94" s="864"/>
      <c r="CF94" s="864"/>
      <c r="CG94" s="864"/>
      <c r="CH94" s="864"/>
      <c r="CI94" s="864"/>
      <c r="CJ94" s="864"/>
      <c r="CK94" s="980"/>
      <c r="CL94" s="980"/>
      <c r="CM94" s="864"/>
      <c r="CN94" s="864"/>
      <c r="CO94" s="864"/>
      <c r="CP94" s="864"/>
      <c r="CQ94" s="864"/>
      <c r="CR94" s="864"/>
      <c r="CS94" s="864"/>
      <c r="CT94" s="864"/>
      <c r="CU94" s="864"/>
      <c r="CV94" s="864"/>
      <c r="CW94" s="864"/>
      <c r="CX94" s="864"/>
      <c r="CY94" s="864"/>
      <c r="CZ94" s="864"/>
      <c r="DA94" s="864"/>
      <c r="DB94" s="864"/>
      <c r="DC94" s="864"/>
      <c r="DD94" s="864"/>
      <c r="DE94" s="864"/>
      <c r="DF94" s="980"/>
      <c r="DG94" s="864"/>
      <c r="DH94" s="980"/>
      <c r="DI94" s="980"/>
      <c r="DJ94" s="980"/>
      <c r="DK94" s="980"/>
      <c r="DL94" s="980"/>
      <c r="DM94" s="980"/>
      <c r="DN94" s="864"/>
      <c r="DO94" s="864"/>
      <c r="DP94" s="980"/>
      <c r="DQ94" s="864"/>
      <c r="DR94" s="864"/>
      <c r="DS94" s="864"/>
      <c r="DT94" s="864"/>
      <c r="DU94" s="864"/>
      <c r="DV94" s="864"/>
      <c r="DW94" s="864"/>
      <c r="DX94" s="864"/>
      <c r="DY94" s="864"/>
      <c r="DZ94" s="864"/>
      <c r="EA94" s="864"/>
      <c r="EB94" s="864"/>
      <c r="EC94" s="864"/>
      <c r="ED94" s="864"/>
      <c r="EE94" s="864"/>
      <c r="EF94" s="980"/>
      <c r="EG94" s="980"/>
      <c r="EH94" s="980"/>
      <c r="EI94" s="855"/>
      <c r="EJ94" s="999"/>
      <c r="EK94" s="999"/>
      <c r="EL94" s="999"/>
      <c r="EM94" s="853"/>
      <c r="EN94" s="999" t="s">
        <v>504</v>
      </c>
      <c r="EO94" s="999"/>
      <c r="EP94" s="999"/>
      <c r="EQ94" s="999"/>
      <c r="ER94" s="999"/>
      <c r="ES94" s="999"/>
      <c r="ET94" s="999"/>
      <c r="EU94" s="864"/>
      <c r="EV94" s="864"/>
      <c r="EW94" s="980"/>
      <c r="EX94" s="864"/>
      <c r="EY94" s="864"/>
      <c r="EZ94" s="864"/>
      <c r="FA94" s="864"/>
      <c r="FB94" s="864"/>
      <c r="FC94" s="864"/>
      <c r="FD94" s="864"/>
      <c r="FE94" s="980"/>
      <c r="FF94" s="864"/>
      <c r="FG94" s="864"/>
      <c r="FH94" s="864"/>
      <c r="FI94" s="864"/>
      <c r="FJ94" s="864"/>
      <c r="FK94" s="1000"/>
      <c r="FL94" s="1000"/>
      <c r="FM94" s="980"/>
      <c r="FN94" s="980"/>
      <c r="FO94" s="980"/>
      <c r="FP94" s="980"/>
      <c r="FQ94" s="980"/>
      <c r="FR94" s="864"/>
      <c r="FS94" s="864"/>
      <c r="FT94" s="864"/>
      <c r="FU94" s="864"/>
      <c r="FV94" s="864"/>
      <c r="FW94" s="864"/>
      <c r="FX94" s="864"/>
      <c r="FY94" s="864"/>
      <c r="FZ94" s="864"/>
      <c r="GA94" s="980"/>
      <c r="GB94" s="980"/>
      <c r="GC94" s="980">
        <v>0</v>
      </c>
      <c r="GD94" s="980"/>
      <c r="GE94" s="980"/>
      <c r="GF94" s="980"/>
      <c r="GG94" s="980" t="s">
        <v>465</v>
      </c>
      <c r="GH94" s="864"/>
      <c r="GI94" s="864"/>
      <c r="GJ94" s="864"/>
      <c r="GK94" s="864"/>
      <c r="GL94" s="864"/>
      <c r="GM94" s="864"/>
      <c r="GN94" s="864"/>
      <c r="GO94" s="1001"/>
      <c r="GP94" s="1002"/>
      <c r="GQ94" s="867"/>
      <c r="GR94" s="864"/>
      <c r="GS94" s="864"/>
      <c r="GT94" s="864"/>
      <c r="GU94" s="864"/>
      <c r="GV94" s="864"/>
      <c r="GW94" s="864"/>
      <c r="GX94" s="864"/>
      <c r="GY94" s="864"/>
      <c r="GZ94" s="864"/>
      <c r="HA94" s="864"/>
      <c r="HB94" s="864"/>
      <c r="HC94" s="864"/>
      <c r="HD94" s="864"/>
      <c r="HE94" s="980"/>
      <c r="HF94" s="980"/>
      <c r="HG94" s="864"/>
      <c r="HH94" s="999"/>
      <c r="HI94" s="980"/>
      <c r="HJ94" s="980"/>
      <c r="HK94" s="999"/>
      <c r="HL94" s="864"/>
      <c r="HM94" s="864"/>
      <c r="HN94" s="864"/>
      <c r="HO94" s="1004"/>
      <c r="HP94" s="980"/>
      <c r="HQ94" s="1000"/>
      <c r="HR94" s="998"/>
      <c r="HS94" s="1000"/>
      <c r="HT94" s="1000"/>
      <c r="HU94" s="1000"/>
      <c r="HV94" s="852"/>
      <c r="HW94" s="1000"/>
      <c r="HX94" s="980"/>
      <c r="HY94" s="980"/>
      <c r="HZ94" s="980"/>
      <c r="IA94" s="980"/>
      <c r="IB94" s="980"/>
      <c r="IC94" s="980"/>
      <c r="ID94" s="980"/>
      <c r="IE94" s="852"/>
      <c r="IF94" s="1000"/>
      <c r="IG94" s="998"/>
      <c r="IH94" s="980"/>
      <c r="II94" s="980"/>
      <c r="IJ94" s="998"/>
      <c r="IK94" s="1000"/>
      <c r="IL94" s="980"/>
      <c r="IM94" s="980">
        <v>16</v>
      </c>
      <c r="IN94" s="980">
        <v>41</v>
      </c>
      <c r="IO94" s="864"/>
      <c r="IP94" s="864"/>
      <c r="IQ94" s="864"/>
      <c r="IR94" s="998">
        <v>0</v>
      </c>
      <c r="IS94" s="980"/>
      <c r="IT94" s="980"/>
      <c r="IU94" s="980"/>
      <c r="IV94" s="980" t="s">
        <v>465</v>
      </c>
      <c r="IW94" s="980"/>
      <c r="IX94" s="999">
        <v>107</v>
      </c>
      <c r="IY94" s="980"/>
      <c r="IZ94" s="980"/>
      <c r="JA94" s="980">
        <v>0</v>
      </c>
      <c r="JB94" s="980"/>
      <c r="JC94" s="980"/>
      <c r="JD94" s="980"/>
      <c r="JE94" s="980"/>
      <c r="JF94" s="999"/>
      <c r="JG94" s="980"/>
      <c r="JH94" s="980">
        <v>10</v>
      </c>
      <c r="JI94" s="980">
        <v>35</v>
      </c>
      <c r="JJ94" s="980"/>
      <c r="JK94" s="980"/>
      <c r="JL94" s="980">
        <v>5</v>
      </c>
      <c r="JM94" s="980"/>
      <c r="JN94" s="980"/>
      <c r="JO94" s="980"/>
      <c r="JP94" s="855" t="s">
        <v>702</v>
      </c>
      <c r="JQ94" s="999"/>
      <c r="JR94" s="980"/>
      <c r="JS94" s="980"/>
      <c r="JT94" s="980"/>
      <c r="JU94" s="980">
        <v>0</v>
      </c>
      <c r="JV94" s="980"/>
      <c r="JW94" s="980"/>
      <c r="JX94" s="980"/>
      <c r="JY94" s="980"/>
      <c r="JZ94" s="980"/>
      <c r="KA94" s="980"/>
      <c r="KB94" s="980"/>
      <c r="KC94" s="980"/>
      <c r="KD94" s="980"/>
      <c r="KE94" s="998">
        <v>43</v>
      </c>
      <c r="KF94" s="998">
        <v>0</v>
      </c>
      <c r="KG94" s="998"/>
      <c r="KH94" s="998"/>
      <c r="KI94" s="998"/>
      <c r="KJ94" s="998"/>
      <c r="KK94" s="998">
        <v>0</v>
      </c>
      <c r="KL94" s="980"/>
      <c r="KM94" s="864"/>
      <c r="KN94" s="864"/>
      <c r="KO94" s="864"/>
      <c r="KP94" s="864"/>
      <c r="KQ94" s="864"/>
      <c r="KR94" s="980"/>
      <c r="KS94" s="864"/>
      <c r="KT94" s="980"/>
      <c r="KU94" s="864"/>
      <c r="KV94" s="980"/>
      <c r="KW94" s="980"/>
      <c r="KX94" s="980"/>
      <c r="KY94" s="858"/>
      <c r="KZ94" s="980"/>
      <c r="LA94" s="980"/>
      <c r="LB94" s="980"/>
      <c r="LC94" s="980"/>
      <c r="LD94" s="980"/>
      <c r="LE94" s="980"/>
      <c r="LF94" s="999"/>
      <c r="LG94" s="999"/>
      <c r="LH94" s="999"/>
      <c r="LI94" s="999"/>
      <c r="LJ94" s="999"/>
      <c r="LK94" s="999"/>
      <c r="LL94" s="999"/>
      <c r="LM94" s="999"/>
      <c r="LN94" s="999"/>
      <c r="LO94" s="999"/>
      <c r="LP94" s="999"/>
      <c r="LQ94" s="999"/>
      <c r="LR94" s="999"/>
      <c r="LS94" s="999"/>
      <c r="LT94" s="999"/>
      <c r="LU94" s="999"/>
      <c r="LV94" s="999"/>
      <c r="LW94" s="999"/>
      <c r="LX94" s="999"/>
      <c r="LY94" s="999"/>
    </row>
    <row r="95" spans="1:337" ht="15.75" customHeight="1" x14ac:dyDescent="0.25">
      <c r="A95" s="1584"/>
      <c r="B95" s="1587"/>
      <c r="C95" s="1605" t="s">
        <v>62</v>
      </c>
      <c r="D95" s="1607" t="s">
        <v>251</v>
      </c>
      <c r="E95" s="833" t="s">
        <v>171</v>
      </c>
      <c r="F95" s="853"/>
      <c r="G95" s="853"/>
      <c r="H95" s="864"/>
      <c r="I95" s="864"/>
      <c r="J95" s="864"/>
      <c r="K95" s="864"/>
      <c r="L95" s="864"/>
      <c r="M95" s="864"/>
      <c r="N95" s="852" t="s">
        <v>504</v>
      </c>
      <c r="O95" s="864"/>
      <c r="P95" s="864"/>
      <c r="Q95" s="864"/>
      <c r="R95" s="864"/>
      <c r="S95" s="864"/>
      <c r="T95" s="864"/>
      <c r="U95" s="864"/>
      <c r="V95" s="980" t="s">
        <v>479</v>
      </c>
      <c r="W95" s="980"/>
      <c r="X95" s="980" t="s">
        <v>479</v>
      </c>
      <c r="Y95" s="980" t="s">
        <v>479</v>
      </c>
      <c r="Z95" s="980" t="s">
        <v>500</v>
      </c>
      <c r="AA95" s="864"/>
      <c r="AB95" s="864"/>
      <c r="AC95" s="864"/>
      <c r="AD95" s="864"/>
      <c r="AE95" s="864"/>
      <c r="AF95" s="864"/>
      <c r="AG95" s="864"/>
      <c r="AH95" s="864"/>
      <c r="AI95" s="864"/>
      <c r="AJ95" s="864"/>
      <c r="AK95" s="864"/>
      <c r="AL95" s="864"/>
      <c r="AM95" s="864"/>
      <c r="AN95" s="864"/>
      <c r="AO95" s="864"/>
      <c r="AP95" s="864"/>
      <c r="AQ95" s="864"/>
      <c r="AR95" s="864"/>
      <c r="AS95" s="864"/>
      <c r="AT95" s="864"/>
      <c r="AU95" s="864"/>
      <c r="AV95" s="980" t="s">
        <v>504</v>
      </c>
      <c r="AW95" s="980" t="s">
        <v>504</v>
      </c>
      <c r="AX95" s="864"/>
      <c r="AY95" s="864"/>
      <c r="AZ95" s="864"/>
      <c r="BA95" s="852" t="s">
        <v>504</v>
      </c>
      <c r="BB95" s="980" t="s">
        <v>504</v>
      </c>
      <c r="BC95" s="980" t="s">
        <v>504</v>
      </c>
      <c r="BD95" s="980"/>
      <c r="BE95" s="864"/>
      <c r="BF95" s="864"/>
      <c r="BG95" s="864"/>
      <c r="BH95" s="864"/>
      <c r="BI95" s="864"/>
      <c r="BJ95" s="864"/>
      <c r="BK95" s="864"/>
      <c r="BL95" s="864"/>
      <c r="BM95" s="864"/>
      <c r="BN95" s="864"/>
      <c r="BO95" s="864"/>
      <c r="BP95" s="864"/>
      <c r="BQ95" s="864"/>
      <c r="BR95" s="864"/>
      <c r="BS95" s="864"/>
      <c r="BT95" s="980" t="s">
        <v>504</v>
      </c>
      <c r="BU95" s="980"/>
      <c r="BV95" s="980" t="s">
        <v>504</v>
      </c>
      <c r="BW95" s="980" t="s">
        <v>504</v>
      </c>
      <c r="BX95" s="864"/>
      <c r="BY95" s="864"/>
      <c r="BZ95" s="864"/>
      <c r="CA95" s="864"/>
      <c r="CB95" s="864"/>
      <c r="CC95" s="998"/>
      <c r="CD95" s="864"/>
      <c r="CE95" s="864"/>
      <c r="CF95" s="864"/>
      <c r="CG95" s="864"/>
      <c r="CH95" s="864"/>
      <c r="CI95" s="864"/>
      <c r="CJ95" s="864"/>
      <c r="CK95" s="980"/>
      <c r="CL95" s="980"/>
      <c r="CM95" s="864"/>
      <c r="CN95" s="864"/>
      <c r="CO95" s="864"/>
      <c r="CP95" s="864"/>
      <c r="CQ95" s="864"/>
      <c r="CR95" s="864"/>
      <c r="CS95" s="864"/>
      <c r="CT95" s="864"/>
      <c r="CU95" s="864"/>
      <c r="CV95" s="864"/>
      <c r="CW95" s="864"/>
      <c r="CX95" s="864"/>
      <c r="CY95" s="864"/>
      <c r="CZ95" s="864"/>
      <c r="DA95" s="864"/>
      <c r="DB95" s="864"/>
      <c r="DC95" s="864"/>
      <c r="DD95" s="864"/>
      <c r="DE95" s="864"/>
      <c r="DF95" s="980"/>
      <c r="DG95" s="864"/>
      <c r="DH95" s="980" t="s">
        <v>504</v>
      </c>
      <c r="DI95" s="980"/>
      <c r="DJ95" s="980"/>
      <c r="DK95" s="980"/>
      <c r="DL95" s="980" t="s">
        <v>504</v>
      </c>
      <c r="DM95" s="980" t="s">
        <v>504</v>
      </c>
      <c r="DN95" s="864"/>
      <c r="DO95" s="864"/>
      <c r="DP95" s="980" t="s">
        <v>504</v>
      </c>
      <c r="DQ95" s="864"/>
      <c r="DR95" s="864"/>
      <c r="DS95" s="864"/>
      <c r="DT95" s="864"/>
      <c r="DU95" s="864"/>
      <c r="DV95" s="864"/>
      <c r="DW95" s="864"/>
      <c r="DX95" s="864"/>
      <c r="DY95" s="864"/>
      <c r="DZ95" s="864"/>
      <c r="EA95" s="864"/>
      <c r="EB95" s="864"/>
      <c r="EC95" s="864"/>
      <c r="ED95" s="864"/>
      <c r="EE95" s="864"/>
      <c r="EF95" s="980" t="s">
        <v>504</v>
      </c>
      <c r="EG95" s="980" t="s">
        <v>504</v>
      </c>
      <c r="EH95" s="980" t="s">
        <v>504</v>
      </c>
      <c r="EI95" s="855" t="s">
        <v>504</v>
      </c>
      <c r="EJ95" s="999" t="s">
        <v>504</v>
      </c>
      <c r="EK95" s="999" t="s">
        <v>504</v>
      </c>
      <c r="EL95" s="999" t="s">
        <v>504</v>
      </c>
      <c r="EM95" s="999" t="s">
        <v>504</v>
      </c>
      <c r="EN95" s="999" t="s">
        <v>504</v>
      </c>
      <c r="EO95" s="999" t="s">
        <v>504</v>
      </c>
      <c r="EP95" s="999" t="s">
        <v>504</v>
      </c>
      <c r="EQ95" s="999" t="s">
        <v>504</v>
      </c>
      <c r="ER95" s="999"/>
      <c r="ES95" s="999"/>
      <c r="ET95" s="999" t="s">
        <v>504</v>
      </c>
      <c r="EU95" s="864"/>
      <c r="EV95" s="864"/>
      <c r="EW95" s="980" t="s">
        <v>504</v>
      </c>
      <c r="EX95" s="864"/>
      <c r="EY95" s="864"/>
      <c r="EZ95" s="864"/>
      <c r="FA95" s="864"/>
      <c r="FB95" s="864"/>
      <c r="FC95" s="864"/>
      <c r="FD95" s="864"/>
      <c r="FE95" s="980" t="s">
        <v>479</v>
      </c>
      <c r="FF95" s="864"/>
      <c r="FG95" s="864"/>
      <c r="FH95" s="864"/>
      <c r="FI95" s="864"/>
      <c r="FJ95" s="864"/>
      <c r="FK95" s="852" t="s">
        <v>504</v>
      </c>
      <c r="FL95" s="852" t="s">
        <v>504</v>
      </c>
      <c r="FM95" s="855" t="s">
        <v>504</v>
      </c>
      <c r="FN95" s="980"/>
      <c r="FO95" s="980"/>
      <c r="FP95" s="980" t="s">
        <v>504</v>
      </c>
      <c r="FQ95" s="980" t="s">
        <v>504</v>
      </c>
      <c r="FR95" s="864"/>
      <c r="FS95" s="864"/>
      <c r="FT95" s="864"/>
      <c r="FU95" s="864"/>
      <c r="FV95" s="864"/>
      <c r="FW95" s="864"/>
      <c r="FX95" s="864"/>
      <c r="FY95" s="864"/>
      <c r="FZ95" s="864"/>
      <c r="GA95" s="980" t="s">
        <v>504</v>
      </c>
      <c r="GB95" s="980" t="s">
        <v>504</v>
      </c>
      <c r="GC95" s="980" t="s">
        <v>504</v>
      </c>
      <c r="GD95" s="980" t="s">
        <v>500</v>
      </c>
      <c r="GE95" s="980" t="s">
        <v>504</v>
      </c>
      <c r="GF95" s="980"/>
      <c r="GG95" s="980" t="s">
        <v>504</v>
      </c>
      <c r="GH95" s="864"/>
      <c r="GI95" s="864"/>
      <c r="GJ95" s="864"/>
      <c r="GK95" s="864"/>
      <c r="GL95" s="864"/>
      <c r="GM95" s="864"/>
      <c r="GN95" s="864"/>
      <c r="GO95" s="1001" t="s">
        <v>504</v>
      </c>
      <c r="GP95" s="866" t="s">
        <v>504</v>
      </c>
      <c r="GQ95" s="1003" t="s">
        <v>504</v>
      </c>
      <c r="GR95" s="864"/>
      <c r="GS95" s="864"/>
      <c r="GT95" s="864"/>
      <c r="GU95" s="864"/>
      <c r="GV95" s="864"/>
      <c r="GW95" s="864"/>
      <c r="GX95" s="864"/>
      <c r="GY95" s="864"/>
      <c r="GZ95" s="864"/>
      <c r="HA95" s="864"/>
      <c r="HB95" s="864"/>
      <c r="HC95" s="864"/>
      <c r="HD95" s="864"/>
      <c r="HE95" s="980" t="s">
        <v>504</v>
      </c>
      <c r="HF95" s="980" t="s">
        <v>504</v>
      </c>
      <c r="HG95" s="864"/>
      <c r="HH95" s="999" t="s">
        <v>504</v>
      </c>
      <c r="HI95" s="980" t="s">
        <v>504</v>
      </c>
      <c r="HJ95" s="980" t="s">
        <v>504</v>
      </c>
      <c r="HK95" s="999" t="s">
        <v>504</v>
      </c>
      <c r="HL95" s="864"/>
      <c r="HM95" s="864"/>
      <c r="HN95" s="864"/>
      <c r="HO95" s="861" t="s">
        <v>504</v>
      </c>
      <c r="HP95" s="980" t="s">
        <v>504</v>
      </c>
      <c r="HQ95" s="852" t="s">
        <v>504</v>
      </c>
      <c r="HR95" s="862" t="s">
        <v>504</v>
      </c>
      <c r="HS95" s="852" t="s">
        <v>504</v>
      </c>
      <c r="HT95" s="852" t="s">
        <v>504</v>
      </c>
      <c r="HU95" s="852" t="s">
        <v>504</v>
      </c>
      <c r="HV95" s="852" t="s">
        <v>504</v>
      </c>
      <c r="HW95" s="852" t="s">
        <v>504</v>
      </c>
      <c r="HX95" s="980" t="s">
        <v>504</v>
      </c>
      <c r="HY95" s="980" t="s">
        <v>504</v>
      </c>
      <c r="HZ95" s="980" t="s">
        <v>504</v>
      </c>
      <c r="IA95" s="855" t="s">
        <v>504</v>
      </c>
      <c r="IB95" s="980" t="s">
        <v>504</v>
      </c>
      <c r="IC95" s="855" t="s">
        <v>504</v>
      </c>
      <c r="ID95" s="980" t="s">
        <v>504</v>
      </c>
      <c r="IE95" s="852" t="s">
        <v>504</v>
      </c>
      <c r="IF95" s="852" t="s">
        <v>504</v>
      </c>
      <c r="IG95" s="998" t="s">
        <v>504</v>
      </c>
      <c r="IH95" s="980" t="s">
        <v>504</v>
      </c>
      <c r="II95" s="980" t="s">
        <v>504</v>
      </c>
      <c r="IJ95" s="998" t="s">
        <v>504</v>
      </c>
      <c r="IK95" s="852" t="s">
        <v>504</v>
      </c>
      <c r="IL95" s="980" t="s">
        <v>504</v>
      </c>
      <c r="IM95" s="980" t="s">
        <v>504</v>
      </c>
      <c r="IN95" s="980" t="s">
        <v>504</v>
      </c>
      <c r="IO95" s="864"/>
      <c r="IP95" s="864"/>
      <c r="IQ95" s="864"/>
      <c r="IR95" s="998" t="s">
        <v>504</v>
      </c>
      <c r="IS95" s="980" t="s">
        <v>504</v>
      </c>
      <c r="IT95" s="980" t="s">
        <v>504</v>
      </c>
      <c r="IU95" s="980" t="s">
        <v>504</v>
      </c>
      <c r="IV95" s="980" t="s">
        <v>504</v>
      </c>
      <c r="IW95" s="980" t="s">
        <v>504</v>
      </c>
      <c r="IX95" s="999" t="s">
        <v>504</v>
      </c>
      <c r="IY95" s="855" t="s">
        <v>504</v>
      </c>
      <c r="IZ95" s="980" t="s">
        <v>504</v>
      </c>
      <c r="JA95" s="980" t="s">
        <v>504</v>
      </c>
      <c r="JB95" s="980"/>
      <c r="JC95" s="980" t="s">
        <v>504</v>
      </c>
      <c r="JD95" s="980" t="s">
        <v>504</v>
      </c>
      <c r="JE95" s="980" t="s">
        <v>504</v>
      </c>
      <c r="JF95" s="858" t="s">
        <v>504</v>
      </c>
      <c r="JG95" s="980" t="s">
        <v>504</v>
      </c>
      <c r="JH95" s="980"/>
      <c r="JI95" s="980" t="s">
        <v>479</v>
      </c>
      <c r="JJ95" s="980" t="s">
        <v>504</v>
      </c>
      <c r="JK95" s="980" t="s">
        <v>504</v>
      </c>
      <c r="JL95" s="980" t="s">
        <v>504</v>
      </c>
      <c r="JM95" s="980" t="s">
        <v>504</v>
      </c>
      <c r="JN95" s="980" t="s">
        <v>504</v>
      </c>
      <c r="JO95" s="980" t="s">
        <v>504</v>
      </c>
      <c r="JP95" s="980" t="s">
        <v>504</v>
      </c>
      <c r="JQ95" s="999" t="s">
        <v>504</v>
      </c>
      <c r="JR95" s="980" t="s">
        <v>504</v>
      </c>
      <c r="JS95" s="980" t="s">
        <v>504</v>
      </c>
      <c r="JT95" s="980" t="s">
        <v>500</v>
      </c>
      <c r="JU95" s="980" t="s">
        <v>504</v>
      </c>
      <c r="JV95" s="980" t="s">
        <v>504</v>
      </c>
      <c r="JW95" s="980" t="s">
        <v>504</v>
      </c>
      <c r="JX95" s="980"/>
      <c r="JY95" s="980" t="s">
        <v>504</v>
      </c>
      <c r="JZ95" s="980" t="s">
        <v>504</v>
      </c>
      <c r="KA95" s="980" t="s">
        <v>504</v>
      </c>
      <c r="KB95" s="980" t="s">
        <v>504</v>
      </c>
      <c r="KC95" s="980" t="s">
        <v>504</v>
      </c>
      <c r="KD95" s="980" t="s">
        <v>504</v>
      </c>
      <c r="KE95" s="998" t="s">
        <v>504</v>
      </c>
      <c r="KF95" s="862" t="s">
        <v>504</v>
      </c>
      <c r="KG95" s="862" t="s">
        <v>504</v>
      </c>
      <c r="KH95" s="862" t="s">
        <v>504</v>
      </c>
      <c r="KI95" s="862" t="s">
        <v>504</v>
      </c>
      <c r="KJ95" s="862" t="s">
        <v>504</v>
      </c>
      <c r="KK95" s="862" t="s">
        <v>504</v>
      </c>
      <c r="KL95" s="980" t="s">
        <v>504</v>
      </c>
      <c r="KM95" s="864"/>
      <c r="KN95" s="864"/>
      <c r="KO95" s="864"/>
      <c r="KP95" s="864"/>
      <c r="KQ95" s="864"/>
      <c r="KR95" s="980" t="s">
        <v>504</v>
      </c>
      <c r="KS95" s="864"/>
      <c r="KT95" s="980" t="s">
        <v>504</v>
      </c>
      <c r="KU95" s="864"/>
      <c r="KV95" s="980" t="s">
        <v>504</v>
      </c>
      <c r="KW95" s="980" t="s">
        <v>504</v>
      </c>
      <c r="KX95" s="855" t="s">
        <v>504</v>
      </c>
      <c r="KY95" s="858" t="s">
        <v>504</v>
      </c>
      <c r="KZ95" s="980" t="s">
        <v>4506</v>
      </c>
      <c r="LA95" s="980" t="s">
        <v>504</v>
      </c>
      <c r="LB95" s="980" t="s">
        <v>504</v>
      </c>
      <c r="LC95" s="980" t="s">
        <v>504</v>
      </c>
      <c r="LD95" s="855" t="s">
        <v>504</v>
      </c>
      <c r="LE95" s="855" t="s">
        <v>504</v>
      </c>
      <c r="LF95" s="858" t="s">
        <v>504</v>
      </c>
      <c r="LG95" s="999" t="s">
        <v>504</v>
      </c>
      <c r="LH95" s="999" t="s">
        <v>504</v>
      </c>
      <c r="LI95" s="999" t="s">
        <v>504</v>
      </c>
      <c r="LJ95" s="999" t="s">
        <v>504</v>
      </c>
      <c r="LK95" s="999" t="s">
        <v>504</v>
      </c>
      <c r="LL95" s="999" t="s">
        <v>504</v>
      </c>
      <c r="LM95" s="999" t="s">
        <v>504</v>
      </c>
      <c r="LN95" s="999" t="s">
        <v>504</v>
      </c>
      <c r="LO95" s="999" t="s">
        <v>504</v>
      </c>
      <c r="LP95" s="999" t="s">
        <v>504</v>
      </c>
      <c r="LQ95" s="999"/>
      <c r="LR95" s="999"/>
      <c r="LS95" s="999" t="s">
        <v>504</v>
      </c>
      <c r="LT95" s="999" t="s">
        <v>504</v>
      </c>
      <c r="LU95" s="999" t="s">
        <v>504</v>
      </c>
      <c r="LV95" s="999" t="s">
        <v>504</v>
      </c>
      <c r="LW95" s="999" t="s">
        <v>504</v>
      </c>
      <c r="LX95" s="999" t="s">
        <v>504</v>
      </c>
      <c r="LY95" s="999" t="s">
        <v>504</v>
      </c>
    </row>
    <row r="96" spans="1:337" ht="31.5" x14ac:dyDescent="0.25">
      <c r="A96" s="1584"/>
      <c r="B96" s="1587"/>
      <c r="C96" s="1606"/>
      <c r="D96" s="1608"/>
      <c r="E96" s="840" t="s">
        <v>172</v>
      </c>
      <c r="F96" s="853"/>
      <c r="G96" s="853"/>
      <c r="H96" s="864"/>
      <c r="I96" s="864"/>
      <c r="J96" s="864"/>
      <c r="K96" s="864"/>
      <c r="L96" s="864"/>
      <c r="M96" s="864"/>
      <c r="N96" s="852"/>
      <c r="O96" s="864"/>
      <c r="P96" s="864"/>
      <c r="Q96" s="864"/>
      <c r="R96" s="864"/>
      <c r="S96" s="864"/>
      <c r="T96" s="864"/>
      <c r="U96" s="864"/>
      <c r="V96" s="980"/>
      <c r="W96" s="980"/>
      <c r="X96" s="980"/>
      <c r="Y96" s="980" t="s">
        <v>465</v>
      </c>
      <c r="Z96" s="980" t="s">
        <v>2723</v>
      </c>
      <c r="AA96" s="864"/>
      <c r="AB96" s="864"/>
      <c r="AC96" s="864"/>
      <c r="AD96" s="864"/>
      <c r="AE96" s="864"/>
      <c r="AF96" s="864"/>
      <c r="AG96" s="864"/>
      <c r="AH96" s="864"/>
      <c r="AI96" s="864"/>
      <c r="AJ96" s="864"/>
      <c r="AK96" s="864"/>
      <c r="AL96" s="864"/>
      <c r="AM96" s="864"/>
      <c r="AN96" s="864"/>
      <c r="AO96" s="864"/>
      <c r="AP96" s="864"/>
      <c r="AQ96" s="864"/>
      <c r="AR96" s="864"/>
      <c r="AS96" s="864"/>
      <c r="AT96" s="864"/>
      <c r="AU96" s="864"/>
      <c r="AV96" s="980"/>
      <c r="AW96" s="980"/>
      <c r="AX96" s="864"/>
      <c r="AY96" s="864"/>
      <c r="AZ96" s="864"/>
      <c r="BA96" s="852"/>
      <c r="BB96" s="980"/>
      <c r="BC96" s="980"/>
      <c r="BD96" s="980"/>
      <c r="BE96" s="864"/>
      <c r="BF96" s="864"/>
      <c r="BG96" s="864"/>
      <c r="BH96" s="864"/>
      <c r="BI96" s="864"/>
      <c r="BJ96" s="864"/>
      <c r="BK96" s="864"/>
      <c r="BL96" s="864"/>
      <c r="BM96" s="864"/>
      <c r="BN96" s="864"/>
      <c r="BO96" s="864"/>
      <c r="BP96" s="864"/>
      <c r="BQ96" s="864"/>
      <c r="BR96" s="864"/>
      <c r="BS96" s="864"/>
      <c r="BT96" s="980"/>
      <c r="BU96" s="980"/>
      <c r="BV96" s="980"/>
      <c r="BW96" s="980"/>
      <c r="BX96" s="864"/>
      <c r="BY96" s="864"/>
      <c r="BZ96" s="864"/>
      <c r="CA96" s="864"/>
      <c r="CB96" s="864"/>
      <c r="CC96" s="998"/>
      <c r="CD96" s="864"/>
      <c r="CE96" s="864"/>
      <c r="CF96" s="864"/>
      <c r="CG96" s="864"/>
      <c r="CH96" s="864"/>
      <c r="CI96" s="864"/>
      <c r="CJ96" s="864"/>
      <c r="CK96" s="980"/>
      <c r="CL96" s="980"/>
      <c r="CM96" s="864"/>
      <c r="CN96" s="864"/>
      <c r="CO96" s="864"/>
      <c r="CP96" s="864"/>
      <c r="CQ96" s="864"/>
      <c r="CR96" s="864"/>
      <c r="CS96" s="864"/>
      <c r="CT96" s="864"/>
      <c r="CU96" s="864"/>
      <c r="CV96" s="864"/>
      <c r="CW96" s="864"/>
      <c r="CX96" s="864"/>
      <c r="CY96" s="864"/>
      <c r="CZ96" s="864"/>
      <c r="DA96" s="864"/>
      <c r="DB96" s="864"/>
      <c r="DC96" s="864"/>
      <c r="DD96" s="864"/>
      <c r="DE96" s="864"/>
      <c r="DF96" s="980"/>
      <c r="DG96" s="864"/>
      <c r="DH96" s="980"/>
      <c r="DI96" s="980"/>
      <c r="DJ96" s="980"/>
      <c r="DK96" s="980"/>
      <c r="DL96" s="980"/>
      <c r="DM96" s="980"/>
      <c r="DN96" s="864"/>
      <c r="DO96" s="864"/>
      <c r="DP96" s="980"/>
      <c r="DQ96" s="864"/>
      <c r="DR96" s="864"/>
      <c r="DS96" s="864"/>
      <c r="DT96" s="864"/>
      <c r="DU96" s="864"/>
      <c r="DV96" s="864"/>
      <c r="DW96" s="864"/>
      <c r="DX96" s="864"/>
      <c r="DY96" s="864"/>
      <c r="DZ96" s="864"/>
      <c r="EA96" s="864"/>
      <c r="EB96" s="864"/>
      <c r="EC96" s="864"/>
      <c r="ED96" s="864"/>
      <c r="EE96" s="864"/>
      <c r="EF96" s="980"/>
      <c r="EG96" s="980"/>
      <c r="EH96" s="980"/>
      <c r="EI96" s="855"/>
      <c r="EJ96" s="999"/>
      <c r="EK96" s="999"/>
      <c r="EL96" s="999"/>
      <c r="EM96" s="853"/>
      <c r="EN96" s="999"/>
      <c r="EO96" s="999"/>
      <c r="EP96" s="999"/>
      <c r="EQ96" s="999"/>
      <c r="ER96" s="999"/>
      <c r="ES96" s="999"/>
      <c r="ET96" s="999"/>
      <c r="EU96" s="864"/>
      <c r="EV96" s="864"/>
      <c r="EW96" s="980"/>
      <c r="EX96" s="864"/>
      <c r="EY96" s="864"/>
      <c r="EZ96" s="864"/>
      <c r="FA96" s="864"/>
      <c r="FB96" s="864"/>
      <c r="FC96" s="864"/>
      <c r="FD96" s="864"/>
      <c r="FE96" s="980"/>
      <c r="FF96" s="864"/>
      <c r="FG96" s="864"/>
      <c r="FH96" s="864"/>
      <c r="FI96" s="864"/>
      <c r="FJ96" s="864"/>
      <c r="FK96" s="852"/>
      <c r="FL96" s="852"/>
      <c r="FM96" s="855"/>
      <c r="FN96" s="980"/>
      <c r="FO96" s="980"/>
      <c r="FP96" s="980"/>
      <c r="FQ96" s="980"/>
      <c r="FR96" s="864"/>
      <c r="FS96" s="864"/>
      <c r="FT96" s="864"/>
      <c r="FU96" s="864"/>
      <c r="FV96" s="864"/>
      <c r="FW96" s="864"/>
      <c r="FX96" s="864"/>
      <c r="FY96" s="864"/>
      <c r="FZ96" s="864"/>
      <c r="GA96" s="980"/>
      <c r="GB96" s="980"/>
      <c r="GC96" s="980">
        <v>0</v>
      </c>
      <c r="GD96" s="980"/>
      <c r="GE96" s="980"/>
      <c r="GF96" s="980"/>
      <c r="GG96" s="980" t="s">
        <v>465</v>
      </c>
      <c r="GH96" s="864"/>
      <c r="GI96" s="864"/>
      <c r="GJ96" s="864"/>
      <c r="GK96" s="864"/>
      <c r="GL96" s="864"/>
      <c r="GM96" s="864"/>
      <c r="GN96" s="864"/>
      <c r="GO96" s="1001"/>
      <c r="GP96" s="1002"/>
      <c r="GQ96" s="867"/>
      <c r="GR96" s="864"/>
      <c r="GS96" s="864"/>
      <c r="GT96" s="864"/>
      <c r="GU96" s="864"/>
      <c r="GV96" s="864"/>
      <c r="GW96" s="864"/>
      <c r="GX96" s="864"/>
      <c r="GY96" s="864"/>
      <c r="GZ96" s="864"/>
      <c r="HA96" s="864"/>
      <c r="HB96" s="864"/>
      <c r="HC96" s="864"/>
      <c r="HD96" s="864"/>
      <c r="HE96" s="980"/>
      <c r="HF96" s="980"/>
      <c r="HG96" s="864"/>
      <c r="HH96" s="999"/>
      <c r="HI96" s="980"/>
      <c r="HJ96" s="980"/>
      <c r="HK96" s="999"/>
      <c r="HL96" s="864"/>
      <c r="HM96" s="864"/>
      <c r="HN96" s="864"/>
      <c r="HO96" s="1004"/>
      <c r="HP96" s="980"/>
      <c r="HQ96" s="852"/>
      <c r="HR96" s="998"/>
      <c r="HS96" s="852"/>
      <c r="HT96" s="852"/>
      <c r="HU96" s="852"/>
      <c r="HV96" s="1000"/>
      <c r="HW96" s="852"/>
      <c r="HX96" s="980"/>
      <c r="HY96" s="980"/>
      <c r="HZ96" s="980"/>
      <c r="IA96" s="980"/>
      <c r="IB96" s="980"/>
      <c r="IC96" s="980"/>
      <c r="ID96" s="980"/>
      <c r="IE96" s="1000"/>
      <c r="IF96" s="852"/>
      <c r="IG96" s="998"/>
      <c r="IH96" s="980"/>
      <c r="II96" s="980"/>
      <c r="IJ96" s="998"/>
      <c r="IK96" s="852"/>
      <c r="IL96" s="980"/>
      <c r="IM96" s="980"/>
      <c r="IN96" s="980"/>
      <c r="IO96" s="864"/>
      <c r="IP96" s="864"/>
      <c r="IQ96" s="864"/>
      <c r="IR96" s="998" t="s">
        <v>504</v>
      </c>
      <c r="IS96" s="980"/>
      <c r="IT96" s="980"/>
      <c r="IU96" s="980"/>
      <c r="IV96" s="980" t="s">
        <v>465</v>
      </c>
      <c r="IW96" s="980"/>
      <c r="IX96" s="999"/>
      <c r="IY96" s="980"/>
      <c r="IZ96" s="980"/>
      <c r="JA96" s="980"/>
      <c r="JB96" s="980"/>
      <c r="JC96" s="980"/>
      <c r="JD96" s="980"/>
      <c r="JE96" s="980"/>
      <c r="JF96" s="858"/>
      <c r="JG96" s="980"/>
      <c r="JH96" s="980"/>
      <c r="JI96" s="980"/>
      <c r="JJ96" s="980"/>
      <c r="JK96" s="980"/>
      <c r="JL96" s="980"/>
      <c r="JM96" s="980"/>
      <c r="JN96" s="980"/>
      <c r="JO96" s="980"/>
      <c r="JP96" s="855"/>
      <c r="JQ96" s="999"/>
      <c r="JR96" s="980"/>
      <c r="JS96" s="980"/>
      <c r="JT96" s="980" t="s">
        <v>4208</v>
      </c>
      <c r="JU96" s="980"/>
      <c r="JV96" s="980"/>
      <c r="JW96" s="980"/>
      <c r="JX96" s="980"/>
      <c r="JY96" s="980"/>
      <c r="JZ96" s="980"/>
      <c r="KA96" s="980"/>
      <c r="KB96" s="980"/>
      <c r="KC96" s="980"/>
      <c r="KD96" s="980"/>
      <c r="KE96" s="998" t="s">
        <v>504</v>
      </c>
      <c r="KF96" s="862" t="s">
        <v>504</v>
      </c>
      <c r="KG96" s="862" t="s">
        <v>504</v>
      </c>
      <c r="KH96" s="862" t="s">
        <v>504</v>
      </c>
      <c r="KI96" s="862" t="s">
        <v>504</v>
      </c>
      <c r="KJ96" s="862" t="s">
        <v>504</v>
      </c>
      <c r="KK96" s="862" t="s">
        <v>504</v>
      </c>
      <c r="KL96" s="980" t="s">
        <v>504</v>
      </c>
      <c r="KM96" s="864"/>
      <c r="KN96" s="864"/>
      <c r="KO96" s="864"/>
      <c r="KP96" s="864"/>
      <c r="KQ96" s="864"/>
      <c r="KR96" s="980"/>
      <c r="KS96" s="864"/>
      <c r="KT96" s="980"/>
      <c r="KU96" s="864"/>
      <c r="KV96" s="980"/>
      <c r="KW96" s="980"/>
      <c r="KX96" s="980"/>
      <c r="KY96" s="858"/>
      <c r="KZ96" s="980"/>
      <c r="LA96" s="980"/>
      <c r="LB96" s="980"/>
      <c r="LC96" s="980"/>
      <c r="LD96" s="855"/>
      <c r="LE96" s="855"/>
      <c r="LF96" s="858"/>
      <c r="LG96" s="999"/>
      <c r="LH96" s="999"/>
      <c r="LI96" s="999"/>
      <c r="LJ96" s="999"/>
      <c r="LK96" s="999"/>
      <c r="LL96" s="999"/>
      <c r="LM96" s="999"/>
      <c r="LN96" s="999"/>
      <c r="LO96" s="999"/>
      <c r="LP96" s="999"/>
      <c r="LQ96" s="999"/>
      <c r="LR96" s="999"/>
      <c r="LS96" s="999"/>
      <c r="LT96" s="999"/>
      <c r="LU96" s="999"/>
      <c r="LV96" s="999"/>
      <c r="LW96" s="999"/>
      <c r="LX96" s="999"/>
      <c r="LY96" s="999"/>
    </row>
    <row r="97" spans="1:337" ht="16.5" thickBot="1" x14ac:dyDescent="0.3">
      <c r="A97" s="1584"/>
      <c r="B97" s="1587"/>
      <c r="C97" s="1609"/>
      <c r="D97" s="1610"/>
      <c r="E97" s="836" t="s">
        <v>174</v>
      </c>
      <c r="F97" s="853"/>
      <c r="G97" s="853"/>
      <c r="H97" s="864"/>
      <c r="I97" s="864"/>
      <c r="J97" s="864"/>
      <c r="K97" s="864"/>
      <c r="L97" s="864"/>
      <c r="M97" s="864"/>
      <c r="N97" s="852"/>
      <c r="O97" s="864"/>
      <c r="P97" s="864"/>
      <c r="Q97" s="864"/>
      <c r="R97" s="864"/>
      <c r="S97" s="864"/>
      <c r="T97" s="864"/>
      <c r="U97" s="864"/>
      <c r="V97" s="980"/>
      <c r="W97" s="980"/>
      <c r="X97" s="980"/>
      <c r="Y97" s="980" t="s">
        <v>465</v>
      </c>
      <c r="Z97" s="980">
        <v>49</v>
      </c>
      <c r="AA97" s="864"/>
      <c r="AB97" s="864"/>
      <c r="AC97" s="864"/>
      <c r="AD97" s="864"/>
      <c r="AE97" s="864"/>
      <c r="AF97" s="864"/>
      <c r="AG97" s="864"/>
      <c r="AH97" s="864"/>
      <c r="AI97" s="864"/>
      <c r="AJ97" s="864"/>
      <c r="AK97" s="864"/>
      <c r="AL97" s="864"/>
      <c r="AM97" s="864"/>
      <c r="AN97" s="864"/>
      <c r="AO97" s="864"/>
      <c r="AP97" s="864"/>
      <c r="AQ97" s="864"/>
      <c r="AR97" s="864"/>
      <c r="AS97" s="864"/>
      <c r="AT97" s="864"/>
      <c r="AU97" s="864"/>
      <c r="AV97" s="980"/>
      <c r="AW97" s="980"/>
      <c r="AX97" s="864"/>
      <c r="AY97" s="864"/>
      <c r="AZ97" s="864"/>
      <c r="BA97" s="852"/>
      <c r="BB97" s="980"/>
      <c r="BC97" s="980"/>
      <c r="BD97" s="980"/>
      <c r="BE97" s="864"/>
      <c r="BF97" s="864"/>
      <c r="BG97" s="864"/>
      <c r="BH97" s="864"/>
      <c r="BI97" s="864"/>
      <c r="BJ97" s="864"/>
      <c r="BK97" s="864"/>
      <c r="BL97" s="864"/>
      <c r="BM97" s="864"/>
      <c r="BN97" s="864"/>
      <c r="BO97" s="864"/>
      <c r="BP97" s="864"/>
      <c r="BQ97" s="864"/>
      <c r="BR97" s="864"/>
      <c r="BS97" s="864"/>
      <c r="BT97" s="980"/>
      <c r="BU97" s="980"/>
      <c r="BV97" s="980"/>
      <c r="BW97" s="980"/>
      <c r="BX97" s="864"/>
      <c r="BY97" s="864"/>
      <c r="BZ97" s="864"/>
      <c r="CA97" s="864"/>
      <c r="CB97" s="864"/>
      <c r="CC97" s="998"/>
      <c r="CD97" s="864"/>
      <c r="CE97" s="864"/>
      <c r="CF97" s="864"/>
      <c r="CG97" s="864"/>
      <c r="CH97" s="864"/>
      <c r="CI97" s="864"/>
      <c r="CJ97" s="864"/>
      <c r="CK97" s="980"/>
      <c r="CL97" s="980"/>
      <c r="CM97" s="864"/>
      <c r="CN97" s="864"/>
      <c r="CO97" s="864"/>
      <c r="CP97" s="864"/>
      <c r="CQ97" s="864"/>
      <c r="CR97" s="864"/>
      <c r="CS97" s="864"/>
      <c r="CT97" s="864"/>
      <c r="CU97" s="864"/>
      <c r="CV97" s="864"/>
      <c r="CW97" s="864"/>
      <c r="CX97" s="864"/>
      <c r="CY97" s="864"/>
      <c r="CZ97" s="864"/>
      <c r="DA97" s="864"/>
      <c r="DB97" s="864"/>
      <c r="DC97" s="864"/>
      <c r="DD97" s="864"/>
      <c r="DE97" s="864"/>
      <c r="DF97" s="980"/>
      <c r="DG97" s="864"/>
      <c r="DH97" s="980"/>
      <c r="DI97" s="980"/>
      <c r="DJ97" s="980"/>
      <c r="DK97" s="980"/>
      <c r="DL97" s="980"/>
      <c r="DM97" s="980"/>
      <c r="DN97" s="864"/>
      <c r="DO97" s="864"/>
      <c r="DP97" s="980"/>
      <c r="DQ97" s="864"/>
      <c r="DR97" s="864"/>
      <c r="DS97" s="864"/>
      <c r="DT97" s="864"/>
      <c r="DU97" s="864"/>
      <c r="DV97" s="864"/>
      <c r="DW97" s="864"/>
      <c r="DX97" s="864"/>
      <c r="DY97" s="864"/>
      <c r="DZ97" s="864"/>
      <c r="EA97" s="864"/>
      <c r="EB97" s="864"/>
      <c r="EC97" s="864"/>
      <c r="ED97" s="864"/>
      <c r="EE97" s="864"/>
      <c r="EF97" s="980"/>
      <c r="EG97" s="980"/>
      <c r="EH97" s="980"/>
      <c r="EI97" s="855"/>
      <c r="EJ97" s="999"/>
      <c r="EK97" s="999"/>
      <c r="EL97" s="999"/>
      <c r="EM97" s="853"/>
      <c r="EN97" s="999"/>
      <c r="EO97" s="999"/>
      <c r="EP97" s="999"/>
      <c r="EQ97" s="999"/>
      <c r="ER97" s="999"/>
      <c r="ES97" s="999"/>
      <c r="ET97" s="999"/>
      <c r="EU97" s="864"/>
      <c r="EV97" s="864"/>
      <c r="EW97" s="980"/>
      <c r="EX97" s="864"/>
      <c r="EY97" s="864"/>
      <c r="EZ97" s="864"/>
      <c r="FA97" s="864"/>
      <c r="FB97" s="864"/>
      <c r="FC97" s="864"/>
      <c r="FD97" s="864"/>
      <c r="FE97" s="980"/>
      <c r="FF97" s="864"/>
      <c r="FG97" s="864"/>
      <c r="FH97" s="864"/>
      <c r="FI97" s="864"/>
      <c r="FJ97" s="864"/>
      <c r="FK97" s="1000"/>
      <c r="FL97" s="1000"/>
      <c r="FM97" s="980"/>
      <c r="FN97" s="980"/>
      <c r="FO97" s="980"/>
      <c r="FP97" s="980"/>
      <c r="FQ97" s="980"/>
      <c r="FR97" s="864"/>
      <c r="FS97" s="864"/>
      <c r="FT97" s="864"/>
      <c r="FU97" s="864"/>
      <c r="FV97" s="864"/>
      <c r="FW97" s="864"/>
      <c r="FX97" s="864"/>
      <c r="FY97" s="864"/>
      <c r="FZ97" s="864"/>
      <c r="GA97" s="980"/>
      <c r="GB97" s="980"/>
      <c r="GC97" s="980">
        <v>0</v>
      </c>
      <c r="GD97" s="980"/>
      <c r="GE97" s="980"/>
      <c r="GF97" s="980"/>
      <c r="GG97" s="980" t="s">
        <v>465</v>
      </c>
      <c r="GH97" s="864"/>
      <c r="GI97" s="864"/>
      <c r="GJ97" s="864"/>
      <c r="GK97" s="864"/>
      <c r="GL97" s="864"/>
      <c r="GM97" s="864"/>
      <c r="GN97" s="864"/>
      <c r="GO97" s="1001"/>
      <c r="GP97" s="1002"/>
      <c r="GQ97" s="867"/>
      <c r="GR97" s="864"/>
      <c r="GS97" s="864"/>
      <c r="GT97" s="864"/>
      <c r="GU97" s="864"/>
      <c r="GV97" s="864"/>
      <c r="GW97" s="864"/>
      <c r="GX97" s="864"/>
      <c r="GY97" s="864"/>
      <c r="GZ97" s="864"/>
      <c r="HA97" s="864"/>
      <c r="HB97" s="864"/>
      <c r="HC97" s="864"/>
      <c r="HD97" s="864"/>
      <c r="HE97" s="980"/>
      <c r="HF97" s="980"/>
      <c r="HG97" s="864"/>
      <c r="HH97" s="999"/>
      <c r="HI97" s="980"/>
      <c r="HJ97" s="980"/>
      <c r="HK97" s="999"/>
      <c r="HL97" s="864"/>
      <c r="HM97" s="864"/>
      <c r="HN97" s="864"/>
      <c r="HO97" s="1004"/>
      <c r="HP97" s="980"/>
      <c r="HQ97" s="1000"/>
      <c r="HR97" s="998"/>
      <c r="HS97" s="1000"/>
      <c r="HT97" s="1000"/>
      <c r="HU97" s="1000"/>
      <c r="HV97" s="852"/>
      <c r="HW97" s="1000"/>
      <c r="HX97" s="980"/>
      <c r="HY97" s="980"/>
      <c r="HZ97" s="980"/>
      <c r="IA97" s="980"/>
      <c r="IB97" s="980"/>
      <c r="IC97" s="980"/>
      <c r="ID97" s="980"/>
      <c r="IE97" s="852"/>
      <c r="IF97" s="1000"/>
      <c r="IG97" s="998"/>
      <c r="IH97" s="980"/>
      <c r="II97" s="980"/>
      <c r="IJ97" s="998"/>
      <c r="IK97" s="1000"/>
      <c r="IL97" s="980"/>
      <c r="IM97" s="980"/>
      <c r="IN97" s="980"/>
      <c r="IO97" s="864"/>
      <c r="IP97" s="864"/>
      <c r="IQ97" s="864"/>
      <c r="IR97" s="998">
        <v>0</v>
      </c>
      <c r="IS97" s="980"/>
      <c r="IT97" s="980"/>
      <c r="IU97" s="980"/>
      <c r="IV97" s="980" t="s">
        <v>465</v>
      </c>
      <c r="IW97" s="980"/>
      <c r="IX97" s="999"/>
      <c r="IY97" s="980"/>
      <c r="IZ97" s="980"/>
      <c r="JA97" s="980">
        <v>0</v>
      </c>
      <c r="JB97" s="980"/>
      <c r="JC97" s="980"/>
      <c r="JD97" s="980"/>
      <c r="JE97" s="980"/>
      <c r="JF97" s="999"/>
      <c r="JG97" s="980"/>
      <c r="JH97" s="980"/>
      <c r="JI97" s="980"/>
      <c r="JJ97" s="980"/>
      <c r="JK97" s="980"/>
      <c r="JL97" s="980"/>
      <c r="JM97" s="980"/>
      <c r="JN97" s="980"/>
      <c r="JO97" s="980"/>
      <c r="JP97" s="855"/>
      <c r="JQ97" s="999"/>
      <c r="JR97" s="980"/>
      <c r="JS97" s="980"/>
      <c r="JT97" s="980">
        <v>105</v>
      </c>
      <c r="JU97" s="980"/>
      <c r="JV97" s="980"/>
      <c r="JW97" s="980"/>
      <c r="JX97" s="980"/>
      <c r="JY97" s="980"/>
      <c r="JZ97" s="980"/>
      <c r="KA97" s="980"/>
      <c r="KB97" s="980"/>
      <c r="KC97" s="980"/>
      <c r="KD97" s="980"/>
      <c r="KE97" s="998"/>
      <c r="KF97" s="998">
        <v>0</v>
      </c>
      <c r="KG97" s="998"/>
      <c r="KH97" s="998"/>
      <c r="KI97" s="998"/>
      <c r="KJ97" s="998"/>
      <c r="KK97" s="998"/>
      <c r="KL97" s="980"/>
      <c r="KM97" s="864"/>
      <c r="KN97" s="864"/>
      <c r="KO97" s="864"/>
      <c r="KP97" s="864"/>
      <c r="KQ97" s="864"/>
      <c r="KR97" s="980"/>
      <c r="KS97" s="864"/>
      <c r="KT97" s="980"/>
      <c r="KU97" s="864"/>
      <c r="KV97" s="980"/>
      <c r="KW97" s="980"/>
      <c r="KX97" s="980"/>
      <c r="KY97" s="858"/>
      <c r="KZ97" s="980"/>
      <c r="LA97" s="980"/>
      <c r="LB97" s="980"/>
      <c r="LC97" s="980"/>
      <c r="LD97" s="980"/>
      <c r="LE97" s="980"/>
      <c r="LF97" s="999"/>
      <c r="LG97" s="999"/>
      <c r="LH97" s="999"/>
      <c r="LI97" s="999"/>
      <c r="LJ97" s="999"/>
      <c r="LK97" s="999"/>
      <c r="LL97" s="999"/>
      <c r="LM97" s="999"/>
      <c r="LN97" s="999"/>
      <c r="LO97" s="999"/>
      <c r="LP97" s="999"/>
      <c r="LQ97" s="999"/>
      <c r="LR97" s="999"/>
      <c r="LS97" s="999"/>
      <c r="LT97" s="999"/>
      <c r="LU97" s="999"/>
      <c r="LV97" s="999"/>
      <c r="LW97" s="999"/>
      <c r="LX97" s="999"/>
      <c r="LY97" s="999"/>
    </row>
    <row r="98" spans="1:337" ht="15.75" customHeight="1" x14ac:dyDescent="0.25">
      <c r="A98" s="1584"/>
      <c r="B98" s="1587"/>
      <c r="C98" s="1600" t="s">
        <v>63</v>
      </c>
      <c r="D98" s="1598" t="s">
        <v>5372</v>
      </c>
      <c r="E98" s="846" t="s">
        <v>171</v>
      </c>
      <c r="F98" s="1058"/>
      <c r="G98" s="1058"/>
      <c r="H98" s="864"/>
      <c r="I98" s="864"/>
      <c r="J98" s="864"/>
      <c r="K98" s="864"/>
      <c r="L98" s="864"/>
      <c r="M98" s="864"/>
      <c r="N98" s="852" t="s">
        <v>504</v>
      </c>
      <c r="O98" s="864"/>
      <c r="P98" s="864"/>
      <c r="Q98" s="864"/>
      <c r="R98" s="864"/>
      <c r="S98" s="864"/>
      <c r="T98" s="864"/>
      <c r="U98" s="864"/>
      <c r="V98" s="855" t="s">
        <v>479</v>
      </c>
      <c r="W98" s="855" t="s">
        <v>479</v>
      </c>
      <c r="X98" s="855" t="s">
        <v>479</v>
      </c>
      <c r="Y98" s="855" t="s">
        <v>479</v>
      </c>
      <c r="Z98" s="855" t="s">
        <v>504</v>
      </c>
      <c r="AA98" s="864"/>
      <c r="AB98" s="864"/>
      <c r="AC98" s="864"/>
      <c r="AD98" s="864"/>
      <c r="AE98" s="864"/>
      <c r="AF98" s="864"/>
      <c r="AG98" s="864"/>
      <c r="AH98" s="864"/>
      <c r="AI98" s="864"/>
      <c r="AJ98" s="864"/>
      <c r="AK98" s="864"/>
      <c r="AL98" s="864"/>
      <c r="AM98" s="864"/>
      <c r="AN98" s="864"/>
      <c r="AO98" s="864"/>
      <c r="AP98" s="864"/>
      <c r="AQ98" s="864"/>
      <c r="AR98" s="864"/>
      <c r="AS98" s="864"/>
      <c r="AT98" s="864"/>
      <c r="AU98" s="864"/>
      <c r="AV98" s="855" t="s">
        <v>504</v>
      </c>
      <c r="AW98" s="855" t="s">
        <v>504</v>
      </c>
      <c r="AX98" s="864"/>
      <c r="AY98" s="864"/>
      <c r="AZ98" s="864"/>
      <c r="BA98" s="852" t="s">
        <v>504</v>
      </c>
      <c r="BB98" s="980" t="s">
        <v>504</v>
      </c>
      <c r="BC98" s="855" t="s">
        <v>504</v>
      </c>
      <c r="BD98" s="980"/>
      <c r="BE98" s="864"/>
      <c r="BF98" s="864"/>
      <c r="BG98" s="864"/>
      <c r="BH98" s="864"/>
      <c r="BI98" s="864"/>
      <c r="BJ98" s="864"/>
      <c r="BK98" s="864"/>
      <c r="BL98" s="864"/>
      <c r="BM98" s="864"/>
      <c r="BN98" s="864"/>
      <c r="BO98" s="864"/>
      <c r="BP98" s="864"/>
      <c r="BQ98" s="864"/>
      <c r="BR98" s="864"/>
      <c r="BS98" s="864"/>
      <c r="BT98" s="855" t="s">
        <v>504</v>
      </c>
      <c r="BU98" s="855"/>
      <c r="BV98" s="855" t="s">
        <v>504</v>
      </c>
      <c r="BW98" s="855" t="s">
        <v>504</v>
      </c>
      <c r="BX98" s="864"/>
      <c r="BY98" s="864"/>
      <c r="BZ98" s="864"/>
      <c r="CA98" s="864"/>
      <c r="CB98" s="864"/>
      <c r="CC98" s="862"/>
      <c r="CD98" s="864"/>
      <c r="CE98" s="864"/>
      <c r="CF98" s="864"/>
      <c r="CG98" s="864"/>
      <c r="CH98" s="864"/>
      <c r="CI98" s="864"/>
      <c r="CJ98" s="864"/>
      <c r="CK98" s="855"/>
      <c r="CL98" s="855"/>
      <c r="CM98" s="864"/>
      <c r="CN98" s="864"/>
      <c r="CO98" s="864"/>
      <c r="CP98" s="864"/>
      <c r="CQ98" s="864"/>
      <c r="CR98" s="864"/>
      <c r="CS98" s="864"/>
      <c r="CT98" s="864"/>
      <c r="CU98" s="864"/>
      <c r="CV98" s="864"/>
      <c r="CW98" s="864"/>
      <c r="CX98" s="864"/>
      <c r="CY98" s="864"/>
      <c r="CZ98" s="864"/>
      <c r="DA98" s="864"/>
      <c r="DB98" s="864"/>
      <c r="DC98" s="864"/>
      <c r="DD98" s="864"/>
      <c r="DE98" s="864"/>
      <c r="DF98" s="855"/>
      <c r="DG98" s="864"/>
      <c r="DH98" s="855" t="s">
        <v>504</v>
      </c>
      <c r="DI98" s="855"/>
      <c r="DJ98" s="855"/>
      <c r="DK98" s="855"/>
      <c r="DL98" s="855" t="s">
        <v>504</v>
      </c>
      <c r="DM98" s="855" t="s">
        <v>504</v>
      </c>
      <c r="DN98" s="864"/>
      <c r="DO98" s="864"/>
      <c r="DP98" s="855" t="s">
        <v>504</v>
      </c>
      <c r="DQ98" s="864"/>
      <c r="DR98" s="864"/>
      <c r="DS98" s="864"/>
      <c r="DT98" s="864"/>
      <c r="DU98" s="864"/>
      <c r="DV98" s="864"/>
      <c r="DW98" s="864"/>
      <c r="DX98" s="864"/>
      <c r="DY98" s="864"/>
      <c r="DZ98" s="864"/>
      <c r="EA98" s="864"/>
      <c r="EB98" s="864"/>
      <c r="EC98" s="864"/>
      <c r="ED98" s="864"/>
      <c r="EE98" s="864"/>
      <c r="EF98" s="855" t="s">
        <v>504</v>
      </c>
      <c r="EG98" s="855" t="s">
        <v>504</v>
      </c>
      <c r="EH98" s="855" t="s">
        <v>504</v>
      </c>
      <c r="EI98" s="855" t="s">
        <v>504</v>
      </c>
      <c r="EJ98" s="858" t="s">
        <v>504</v>
      </c>
      <c r="EK98" s="858" t="s">
        <v>504</v>
      </c>
      <c r="EL98" s="999" t="s">
        <v>504</v>
      </c>
      <c r="EM98" s="999" t="s">
        <v>504</v>
      </c>
      <c r="EN98" s="858" t="s">
        <v>504</v>
      </c>
      <c r="EO98" s="858" t="s">
        <v>504</v>
      </c>
      <c r="EP98" s="858" t="s">
        <v>504</v>
      </c>
      <c r="EQ98" s="858" t="s">
        <v>504</v>
      </c>
      <c r="ER98" s="858"/>
      <c r="ES98" s="858"/>
      <c r="ET98" s="858" t="s">
        <v>504</v>
      </c>
      <c r="EU98" s="864"/>
      <c r="EV98" s="864"/>
      <c r="EW98" s="855" t="s">
        <v>504</v>
      </c>
      <c r="EX98" s="864"/>
      <c r="EY98" s="864"/>
      <c r="EZ98" s="864"/>
      <c r="FA98" s="864"/>
      <c r="FB98" s="864"/>
      <c r="FC98" s="864"/>
      <c r="FD98" s="864"/>
      <c r="FE98" s="855" t="s">
        <v>504</v>
      </c>
      <c r="FF98" s="864"/>
      <c r="FG98" s="864"/>
      <c r="FH98" s="864"/>
      <c r="FI98" s="864"/>
      <c r="FJ98" s="864"/>
      <c r="FK98" s="852" t="s">
        <v>504</v>
      </c>
      <c r="FL98" s="852" t="s">
        <v>504</v>
      </c>
      <c r="FM98" s="855" t="s">
        <v>504</v>
      </c>
      <c r="FN98" s="855"/>
      <c r="FO98" s="855"/>
      <c r="FP98" s="980" t="s">
        <v>504</v>
      </c>
      <c r="FQ98" s="855" t="s">
        <v>504</v>
      </c>
      <c r="FR98" s="864"/>
      <c r="FS98" s="864"/>
      <c r="FT98" s="864"/>
      <c r="FU98" s="864"/>
      <c r="FV98" s="864"/>
      <c r="FW98" s="864"/>
      <c r="FX98" s="864"/>
      <c r="FY98" s="864"/>
      <c r="FZ98" s="864"/>
      <c r="GA98" s="855" t="s">
        <v>504</v>
      </c>
      <c r="GB98" s="855" t="s">
        <v>504</v>
      </c>
      <c r="GC98" s="855" t="s">
        <v>504</v>
      </c>
      <c r="GD98" s="855" t="s">
        <v>504</v>
      </c>
      <c r="GE98" s="855" t="s">
        <v>504</v>
      </c>
      <c r="GF98" s="855"/>
      <c r="GG98" s="855" t="s">
        <v>504</v>
      </c>
      <c r="GH98" s="864"/>
      <c r="GI98" s="864"/>
      <c r="GJ98" s="864"/>
      <c r="GK98" s="864"/>
      <c r="GL98" s="864"/>
      <c r="GM98" s="864"/>
      <c r="GN98" s="864"/>
      <c r="GO98" s="859" t="s">
        <v>504</v>
      </c>
      <c r="GP98" s="866" t="s">
        <v>504</v>
      </c>
      <c r="GQ98" s="860" t="s">
        <v>504</v>
      </c>
      <c r="GR98" s="864"/>
      <c r="GS98" s="864"/>
      <c r="GT98" s="864"/>
      <c r="GU98" s="864"/>
      <c r="GV98" s="864"/>
      <c r="GW98" s="864"/>
      <c r="GX98" s="864"/>
      <c r="GY98" s="864"/>
      <c r="GZ98" s="864"/>
      <c r="HA98" s="864"/>
      <c r="HB98" s="864"/>
      <c r="HC98" s="864"/>
      <c r="HD98" s="864"/>
      <c r="HE98" s="855" t="s">
        <v>504</v>
      </c>
      <c r="HF98" s="855" t="s">
        <v>504</v>
      </c>
      <c r="HG98" s="864"/>
      <c r="HH98" s="858" t="s">
        <v>504</v>
      </c>
      <c r="HI98" s="855" t="s">
        <v>504</v>
      </c>
      <c r="HJ98" s="855" t="s">
        <v>504</v>
      </c>
      <c r="HK98" s="858" t="s">
        <v>504</v>
      </c>
      <c r="HL98" s="864"/>
      <c r="HM98" s="864"/>
      <c r="HN98" s="864"/>
      <c r="HO98" s="861" t="s">
        <v>504</v>
      </c>
      <c r="HP98" s="855" t="s">
        <v>504</v>
      </c>
      <c r="HQ98" s="852" t="s">
        <v>504</v>
      </c>
      <c r="HR98" s="862" t="s">
        <v>504</v>
      </c>
      <c r="HS98" s="852" t="s">
        <v>504</v>
      </c>
      <c r="HT98" s="852" t="s">
        <v>504</v>
      </c>
      <c r="HU98" s="852" t="s">
        <v>504</v>
      </c>
      <c r="HV98" s="852" t="s">
        <v>504</v>
      </c>
      <c r="HW98" s="852" t="s">
        <v>504</v>
      </c>
      <c r="HX98" s="855" t="s">
        <v>504</v>
      </c>
      <c r="HY98" s="855" t="s">
        <v>504</v>
      </c>
      <c r="HZ98" s="855" t="s">
        <v>504</v>
      </c>
      <c r="IA98" s="855" t="s">
        <v>504</v>
      </c>
      <c r="IB98" s="855" t="s">
        <v>504</v>
      </c>
      <c r="IC98" s="855" t="s">
        <v>504</v>
      </c>
      <c r="ID98" s="855" t="s">
        <v>504</v>
      </c>
      <c r="IE98" s="852" t="s">
        <v>504</v>
      </c>
      <c r="IF98" s="852" t="s">
        <v>504</v>
      </c>
      <c r="IG98" s="862" t="s">
        <v>504</v>
      </c>
      <c r="IH98" s="855" t="s">
        <v>504</v>
      </c>
      <c r="II98" s="855" t="s">
        <v>504</v>
      </c>
      <c r="IJ98" s="862" t="s">
        <v>504</v>
      </c>
      <c r="IK98" s="852" t="s">
        <v>504</v>
      </c>
      <c r="IL98" s="855" t="s">
        <v>504</v>
      </c>
      <c r="IM98" s="855" t="s">
        <v>504</v>
      </c>
      <c r="IN98" s="855" t="s">
        <v>504</v>
      </c>
      <c r="IO98" s="864"/>
      <c r="IP98" s="864"/>
      <c r="IQ98" s="864"/>
      <c r="IR98" s="862" t="s">
        <v>504</v>
      </c>
      <c r="IS98" s="855" t="s">
        <v>504</v>
      </c>
      <c r="IT98" s="855" t="s">
        <v>500</v>
      </c>
      <c r="IU98" s="855" t="s">
        <v>504</v>
      </c>
      <c r="IV98" s="855" t="s">
        <v>504</v>
      </c>
      <c r="IW98" s="855" t="s">
        <v>504</v>
      </c>
      <c r="IX98" s="858" t="s">
        <v>504</v>
      </c>
      <c r="IY98" s="855" t="s">
        <v>504</v>
      </c>
      <c r="IZ98" s="855" t="s">
        <v>504</v>
      </c>
      <c r="JA98" s="855" t="s">
        <v>504</v>
      </c>
      <c r="JB98" s="855"/>
      <c r="JC98" s="855" t="s">
        <v>504</v>
      </c>
      <c r="JD98" s="855" t="s">
        <v>504</v>
      </c>
      <c r="JE98" s="855" t="s">
        <v>500</v>
      </c>
      <c r="JF98" s="858" t="s">
        <v>504</v>
      </c>
      <c r="JG98" s="855" t="s">
        <v>504</v>
      </c>
      <c r="JH98" s="855"/>
      <c r="JI98" s="855" t="s">
        <v>479</v>
      </c>
      <c r="JJ98" s="855" t="s">
        <v>504</v>
      </c>
      <c r="JK98" s="855" t="s">
        <v>504</v>
      </c>
      <c r="JL98" s="855" t="s">
        <v>504</v>
      </c>
      <c r="JM98" s="855" t="s">
        <v>504</v>
      </c>
      <c r="JN98" s="855" t="s">
        <v>504</v>
      </c>
      <c r="JO98" s="855" t="s">
        <v>504</v>
      </c>
      <c r="JP98" s="980" t="s">
        <v>504</v>
      </c>
      <c r="JQ98" s="858" t="s">
        <v>504</v>
      </c>
      <c r="JR98" s="855" t="s">
        <v>504</v>
      </c>
      <c r="JS98" s="855" t="s">
        <v>504</v>
      </c>
      <c r="JT98" s="855" t="s">
        <v>504</v>
      </c>
      <c r="JU98" s="855" t="s">
        <v>504</v>
      </c>
      <c r="JV98" s="855" t="s">
        <v>504</v>
      </c>
      <c r="JW98" s="855" t="s">
        <v>504</v>
      </c>
      <c r="JX98" s="855"/>
      <c r="JY98" s="855" t="s">
        <v>504</v>
      </c>
      <c r="JZ98" s="855" t="s">
        <v>504</v>
      </c>
      <c r="KA98" s="855" t="s">
        <v>504</v>
      </c>
      <c r="KB98" s="855" t="s">
        <v>504</v>
      </c>
      <c r="KC98" s="855" t="s">
        <v>504</v>
      </c>
      <c r="KD98" s="855" t="s">
        <v>504</v>
      </c>
      <c r="KE98" s="862" t="s">
        <v>504</v>
      </c>
      <c r="KF98" s="862" t="s">
        <v>504</v>
      </c>
      <c r="KG98" s="862" t="s">
        <v>504</v>
      </c>
      <c r="KH98" s="862" t="s">
        <v>504</v>
      </c>
      <c r="KI98" s="862" t="s">
        <v>504</v>
      </c>
      <c r="KJ98" s="862" t="s">
        <v>504</v>
      </c>
      <c r="KK98" s="862" t="s">
        <v>504</v>
      </c>
      <c r="KL98" s="855" t="s">
        <v>504</v>
      </c>
      <c r="KM98" s="864"/>
      <c r="KN98" s="864"/>
      <c r="KO98" s="864"/>
      <c r="KP98" s="864"/>
      <c r="KQ98" s="864"/>
      <c r="KR98" s="855" t="s">
        <v>504</v>
      </c>
      <c r="KS98" s="864"/>
      <c r="KT98" s="855" t="s">
        <v>500</v>
      </c>
      <c r="KU98" s="864"/>
      <c r="KV98" s="855" t="s">
        <v>504</v>
      </c>
      <c r="KW98" s="855" t="s">
        <v>500</v>
      </c>
      <c r="KX98" s="855" t="s">
        <v>504</v>
      </c>
      <c r="KY98" s="858" t="s">
        <v>504</v>
      </c>
      <c r="KZ98" s="855" t="s">
        <v>4506</v>
      </c>
      <c r="LA98" s="855" t="s">
        <v>500</v>
      </c>
      <c r="LB98" s="855" t="s">
        <v>504</v>
      </c>
      <c r="LC98" s="855" t="s">
        <v>504</v>
      </c>
      <c r="LD98" s="855" t="s">
        <v>504</v>
      </c>
      <c r="LE98" s="855" t="s">
        <v>504</v>
      </c>
      <c r="LF98" s="858" t="s">
        <v>504</v>
      </c>
      <c r="LG98" s="858" t="s">
        <v>504</v>
      </c>
      <c r="LH98" s="858" t="s">
        <v>504</v>
      </c>
      <c r="LI98" s="858" t="s">
        <v>504</v>
      </c>
      <c r="LJ98" s="858" t="s">
        <v>504</v>
      </c>
      <c r="LK98" s="858" t="s">
        <v>504</v>
      </c>
      <c r="LL98" s="858" t="s">
        <v>504</v>
      </c>
      <c r="LM98" s="858" t="s">
        <v>504</v>
      </c>
      <c r="LN98" s="858" t="s">
        <v>504</v>
      </c>
      <c r="LO98" s="858" t="s">
        <v>504</v>
      </c>
      <c r="LP98" s="858" t="s">
        <v>500</v>
      </c>
      <c r="LQ98" s="858"/>
      <c r="LR98" s="858" t="s">
        <v>500</v>
      </c>
      <c r="LS98" s="858" t="s">
        <v>504</v>
      </c>
      <c r="LT98" s="858" t="s">
        <v>504</v>
      </c>
      <c r="LU98" s="858" t="s">
        <v>504</v>
      </c>
      <c r="LV98" s="858" t="s">
        <v>504</v>
      </c>
      <c r="LW98" s="858" t="s">
        <v>504</v>
      </c>
      <c r="LX98" s="858" t="s">
        <v>504</v>
      </c>
      <c r="LY98" s="858" t="s">
        <v>504</v>
      </c>
    </row>
    <row r="99" spans="1:337" ht="126" x14ac:dyDescent="0.25">
      <c r="A99" s="1584"/>
      <c r="B99" s="1587"/>
      <c r="C99" s="1600"/>
      <c r="D99" s="1598"/>
      <c r="E99" s="847" t="s">
        <v>172</v>
      </c>
      <c r="F99" s="1058"/>
      <c r="G99" s="1058"/>
      <c r="H99" s="864"/>
      <c r="I99" s="864"/>
      <c r="J99" s="864"/>
      <c r="K99" s="864"/>
      <c r="L99" s="864"/>
      <c r="M99" s="864"/>
      <c r="N99" s="852"/>
      <c r="O99" s="864"/>
      <c r="P99" s="864"/>
      <c r="Q99" s="864"/>
      <c r="R99" s="864"/>
      <c r="S99" s="864"/>
      <c r="T99" s="864"/>
      <c r="U99" s="864"/>
      <c r="V99" s="855"/>
      <c r="W99" s="855"/>
      <c r="X99" s="855"/>
      <c r="Y99" s="855"/>
      <c r="Z99" s="855"/>
      <c r="AA99" s="864"/>
      <c r="AB99" s="864"/>
      <c r="AC99" s="864"/>
      <c r="AD99" s="864"/>
      <c r="AE99" s="864"/>
      <c r="AF99" s="864"/>
      <c r="AG99" s="864"/>
      <c r="AH99" s="864"/>
      <c r="AI99" s="864"/>
      <c r="AJ99" s="864"/>
      <c r="AK99" s="864"/>
      <c r="AL99" s="864"/>
      <c r="AM99" s="864"/>
      <c r="AN99" s="864"/>
      <c r="AO99" s="864"/>
      <c r="AP99" s="864"/>
      <c r="AQ99" s="864"/>
      <c r="AR99" s="864"/>
      <c r="AS99" s="864"/>
      <c r="AT99" s="864"/>
      <c r="AU99" s="864"/>
      <c r="AV99" s="855"/>
      <c r="AW99" s="855"/>
      <c r="AX99" s="864"/>
      <c r="AY99" s="864"/>
      <c r="AZ99" s="864"/>
      <c r="BA99" s="852"/>
      <c r="BB99" s="855"/>
      <c r="BC99" s="855"/>
      <c r="BD99" s="855"/>
      <c r="BE99" s="864"/>
      <c r="BF99" s="864"/>
      <c r="BG99" s="864"/>
      <c r="BH99" s="864"/>
      <c r="BI99" s="864"/>
      <c r="BJ99" s="864"/>
      <c r="BK99" s="864"/>
      <c r="BL99" s="864"/>
      <c r="BM99" s="864"/>
      <c r="BN99" s="864"/>
      <c r="BO99" s="864"/>
      <c r="BP99" s="864"/>
      <c r="BQ99" s="864"/>
      <c r="BR99" s="864"/>
      <c r="BS99" s="864"/>
      <c r="BT99" s="855"/>
      <c r="BU99" s="855"/>
      <c r="BV99" s="855"/>
      <c r="BW99" s="855"/>
      <c r="BX99" s="864"/>
      <c r="BY99" s="864"/>
      <c r="BZ99" s="864"/>
      <c r="CA99" s="864"/>
      <c r="CB99" s="864"/>
      <c r="CC99" s="862"/>
      <c r="CD99" s="864"/>
      <c r="CE99" s="864"/>
      <c r="CF99" s="864"/>
      <c r="CG99" s="864"/>
      <c r="CH99" s="864"/>
      <c r="CI99" s="864"/>
      <c r="CJ99" s="864"/>
      <c r="CK99" s="855"/>
      <c r="CL99" s="855"/>
      <c r="CM99" s="864"/>
      <c r="CN99" s="864"/>
      <c r="CO99" s="864"/>
      <c r="CP99" s="864"/>
      <c r="CQ99" s="864"/>
      <c r="CR99" s="864"/>
      <c r="CS99" s="864"/>
      <c r="CT99" s="864"/>
      <c r="CU99" s="864"/>
      <c r="CV99" s="864"/>
      <c r="CW99" s="864"/>
      <c r="CX99" s="864"/>
      <c r="CY99" s="864"/>
      <c r="CZ99" s="864"/>
      <c r="DA99" s="864"/>
      <c r="DB99" s="864"/>
      <c r="DC99" s="864"/>
      <c r="DD99" s="864"/>
      <c r="DE99" s="864"/>
      <c r="DF99" s="855"/>
      <c r="DG99" s="864"/>
      <c r="DH99" s="855"/>
      <c r="DI99" s="855"/>
      <c r="DJ99" s="855"/>
      <c r="DK99" s="855"/>
      <c r="DL99" s="855"/>
      <c r="DM99" s="855"/>
      <c r="DN99" s="864"/>
      <c r="DO99" s="864"/>
      <c r="DP99" s="855"/>
      <c r="DQ99" s="864"/>
      <c r="DR99" s="864"/>
      <c r="DS99" s="864"/>
      <c r="DT99" s="864"/>
      <c r="DU99" s="864"/>
      <c r="DV99" s="864"/>
      <c r="DW99" s="864"/>
      <c r="DX99" s="864"/>
      <c r="DY99" s="864"/>
      <c r="DZ99" s="864"/>
      <c r="EA99" s="864"/>
      <c r="EB99" s="864"/>
      <c r="EC99" s="864"/>
      <c r="ED99" s="864"/>
      <c r="EE99" s="864"/>
      <c r="EF99" s="855"/>
      <c r="EG99" s="855"/>
      <c r="EH99" s="855"/>
      <c r="EI99" s="855"/>
      <c r="EJ99" s="858"/>
      <c r="EK99" s="858"/>
      <c r="EL99" s="999"/>
      <c r="EM99" s="853"/>
      <c r="EN99" s="858"/>
      <c r="EO99" s="858"/>
      <c r="EP99" s="858"/>
      <c r="EQ99" s="858"/>
      <c r="ER99" s="858"/>
      <c r="ES99" s="858"/>
      <c r="ET99" s="858"/>
      <c r="EU99" s="864"/>
      <c r="EV99" s="864"/>
      <c r="EW99" s="855"/>
      <c r="EX99" s="864"/>
      <c r="EY99" s="864"/>
      <c r="EZ99" s="864"/>
      <c r="FA99" s="864"/>
      <c r="FB99" s="864"/>
      <c r="FC99" s="864"/>
      <c r="FD99" s="864"/>
      <c r="FE99" s="855"/>
      <c r="FF99" s="864"/>
      <c r="FG99" s="864"/>
      <c r="FH99" s="864"/>
      <c r="FI99" s="864"/>
      <c r="FJ99" s="864"/>
      <c r="FK99" s="852"/>
      <c r="FL99" s="852"/>
      <c r="FM99" s="855"/>
      <c r="FN99" s="855"/>
      <c r="FO99" s="855"/>
      <c r="FP99" s="980"/>
      <c r="FQ99" s="855"/>
      <c r="FR99" s="864"/>
      <c r="FS99" s="864"/>
      <c r="FT99" s="864"/>
      <c r="FU99" s="864"/>
      <c r="FV99" s="864"/>
      <c r="FW99" s="864"/>
      <c r="FX99" s="864"/>
      <c r="FY99" s="864"/>
      <c r="FZ99" s="864"/>
      <c r="GA99" s="855"/>
      <c r="GB99" s="855"/>
      <c r="GC99" s="855"/>
      <c r="GD99" s="855"/>
      <c r="GE99" s="855"/>
      <c r="GF99" s="855"/>
      <c r="GG99" s="855"/>
      <c r="GH99" s="864"/>
      <c r="GI99" s="864"/>
      <c r="GJ99" s="864"/>
      <c r="GK99" s="864"/>
      <c r="GL99" s="864"/>
      <c r="GM99" s="864"/>
      <c r="GN99" s="864"/>
      <c r="GO99" s="859"/>
      <c r="GP99" s="866"/>
      <c r="GQ99" s="867"/>
      <c r="GR99" s="864"/>
      <c r="GS99" s="864"/>
      <c r="GT99" s="864"/>
      <c r="GU99" s="864"/>
      <c r="GV99" s="864"/>
      <c r="GW99" s="864"/>
      <c r="GX99" s="864"/>
      <c r="GY99" s="864"/>
      <c r="GZ99" s="864"/>
      <c r="HA99" s="864"/>
      <c r="HB99" s="864"/>
      <c r="HC99" s="864"/>
      <c r="HD99" s="864"/>
      <c r="HE99" s="855"/>
      <c r="HF99" s="852"/>
      <c r="HG99" s="864"/>
      <c r="HH99" s="858"/>
      <c r="HI99" s="855"/>
      <c r="HJ99" s="855"/>
      <c r="HK99" s="858"/>
      <c r="HL99" s="864"/>
      <c r="HM99" s="864"/>
      <c r="HN99" s="864"/>
      <c r="HO99" s="861"/>
      <c r="HP99" s="855"/>
      <c r="HQ99" s="852"/>
      <c r="HR99" s="862"/>
      <c r="HS99" s="852"/>
      <c r="HT99" s="852"/>
      <c r="HU99" s="852"/>
      <c r="HV99" s="1000"/>
      <c r="HW99" s="852"/>
      <c r="HX99" s="855"/>
      <c r="HY99" s="855"/>
      <c r="HZ99" s="855"/>
      <c r="IA99" s="855"/>
      <c r="IB99" s="855"/>
      <c r="IC99" s="855"/>
      <c r="ID99" s="855"/>
      <c r="IE99" s="1000"/>
      <c r="IF99" s="852"/>
      <c r="IG99" s="862"/>
      <c r="IH99" s="855"/>
      <c r="II99" s="855"/>
      <c r="IJ99" s="862"/>
      <c r="IK99" s="852"/>
      <c r="IL99" s="855"/>
      <c r="IM99" s="855"/>
      <c r="IN99" s="855"/>
      <c r="IO99" s="864"/>
      <c r="IP99" s="864"/>
      <c r="IQ99" s="864"/>
      <c r="IR99" s="862" t="s">
        <v>504</v>
      </c>
      <c r="IS99" s="855"/>
      <c r="IT99" s="855" t="s">
        <v>3851</v>
      </c>
      <c r="IU99" s="855"/>
      <c r="IV99" s="855" t="s">
        <v>465</v>
      </c>
      <c r="IW99" s="855"/>
      <c r="IX99" s="858"/>
      <c r="IY99" s="855"/>
      <c r="IZ99" s="855"/>
      <c r="JA99" s="855"/>
      <c r="JB99" s="855"/>
      <c r="JC99" s="855"/>
      <c r="JD99" s="855"/>
      <c r="JE99" s="855"/>
      <c r="JF99" s="858"/>
      <c r="JG99" s="855"/>
      <c r="JH99" s="855"/>
      <c r="JI99" s="855"/>
      <c r="JJ99" s="855"/>
      <c r="JK99" s="855"/>
      <c r="JL99" s="855"/>
      <c r="JM99" s="855"/>
      <c r="JN99" s="855"/>
      <c r="JO99" s="855"/>
      <c r="JP99" s="855"/>
      <c r="JQ99" s="858"/>
      <c r="JR99" s="855"/>
      <c r="JS99" s="855"/>
      <c r="JT99" s="855"/>
      <c r="JU99" s="855"/>
      <c r="JV99" s="855"/>
      <c r="JW99" s="855"/>
      <c r="JX99" s="855"/>
      <c r="JY99" s="855"/>
      <c r="JZ99" s="855"/>
      <c r="KA99" s="855"/>
      <c r="KB99" s="855"/>
      <c r="KC99" s="855"/>
      <c r="KD99" s="855"/>
      <c r="KE99" s="862" t="s">
        <v>504</v>
      </c>
      <c r="KF99" s="862" t="s">
        <v>504</v>
      </c>
      <c r="KG99" s="862" t="s">
        <v>504</v>
      </c>
      <c r="KH99" s="862" t="s">
        <v>504</v>
      </c>
      <c r="KI99" s="862" t="s">
        <v>504</v>
      </c>
      <c r="KJ99" s="862" t="s">
        <v>504</v>
      </c>
      <c r="KK99" s="862" t="s">
        <v>504</v>
      </c>
      <c r="KL99" s="855" t="s">
        <v>504</v>
      </c>
      <c r="KM99" s="864"/>
      <c r="KN99" s="864"/>
      <c r="KO99" s="864"/>
      <c r="KP99" s="864"/>
      <c r="KQ99" s="864"/>
      <c r="KR99" s="855"/>
      <c r="KS99" s="864"/>
      <c r="KT99" s="855" t="s">
        <v>4400</v>
      </c>
      <c r="KU99" s="864"/>
      <c r="KV99" s="855"/>
      <c r="KW99" s="855" t="s">
        <v>4444</v>
      </c>
      <c r="KX99" s="855"/>
      <c r="KY99" s="858"/>
      <c r="KZ99" s="855"/>
      <c r="LA99" s="855"/>
      <c r="LB99" s="855"/>
      <c r="LC99" s="855"/>
      <c r="LD99" s="855"/>
      <c r="LE99" s="855"/>
      <c r="LF99" s="858"/>
      <c r="LG99" s="858"/>
      <c r="LH99" s="858"/>
      <c r="LI99" s="858"/>
      <c r="LJ99" s="858"/>
      <c r="LK99" s="858"/>
      <c r="LL99" s="858"/>
      <c r="LM99" s="858"/>
      <c r="LN99" s="858"/>
      <c r="LO99" s="858"/>
      <c r="LP99" s="858" t="s">
        <v>4701</v>
      </c>
      <c r="LQ99" s="858"/>
      <c r="LR99" s="858"/>
      <c r="LS99" s="858"/>
      <c r="LT99" s="858"/>
      <c r="LU99" s="858"/>
      <c r="LV99" s="858"/>
      <c r="LW99" s="858"/>
      <c r="LX99" s="858"/>
      <c r="LY99" s="858"/>
    </row>
    <row r="100" spans="1:337" ht="16.5" thickBot="1" x14ac:dyDescent="0.3">
      <c r="A100" s="1584"/>
      <c r="B100" s="1587"/>
      <c r="C100" s="1603"/>
      <c r="D100" s="1599"/>
      <c r="E100" s="850" t="s">
        <v>174</v>
      </c>
      <c r="F100" s="1058"/>
      <c r="G100" s="1058"/>
      <c r="H100" s="864"/>
      <c r="I100" s="864"/>
      <c r="J100" s="864"/>
      <c r="K100" s="864"/>
      <c r="L100" s="864"/>
      <c r="M100" s="864"/>
      <c r="N100" s="852"/>
      <c r="O100" s="864"/>
      <c r="P100" s="864"/>
      <c r="Q100" s="864"/>
      <c r="R100" s="864"/>
      <c r="S100" s="864"/>
      <c r="T100" s="864"/>
      <c r="U100" s="864"/>
      <c r="V100" s="980"/>
      <c r="W100" s="980"/>
      <c r="X100" s="980"/>
      <c r="Y100" s="980"/>
      <c r="Z100" s="980"/>
      <c r="AA100" s="864"/>
      <c r="AB100" s="864"/>
      <c r="AC100" s="864"/>
      <c r="AD100" s="864"/>
      <c r="AE100" s="864"/>
      <c r="AF100" s="864"/>
      <c r="AG100" s="864"/>
      <c r="AH100" s="864"/>
      <c r="AI100" s="864"/>
      <c r="AJ100" s="864"/>
      <c r="AK100" s="864"/>
      <c r="AL100" s="864"/>
      <c r="AM100" s="864"/>
      <c r="AN100" s="864"/>
      <c r="AO100" s="864"/>
      <c r="AP100" s="864"/>
      <c r="AQ100" s="864"/>
      <c r="AR100" s="864"/>
      <c r="AS100" s="864"/>
      <c r="AT100" s="864"/>
      <c r="AU100" s="864"/>
      <c r="AV100" s="980"/>
      <c r="AW100" s="980"/>
      <c r="AX100" s="864"/>
      <c r="AY100" s="864"/>
      <c r="AZ100" s="864"/>
      <c r="BA100" s="852"/>
      <c r="BB100" s="855"/>
      <c r="BC100" s="980"/>
      <c r="BD100" s="855"/>
      <c r="BE100" s="864"/>
      <c r="BF100" s="864"/>
      <c r="BG100" s="864"/>
      <c r="BH100" s="864"/>
      <c r="BI100" s="864"/>
      <c r="BJ100" s="864"/>
      <c r="BK100" s="864"/>
      <c r="BL100" s="864"/>
      <c r="BM100" s="864"/>
      <c r="BN100" s="864"/>
      <c r="BO100" s="864"/>
      <c r="BP100" s="864"/>
      <c r="BQ100" s="864"/>
      <c r="BR100" s="864"/>
      <c r="BS100" s="864"/>
      <c r="BT100" s="980"/>
      <c r="BU100" s="980"/>
      <c r="BV100" s="980"/>
      <c r="BW100" s="980"/>
      <c r="BX100" s="864"/>
      <c r="BY100" s="864"/>
      <c r="BZ100" s="864"/>
      <c r="CA100" s="864"/>
      <c r="CB100" s="864"/>
      <c r="CC100" s="998"/>
      <c r="CD100" s="864"/>
      <c r="CE100" s="864"/>
      <c r="CF100" s="864"/>
      <c r="CG100" s="864"/>
      <c r="CH100" s="864"/>
      <c r="CI100" s="864"/>
      <c r="CJ100" s="864"/>
      <c r="CK100" s="980"/>
      <c r="CL100" s="980"/>
      <c r="CM100" s="864"/>
      <c r="CN100" s="864"/>
      <c r="CO100" s="864"/>
      <c r="CP100" s="864"/>
      <c r="CQ100" s="864"/>
      <c r="CR100" s="864"/>
      <c r="CS100" s="864"/>
      <c r="CT100" s="864"/>
      <c r="CU100" s="864"/>
      <c r="CV100" s="864"/>
      <c r="CW100" s="864"/>
      <c r="CX100" s="864"/>
      <c r="CY100" s="864"/>
      <c r="CZ100" s="864"/>
      <c r="DA100" s="864"/>
      <c r="DB100" s="864"/>
      <c r="DC100" s="864"/>
      <c r="DD100" s="864"/>
      <c r="DE100" s="864"/>
      <c r="DF100" s="980"/>
      <c r="DG100" s="864"/>
      <c r="DH100" s="980"/>
      <c r="DI100" s="980"/>
      <c r="DJ100" s="980"/>
      <c r="DK100" s="980"/>
      <c r="DL100" s="980"/>
      <c r="DM100" s="980"/>
      <c r="DN100" s="864"/>
      <c r="DO100" s="864"/>
      <c r="DP100" s="980"/>
      <c r="DQ100" s="864"/>
      <c r="DR100" s="864"/>
      <c r="DS100" s="864"/>
      <c r="DT100" s="864"/>
      <c r="DU100" s="864"/>
      <c r="DV100" s="864"/>
      <c r="DW100" s="864"/>
      <c r="DX100" s="864"/>
      <c r="DY100" s="864"/>
      <c r="DZ100" s="864"/>
      <c r="EA100" s="864"/>
      <c r="EB100" s="864"/>
      <c r="EC100" s="864"/>
      <c r="ED100" s="864"/>
      <c r="EE100" s="864"/>
      <c r="EF100" s="980"/>
      <c r="EG100" s="980"/>
      <c r="EH100" s="980"/>
      <c r="EI100" s="855"/>
      <c r="EJ100" s="999"/>
      <c r="EK100" s="999"/>
      <c r="EL100" s="999"/>
      <c r="EM100" s="853"/>
      <c r="EN100" s="999"/>
      <c r="EO100" s="999"/>
      <c r="EP100" s="999"/>
      <c r="EQ100" s="999"/>
      <c r="ER100" s="999"/>
      <c r="ES100" s="999"/>
      <c r="ET100" s="999"/>
      <c r="EU100" s="864"/>
      <c r="EV100" s="864"/>
      <c r="EW100" s="980"/>
      <c r="EX100" s="864"/>
      <c r="EY100" s="864"/>
      <c r="EZ100" s="864"/>
      <c r="FA100" s="864"/>
      <c r="FB100" s="864"/>
      <c r="FC100" s="864"/>
      <c r="FD100" s="864"/>
      <c r="FE100" s="980"/>
      <c r="FF100" s="864"/>
      <c r="FG100" s="864"/>
      <c r="FH100" s="864"/>
      <c r="FI100" s="864"/>
      <c r="FJ100" s="864"/>
      <c r="FK100" s="1000"/>
      <c r="FL100" s="1000"/>
      <c r="FM100" s="980"/>
      <c r="FN100" s="980"/>
      <c r="FO100" s="980"/>
      <c r="FP100" s="980"/>
      <c r="FQ100" s="980"/>
      <c r="FR100" s="864"/>
      <c r="FS100" s="864"/>
      <c r="FT100" s="864"/>
      <c r="FU100" s="864"/>
      <c r="FV100" s="864"/>
      <c r="FW100" s="864"/>
      <c r="FX100" s="864"/>
      <c r="FY100" s="864"/>
      <c r="FZ100" s="864"/>
      <c r="GA100" s="980"/>
      <c r="GB100" s="980"/>
      <c r="GC100" s="980"/>
      <c r="GD100" s="980"/>
      <c r="GE100" s="980"/>
      <c r="GF100" s="980"/>
      <c r="GG100" s="980"/>
      <c r="GH100" s="864"/>
      <c r="GI100" s="864"/>
      <c r="GJ100" s="864"/>
      <c r="GK100" s="864"/>
      <c r="GL100" s="864"/>
      <c r="GM100" s="864"/>
      <c r="GN100" s="864"/>
      <c r="GO100" s="1001"/>
      <c r="GP100" s="1002"/>
      <c r="GQ100" s="867"/>
      <c r="GR100" s="864"/>
      <c r="GS100" s="864"/>
      <c r="GT100" s="864"/>
      <c r="GU100" s="864"/>
      <c r="GV100" s="864"/>
      <c r="GW100" s="864"/>
      <c r="GX100" s="864"/>
      <c r="GY100" s="864"/>
      <c r="GZ100" s="864"/>
      <c r="HA100" s="864"/>
      <c r="HB100" s="864"/>
      <c r="HC100" s="864"/>
      <c r="HD100" s="864"/>
      <c r="HE100" s="980"/>
      <c r="HF100" s="980"/>
      <c r="HG100" s="864"/>
      <c r="HH100" s="999"/>
      <c r="HI100" s="980"/>
      <c r="HJ100" s="980"/>
      <c r="HK100" s="999"/>
      <c r="HL100" s="864"/>
      <c r="HM100" s="864"/>
      <c r="HN100" s="864"/>
      <c r="HO100" s="1004"/>
      <c r="HP100" s="980"/>
      <c r="HQ100" s="1000"/>
      <c r="HR100" s="998"/>
      <c r="HS100" s="1000"/>
      <c r="HT100" s="1000"/>
      <c r="HU100" s="1000"/>
      <c r="HV100" s="852"/>
      <c r="HW100" s="1000"/>
      <c r="HX100" s="980"/>
      <c r="HY100" s="980"/>
      <c r="HZ100" s="980"/>
      <c r="IA100" s="980"/>
      <c r="IB100" s="980"/>
      <c r="IC100" s="980"/>
      <c r="ID100" s="980"/>
      <c r="IE100" s="852"/>
      <c r="IF100" s="1000"/>
      <c r="IG100" s="998"/>
      <c r="IH100" s="980"/>
      <c r="II100" s="980"/>
      <c r="IJ100" s="998"/>
      <c r="IK100" s="1000"/>
      <c r="IL100" s="980"/>
      <c r="IM100" s="980"/>
      <c r="IN100" s="980"/>
      <c r="IO100" s="864"/>
      <c r="IP100" s="864"/>
      <c r="IQ100" s="864"/>
      <c r="IR100" s="998">
        <v>0</v>
      </c>
      <c r="IS100" s="980"/>
      <c r="IT100" s="980">
        <v>1680</v>
      </c>
      <c r="IU100" s="980"/>
      <c r="IV100" s="980" t="s">
        <v>465</v>
      </c>
      <c r="IW100" s="980"/>
      <c r="IX100" s="999"/>
      <c r="IY100" s="980"/>
      <c r="IZ100" s="980"/>
      <c r="JA100" s="980"/>
      <c r="JB100" s="980"/>
      <c r="JC100" s="980"/>
      <c r="JD100" s="980"/>
      <c r="JE100" s="980">
        <v>0</v>
      </c>
      <c r="JF100" s="999"/>
      <c r="JG100" s="980"/>
      <c r="JH100" s="980"/>
      <c r="JI100" s="980"/>
      <c r="JJ100" s="980"/>
      <c r="JK100" s="980"/>
      <c r="JL100" s="980"/>
      <c r="JM100" s="980"/>
      <c r="JN100" s="980"/>
      <c r="JO100" s="980"/>
      <c r="JP100" s="855"/>
      <c r="JQ100" s="999"/>
      <c r="JR100" s="980"/>
      <c r="JS100" s="980"/>
      <c r="JT100" s="980"/>
      <c r="JU100" s="980"/>
      <c r="JV100" s="980"/>
      <c r="JW100" s="980"/>
      <c r="JX100" s="980"/>
      <c r="JY100" s="980"/>
      <c r="JZ100" s="980"/>
      <c r="KA100" s="980"/>
      <c r="KB100" s="980"/>
      <c r="KC100" s="980"/>
      <c r="KD100" s="980"/>
      <c r="KE100" s="998"/>
      <c r="KF100" s="998">
        <v>0</v>
      </c>
      <c r="KG100" s="998"/>
      <c r="KH100" s="998"/>
      <c r="KI100" s="998"/>
      <c r="KJ100" s="998"/>
      <c r="KK100" s="998"/>
      <c r="KL100" s="980"/>
      <c r="KM100" s="864"/>
      <c r="KN100" s="864"/>
      <c r="KO100" s="864"/>
      <c r="KP100" s="864"/>
      <c r="KQ100" s="864"/>
      <c r="KR100" s="980"/>
      <c r="KS100" s="864"/>
      <c r="KT100" s="980">
        <v>1007</v>
      </c>
      <c r="KU100" s="864"/>
      <c r="KV100" s="980"/>
      <c r="KW100" s="980">
        <v>140</v>
      </c>
      <c r="KX100" s="980"/>
      <c r="KY100" s="858"/>
      <c r="KZ100" s="980"/>
      <c r="LA100" s="980">
        <v>2</v>
      </c>
      <c r="LB100" s="980"/>
      <c r="LC100" s="980"/>
      <c r="LD100" s="980"/>
      <c r="LE100" s="980"/>
      <c r="LF100" s="999"/>
      <c r="LG100" s="999"/>
      <c r="LH100" s="999"/>
      <c r="LI100" s="999"/>
      <c r="LJ100" s="999"/>
      <c r="LK100" s="999"/>
      <c r="LL100" s="999"/>
      <c r="LM100" s="999"/>
      <c r="LN100" s="999"/>
      <c r="LO100" s="999"/>
      <c r="LP100" s="999">
        <v>1093</v>
      </c>
      <c r="LQ100" s="999"/>
      <c r="LR100" s="999">
        <v>1675</v>
      </c>
      <c r="LS100" s="999"/>
      <c r="LT100" s="999"/>
      <c r="LU100" s="999"/>
      <c r="LV100" s="999"/>
      <c r="LW100" s="999"/>
      <c r="LX100" s="999"/>
      <c r="LY100" s="999"/>
    </row>
    <row r="101" spans="1:337" ht="31.5" x14ac:dyDescent="0.25">
      <c r="A101" s="1584"/>
      <c r="B101" s="1587"/>
      <c r="C101" s="1594" t="s">
        <v>64</v>
      </c>
      <c r="D101" s="1597" t="s">
        <v>179</v>
      </c>
      <c r="E101" s="849" t="s">
        <v>171</v>
      </c>
      <c r="F101" s="1058"/>
      <c r="G101" s="1058"/>
      <c r="H101" s="864"/>
      <c r="I101" s="864"/>
      <c r="J101" s="864"/>
      <c r="K101" s="864"/>
      <c r="L101" s="864"/>
      <c r="M101" s="864"/>
      <c r="N101" s="852" t="s">
        <v>500</v>
      </c>
      <c r="O101" s="864"/>
      <c r="P101" s="864"/>
      <c r="Q101" s="864"/>
      <c r="R101" s="864"/>
      <c r="S101" s="864"/>
      <c r="T101" s="864"/>
      <c r="U101" s="864"/>
      <c r="V101" s="855" t="s">
        <v>479</v>
      </c>
      <c r="W101" s="855" t="s">
        <v>479</v>
      </c>
      <c r="X101" s="855" t="s">
        <v>479</v>
      </c>
      <c r="Y101" s="855" t="s">
        <v>479</v>
      </c>
      <c r="Z101" s="855" t="s">
        <v>504</v>
      </c>
      <c r="AA101" s="864"/>
      <c r="AB101" s="864"/>
      <c r="AC101" s="864"/>
      <c r="AD101" s="864"/>
      <c r="AE101" s="864"/>
      <c r="AF101" s="864"/>
      <c r="AG101" s="864"/>
      <c r="AH101" s="864"/>
      <c r="AI101" s="864"/>
      <c r="AJ101" s="864"/>
      <c r="AK101" s="864"/>
      <c r="AL101" s="864"/>
      <c r="AM101" s="864"/>
      <c r="AN101" s="864"/>
      <c r="AO101" s="864"/>
      <c r="AP101" s="864"/>
      <c r="AQ101" s="864"/>
      <c r="AR101" s="864"/>
      <c r="AS101" s="864"/>
      <c r="AT101" s="864"/>
      <c r="AU101" s="864"/>
      <c r="AV101" s="855" t="s">
        <v>504</v>
      </c>
      <c r="AW101" s="855" t="s">
        <v>504</v>
      </c>
      <c r="AX101" s="864"/>
      <c r="AY101" s="864"/>
      <c r="AZ101" s="864"/>
      <c r="BA101" s="852" t="s">
        <v>504</v>
      </c>
      <c r="BB101" s="980" t="s">
        <v>504</v>
      </c>
      <c r="BC101" s="855" t="s">
        <v>504</v>
      </c>
      <c r="BD101" s="980"/>
      <c r="BE101" s="864"/>
      <c r="BF101" s="864"/>
      <c r="BG101" s="864"/>
      <c r="BH101" s="864"/>
      <c r="BI101" s="864"/>
      <c r="BJ101" s="864"/>
      <c r="BK101" s="864"/>
      <c r="BL101" s="864"/>
      <c r="BM101" s="864"/>
      <c r="BN101" s="864"/>
      <c r="BO101" s="864"/>
      <c r="BP101" s="864"/>
      <c r="BQ101" s="864"/>
      <c r="BR101" s="864"/>
      <c r="BS101" s="864"/>
      <c r="BT101" s="855" t="s">
        <v>504</v>
      </c>
      <c r="BU101" s="855"/>
      <c r="BV101" s="855" t="s">
        <v>504</v>
      </c>
      <c r="BW101" s="855" t="s">
        <v>504</v>
      </c>
      <c r="BX101" s="864"/>
      <c r="BY101" s="864"/>
      <c r="BZ101" s="864"/>
      <c r="CA101" s="864"/>
      <c r="CB101" s="864"/>
      <c r="CC101" s="862"/>
      <c r="CD101" s="864"/>
      <c r="CE101" s="864"/>
      <c r="CF101" s="864"/>
      <c r="CG101" s="864"/>
      <c r="CH101" s="864"/>
      <c r="CI101" s="864"/>
      <c r="CJ101" s="864"/>
      <c r="CK101" s="855"/>
      <c r="CL101" s="855"/>
      <c r="CM101" s="864"/>
      <c r="CN101" s="864"/>
      <c r="CO101" s="864"/>
      <c r="CP101" s="864"/>
      <c r="CQ101" s="864"/>
      <c r="CR101" s="864"/>
      <c r="CS101" s="864"/>
      <c r="CT101" s="864"/>
      <c r="CU101" s="864"/>
      <c r="CV101" s="864"/>
      <c r="CW101" s="864"/>
      <c r="CX101" s="864"/>
      <c r="CY101" s="864"/>
      <c r="CZ101" s="864"/>
      <c r="DA101" s="864"/>
      <c r="DB101" s="864"/>
      <c r="DC101" s="864"/>
      <c r="DD101" s="864"/>
      <c r="DE101" s="864"/>
      <c r="DF101" s="855"/>
      <c r="DG101" s="864"/>
      <c r="DH101" s="855" t="s">
        <v>504</v>
      </c>
      <c r="DI101" s="855"/>
      <c r="DJ101" s="855"/>
      <c r="DK101" s="855"/>
      <c r="DL101" s="855" t="s">
        <v>504</v>
      </c>
      <c r="DM101" s="855" t="s">
        <v>504</v>
      </c>
      <c r="DN101" s="864"/>
      <c r="DO101" s="864"/>
      <c r="DP101" s="855" t="s">
        <v>504</v>
      </c>
      <c r="DQ101" s="864"/>
      <c r="DR101" s="864"/>
      <c r="DS101" s="864"/>
      <c r="DT101" s="864"/>
      <c r="DU101" s="864"/>
      <c r="DV101" s="864"/>
      <c r="DW101" s="864"/>
      <c r="DX101" s="864"/>
      <c r="DY101" s="864"/>
      <c r="DZ101" s="864"/>
      <c r="EA101" s="864"/>
      <c r="EB101" s="864"/>
      <c r="EC101" s="864"/>
      <c r="ED101" s="864"/>
      <c r="EE101" s="864"/>
      <c r="EF101" s="855" t="s">
        <v>504</v>
      </c>
      <c r="EG101" s="855" t="s">
        <v>504</v>
      </c>
      <c r="EH101" s="855" t="s">
        <v>500</v>
      </c>
      <c r="EI101" s="855" t="s">
        <v>504</v>
      </c>
      <c r="EJ101" s="858" t="s">
        <v>500</v>
      </c>
      <c r="EK101" s="858" t="s">
        <v>500</v>
      </c>
      <c r="EL101" s="999" t="s">
        <v>504</v>
      </c>
      <c r="EM101" s="999" t="s">
        <v>504</v>
      </c>
      <c r="EN101" s="858" t="s">
        <v>504</v>
      </c>
      <c r="EO101" s="858" t="s">
        <v>504</v>
      </c>
      <c r="EP101" s="858" t="s">
        <v>504</v>
      </c>
      <c r="EQ101" s="858" t="s">
        <v>504</v>
      </c>
      <c r="ER101" s="858"/>
      <c r="ES101" s="858"/>
      <c r="ET101" s="858" t="s">
        <v>504</v>
      </c>
      <c r="EU101" s="864"/>
      <c r="EV101" s="864"/>
      <c r="EW101" s="855" t="s">
        <v>504</v>
      </c>
      <c r="EX101" s="864"/>
      <c r="EY101" s="864"/>
      <c r="EZ101" s="864"/>
      <c r="FA101" s="864"/>
      <c r="FB101" s="864"/>
      <c r="FC101" s="864"/>
      <c r="FD101" s="864"/>
      <c r="FE101" s="855" t="s">
        <v>479</v>
      </c>
      <c r="FF101" s="864"/>
      <c r="FG101" s="864"/>
      <c r="FH101" s="864"/>
      <c r="FI101" s="864"/>
      <c r="FJ101" s="864"/>
      <c r="FK101" s="852" t="s">
        <v>504</v>
      </c>
      <c r="FL101" s="852" t="s">
        <v>500</v>
      </c>
      <c r="FM101" s="855" t="s">
        <v>504</v>
      </c>
      <c r="FN101" s="855"/>
      <c r="FO101" s="855"/>
      <c r="FP101" s="980" t="s">
        <v>504</v>
      </c>
      <c r="FQ101" s="855" t="s">
        <v>504</v>
      </c>
      <c r="FR101" s="864"/>
      <c r="FS101" s="864"/>
      <c r="FT101" s="864"/>
      <c r="FU101" s="864"/>
      <c r="FV101" s="864"/>
      <c r="FW101" s="864"/>
      <c r="FX101" s="864"/>
      <c r="FY101" s="864"/>
      <c r="FZ101" s="864"/>
      <c r="GA101" s="855" t="s">
        <v>504</v>
      </c>
      <c r="GB101" s="855" t="s">
        <v>504</v>
      </c>
      <c r="GC101" s="855" t="s">
        <v>3366</v>
      </c>
      <c r="GD101" s="855" t="s">
        <v>504</v>
      </c>
      <c r="GE101" s="855" t="s">
        <v>504</v>
      </c>
      <c r="GF101" s="855"/>
      <c r="GG101" s="855" t="s">
        <v>504</v>
      </c>
      <c r="GH101" s="864"/>
      <c r="GI101" s="864"/>
      <c r="GJ101" s="864"/>
      <c r="GK101" s="864"/>
      <c r="GL101" s="864"/>
      <c r="GM101" s="864"/>
      <c r="GN101" s="864"/>
      <c r="GO101" s="859" t="s">
        <v>504</v>
      </c>
      <c r="GP101" s="866" t="s">
        <v>504</v>
      </c>
      <c r="GQ101" s="860" t="s">
        <v>504</v>
      </c>
      <c r="GR101" s="864"/>
      <c r="GS101" s="864"/>
      <c r="GT101" s="864"/>
      <c r="GU101" s="864"/>
      <c r="GV101" s="864"/>
      <c r="GW101" s="864"/>
      <c r="GX101" s="864"/>
      <c r="GY101" s="864"/>
      <c r="GZ101" s="864"/>
      <c r="HA101" s="864"/>
      <c r="HB101" s="864"/>
      <c r="HC101" s="864"/>
      <c r="HD101" s="864"/>
      <c r="HE101" s="855" t="s">
        <v>500</v>
      </c>
      <c r="HF101" s="855" t="s">
        <v>504</v>
      </c>
      <c r="HG101" s="864"/>
      <c r="HH101" s="858" t="s">
        <v>504</v>
      </c>
      <c r="HI101" s="855" t="s">
        <v>504</v>
      </c>
      <c r="HJ101" s="855" t="s">
        <v>504</v>
      </c>
      <c r="HK101" s="858" t="s">
        <v>504</v>
      </c>
      <c r="HL101" s="864"/>
      <c r="HM101" s="864"/>
      <c r="HN101" s="864"/>
      <c r="HO101" s="861" t="s">
        <v>504</v>
      </c>
      <c r="HP101" s="855" t="s">
        <v>504</v>
      </c>
      <c r="HQ101" s="852" t="s">
        <v>504</v>
      </c>
      <c r="HR101" s="862" t="s">
        <v>500</v>
      </c>
      <c r="HS101" s="852" t="s">
        <v>504</v>
      </c>
      <c r="HT101" s="852" t="s">
        <v>504</v>
      </c>
      <c r="HU101" s="852" t="s">
        <v>504</v>
      </c>
      <c r="HV101" s="852" t="s">
        <v>504</v>
      </c>
      <c r="HW101" s="852" t="s">
        <v>504</v>
      </c>
      <c r="HX101" s="855" t="s">
        <v>504</v>
      </c>
      <c r="HY101" s="855" t="s">
        <v>504</v>
      </c>
      <c r="HZ101" s="855" t="s">
        <v>504</v>
      </c>
      <c r="IA101" s="855" t="s">
        <v>504</v>
      </c>
      <c r="IB101" s="855" t="s">
        <v>504</v>
      </c>
      <c r="IC101" s="855" t="s">
        <v>504</v>
      </c>
      <c r="ID101" s="855" t="s">
        <v>504</v>
      </c>
      <c r="IE101" s="852" t="s">
        <v>504</v>
      </c>
      <c r="IF101" s="852" t="s">
        <v>504</v>
      </c>
      <c r="IG101" s="862" t="s">
        <v>504</v>
      </c>
      <c r="IH101" s="855" t="s">
        <v>504</v>
      </c>
      <c r="II101" s="855" t="s">
        <v>504</v>
      </c>
      <c r="IJ101" s="862" t="s">
        <v>504</v>
      </c>
      <c r="IK101" s="852" t="s">
        <v>504</v>
      </c>
      <c r="IL101" s="855" t="s">
        <v>504</v>
      </c>
      <c r="IM101" s="855" t="s">
        <v>504</v>
      </c>
      <c r="IN101" s="855" t="s">
        <v>504</v>
      </c>
      <c r="IO101" s="864"/>
      <c r="IP101" s="864"/>
      <c r="IQ101" s="864"/>
      <c r="IR101" s="862" t="s">
        <v>500</v>
      </c>
      <c r="IS101" s="855" t="s">
        <v>504</v>
      </c>
      <c r="IT101" s="855" t="s">
        <v>500</v>
      </c>
      <c r="IU101" s="855" t="s">
        <v>504</v>
      </c>
      <c r="IV101" s="855" t="s">
        <v>500</v>
      </c>
      <c r="IW101" s="855" t="s">
        <v>504</v>
      </c>
      <c r="IX101" s="858" t="s">
        <v>504</v>
      </c>
      <c r="IY101" s="855" t="s">
        <v>504</v>
      </c>
      <c r="IZ101" s="855" t="s">
        <v>504</v>
      </c>
      <c r="JA101" s="855" t="s">
        <v>504</v>
      </c>
      <c r="JB101" s="855"/>
      <c r="JC101" s="855" t="s">
        <v>504</v>
      </c>
      <c r="JD101" s="855" t="s">
        <v>504</v>
      </c>
      <c r="JE101" s="855" t="s">
        <v>500</v>
      </c>
      <c r="JF101" s="858" t="s">
        <v>504</v>
      </c>
      <c r="JG101" s="855" t="s">
        <v>504</v>
      </c>
      <c r="JH101" s="855"/>
      <c r="JI101" s="855" t="s">
        <v>479</v>
      </c>
      <c r="JJ101" s="855" t="s">
        <v>504</v>
      </c>
      <c r="JK101" s="855" t="s">
        <v>504</v>
      </c>
      <c r="JL101" s="855" t="s">
        <v>500</v>
      </c>
      <c r="JM101" s="855" t="s">
        <v>504</v>
      </c>
      <c r="JN101" s="855" t="s">
        <v>504</v>
      </c>
      <c r="JO101" s="855" t="s">
        <v>504</v>
      </c>
      <c r="JP101" s="980" t="s">
        <v>504</v>
      </c>
      <c r="JQ101" s="858" t="s">
        <v>504</v>
      </c>
      <c r="JR101" s="855" t="s">
        <v>504</v>
      </c>
      <c r="JS101" s="855" t="s">
        <v>504</v>
      </c>
      <c r="JT101" s="855" t="s">
        <v>504</v>
      </c>
      <c r="JU101" s="855" t="s">
        <v>504</v>
      </c>
      <c r="JV101" s="855" t="s">
        <v>504</v>
      </c>
      <c r="JW101" s="855" t="s">
        <v>500</v>
      </c>
      <c r="JX101" s="855"/>
      <c r="JY101" s="855" t="s">
        <v>504</v>
      </c>
      <c r="JZ101" s="855" t="s">
        <v>504</v>
      </c>
      <c r="KA101" s="855" t="s">
        <v>504</v>
      </c>
      <c r="KB101" s="855" t="s">
        <v>504</v>
      </c>
      <c r="KC101" s="855" t="s">
        <v>504</v>
      </c>
      <c r="KD101" s="855" t="s">
        <v>504</v>
      </c>
      <c r="KE101" s="862" t="s">
        <v>504</v>
      </c>
      <c r="KF101" s="862" t="s">
        <v>504</v>
      </c>
      <c r="KG101" s="862" t="s">
        <v>504</v>
      </c>
      <c r="KH101" s="862" t="s">
        <v>504</v>
      </c>
      <c r="KI101" s="862" t="s">
        <v>504</v>
      </c>
      <c r="KJ101" s="862" t="s">
        <v>504</v>
      </c>
      <c r="KK101" s="862" t="s">
        <v>504</v>
      </c>
      <c r="KL101" s="855" t="s">
        <v>500</v>
      </c>
      <c r="KM101" s="864"/>
      <c r="KN101" s="864"/>
      <c r="KO101" s="864"/>
      <c r="KP101" s="864"/>
      <c r="KQ101" s="864"/>
      <c r="KR101" s="855" t="s">
        <v>504</v>
      </c>
      <c r="KS101" s="864"/>
      <c r="KT101" s="855" t="s">
        <v>504</v>
      </c>
      <c r="KU101" s="864"/>
      <c r="KV101" s="855" t="s">
        <v>504</v>
      </c>
      <c r="KW101" s="855" t="s">
        <v>500</v>
      </c>
      <c r="KX101" s="855" t="s">
        <v>504</v>
      </c>
      <c r="KY101" s="858" t="s">
        <v>504</v>
      </c>
      <c r="KZ101" s="855" t="s">
        <v>500</v>
      </c>
      <c r="LA101" s="855"/>
      <c r="LB101" s="855" t="s">
        <v>500</v>
      </c>
      <c r="LC101" s="855" t="s">
        <v>500</v>
      </c>
      <c r="LD101" s="855" t="s">
        <v>504</v>
      </c>
      <c r="LE101" s="855" t="s">
        <v>504</v>
      </c>
      <c r="LF101" s="858" t="s">
        <v>500</v>
      </c>
      <c r="LG101" s="858" t="s">
        <v>504</v>
      </c>
      <c r="LH101" s="858" t="s">
        <v>504</v>
      </c>
      <c r="LI101" s="858" t="s">
        <v>504</v>
      </c>
      <c r="LJ101" s="858" t="s">
        <v>504</v>
      </c>
      <c r="LK101" s="858" t="s">
        <v>504</v>
      </c>
      <c r="LL101" s="858" t="s">
        <v>504</v>
      </c>
      <c r="LM101" s="858" t="s">
        <v>504</v>
      </c>
      <c r="LN101" s="858" t="s">
        <v>504</v>
      </c>
      <c r="LO101" s="858" t="s">
        <v>504</v>
      </c>
      <c r="LP101" s="858" t="s">
        <v>500</v>
      </c>
      <c r="LQ101" s="858" t="s">
        <v>500</v>
      </c>
      <c r="LR101" s="858" t="s">
        <v>500</v>
      </c>
      <c r="LS101" s="858" t="s">
        <v>504</v>
      </c>
      <c r="LT101" s="858" t="s">
        <v>504</v>
      </c>
      <c r="LU101" s="858" t="s">
        <v>504</v>
      </c>
      <c r="LV101" s="858" t="s">
        <v>504</v>
      </c>
      <c r="LW101" s="858" t="s">
        <v>504</v>
      </c>
      <c r="LX101" s="858" t="s">
        <v>504</v>
      </c>
      <c r="LY101" s="858" t="s">
        <v>504</v>
      </c>
    </row>
    <row r="102" spans="1:337" ht="409.5" x14ac:dyDescent="0.25">
      <c r="A102" s="1584"/>
      <c r="B102" s="1587"/>
      <c r="C102" s="1600"/>
      <c r="D102" s="1598"/>
      <c r="E102" s="847" t="s">
        <v>172</v>
      </c>
      <c r="F102" s="1058"/>
      <c r="G102" s="1058"/>
      <c r="H102" s="864"/>
      <c r="I102" s="864"/>
      <c r="J102" s="864"/>
      <c r="K102" s="864"/>
      <c r="L102" s="864"/>
      <c r="M102" s="864"/>
      <c r="N102" s="852" t="s">
        <v>2653</v>
      </c>
      <c r="O102" s="864"/>
      <c r="P102" s="864"/>
      <c r="Q102" s="864"/>
      <c r="R102" s="864"/>
      <c r="S102" s="864"/>
      <c r="T102" s="864"/>
      <c r="U102" s="864"/>
      <c r="V102" s="855"/>
      <c r="W102" s="855"/>
      <c r="X102" s="855" t="s">
        <v>465</v>
      </c>
      <c r="Y102" s="855"/>
      <c r="Z102" s="855"/>
      <c r="AA102" s="864"/>
      <c r="AB102" s="864"/>
      <c r="AC102" s="864"/>
      <c r="AD102" s="864"/>
      <c r="AE102" s="864"/>
      <c r="AF102" s="864"/>
      <c r="AG102" s="864"/>
      <c r="AH102" s="864"/>
      <c r="AI102" s="864"/>
      <c r="AJ102" s="864"/>
      <c r="AK102" s="864"/>
      <c r="AL102" s="864"/>
      <c r="AM102" s="864"/>
      <c r="AN102" s="864"/>
      <c r="AO102" s="864"/>
      <c r="AP102" s="864"/>
      <c r="AQ102" s="864"/>
      <c r="AR102" s="864"/>
      <c r="AS102" s="864"/>
      <c r="AT102" s="864"/>
      <c r="AU102" s="864"/>
      <c r="AV102" s="855"/>
      <c r="AW102" s="855"/>
      <c r="AX102" s="864"/>
      <c r="AY102" s="864"/>
      <c r="AZ102" s="864"/>
      <c r="BA102" s="852"/>
      <c r="BB102" s="855"/>
      <c r="BC102" s="855"/>
      <c r="BD102" s="855"/>
      <c r="BE102" s="864"/>
      <c r="BF102" s="864"/>
      <c r="BG102" s="864"/>
      <c r="BH102" s="864"/>
      <c r="BI102" s="864"/>
      <c r="BJ102" s="864"/>
      <c r="BK102" s="864"/>
      <c r="BL102" s="864"/>
      <c r="BM102" s="864"/>
      <c r="BN102" s="864"/>
      <c r="BO102" s="864"/>
      <c r="BP102" s="864"/>
      <c r="BQ102" s="864"/>
      <c r="BR102" s="864"/>
      <c r="BS102" s="864"/>
      <c r="BT102" s="855"/>
      <c r="BU102" s="855"/>
      <c r="BV102" s="855"/>
      <c r="BW102" s="855"/>
      <c r="BX102" s="864"/>
      <c r="BY102" s="864"/>
      <c r="BZ102" s="864"/>
      <c r="CA102" s="864"/>
      <c r="CB102" s="864"/>
      <c r="CC102" s="862"/>
      <c r="CD102" s="864"/>
      <c r="CE102" s="864"/>
      <c r="CF102" s="864"/>
      <c r="CG102" s="864"/>
      <c r="CH102" s="864"/>
      <c r="CI102" s="864"/>
      <c r="CJ102" s="864"/>
      <c r="CK102" s="855"/>
      <c r="CL102" s="855"/>
      <c r="CM102" s="864"/>
      <c r="CN102" s="864"/>
      <c r="CO102" s="864"/>
      <c r="CP102" s="864"/>
      <c r="CQ102" s="864"/>
      <c r="CR102" s="864"/>
      <c r="CS102" s="864"/>
      <c r="CT102" s="864"/>
      <c r="CU102" s="864"/>
      <c r="CV102" s="864"/>
      <c r="CW102" s="864"/>
      <c r="CX102" s="864"/>
      <c r="CY102" s="864"/>
      <c r="CZ102" s="864"/>
      <c r="DA102" s="864"/>
      <c r="DB102" s="864"/>
      <c r="DC102" s="864"/>
      <c r="DD102" s="864"/>
      <c r="DE102" s="864"/>
      <c r="DF102" s="855"/>
      <c r="DG102" s="864"/>
      <c r="DH102" s="855"/>
      <c r="DI102" s="855"/>
      <c r="DJ102" s="855"/>
      <c r="DK102" s="855"/>
      <c r="DL102" s="855"/>
      <c r="DM102" s="855"/>
      <c r="DN102" s="864"/>
      <c r="DO102" s="864"/>
      <c r="DP102" s="855"/>
      <c r="DQ102" s="864"/>
      <c r="DR102" s="864"/>
      <c r="DS102" s="864"/>
      <c r="DT102" s="864"/>
      <c r="DU102" s="864"/>
      <c r="DV102" s="864"/>
      <c r="DW102" s="864"/>
      <c r="DX102" s="864"/>
      <c r="DY102" s="864"/>
      <c r="DZ102" s="864"/>
      <c r="EA102" s="864"/>
      <c r="EB102" s="864"/>
      <c r="EC102" s="864"/>
      <c r="ED102" s="864"/>
      <c r="EE102" s="864"/>
      <c r="EF102" s="855"/>
      <c r="EG102" s="855"/>
      <c r="EH102" s="855" t="s">
        <v>3029</v>
      </c>
      <c r="EI102" s="855"/>
      <c r="EJ102" s="916" t="s">
        <v>3063</v>
      </c>
      <c r="EK102" s="858"/>
      <c r="EL102" s="999"/>
      <c r="EM102" s="853"/>
      <c r="EN102" s="858"/>
      <c r="EO102" s="858"/>
      <c r="EP102" s="858"/>
      <c r="EQ102" s="858"/>
      <c r="ER102" s="858"/>
      <c r="ES102" s="858"/>
      <c r="ET102" s="858"/>
      <c r="EU102" s="864"/>
      <c r="EV102" s="864"/>
      <c r="EW102" s="855"/>
      <c r="EX102" s="864"/>
      <c r="EY102" s="864"/>
      <c r="EZ102" s="864"/>
      <c r="FA102" s="864"/>
      <c r="FB102" s="864"/>
      <c r="FC102" s="864"/>
      <c r="FD102" s="864"/>
      <c r="FE102" s="855"/>
      <c r="FF102" s="864"/>
      <c r="FG102" s="864"/>
      <c r="FH102" s="864"/>
      <c r="FI102" s="864"/>
      <c r="FJ102" s="864"/>
      <c r="FK102" s="852"/>
      <c r="FL102" s="852" t="s">
        <v>3256</v>
      </c>
      <c r="FM102" s="855"/>
      <c r="FN102" s="855"/>
      <c r="FO102" s="855"/>
      <c r="FP102" s="980"/>
      <c r="FQ102" s="855"/>
      <c r="FR102" s="864"/>
      <c r="FS102" s="864"/>
      <c r="FT102" s="864"/>
      <c r="FU102" s="864"/>
      <c r="FV102" s="864"/>
      <c r="FW102" s="864"/>
      <c r="FX102" s="864"/>
      <c r="FY102" s="864"/>
      <c r="FZ102" s="864"/>
      <c r="GA102" s="855"/>
      <c r="GB102" s="855"/>
      <c r="GC102" s="855" t="s">
        <v>3367</v>
      </c>
      <c r="GD102" s="855"/>
      <c r="GE102" s="855"/>
      <c r="GF102" s="855"/>
      <c r="GG102" s="855"/>
      <c r="GH102" s="864"/>
      <c r="GI102" s="864"/>
      <c r="GJ102" s="864"/>
      <c r="GK102" s="864"/>
      <c r="GL102" s="864"/>
      <c r="GM102" s="864"/>
      <c r="GN102" s="864"/>
      <c r="GO102" s="859"/>
      <c r="GP102" s="866"/>
      <c r="GQ102" s="867"/>
      <c r="GR102" s="864"/>
      <c r="GS102" s="864"/>
      <c r="GT102" s="864"/>
      <c r="GU102" s="864"/>
      <c r="GV102" s="864"/>
      <c r="GW102" s="864"/>
      <c r="GX102" s="864"/>
      <c r="GY102" s="864"/>
      <c r="GZ102" s="864"/>
      <c r="HA102" s="864"/>
      <c r="HB102" s="864"/>
      <c r="HC102" s="864"/>
      <c r="HD102" s="864"/>
      <c r="HE102" s="855" t="s">
        <v>3474</v>
      </c>
      <c r="HF102" s="855"/>
      <c r="HG102" s="864"/>
      <c r="HH102" s="858"/>
      <c r="HI102" s="855"/>
      <c r="HJ102" s="855"/>
      <c r="HK102" s="858"/>
      <c r="HL102" s="864"/>
      <c r="HM102" s="864"/>
      <c r="HN102" s="864"/>
      <c r="HO102" s="861"/>
      <c r="HP102" s="855"/>
      <c r="HQ102" s="852"/>
      <c r="HR102" s="862" t="s">
        <v>3588</v>
      </c>
      <c r="HS102" s="852"/>
      <c r="HT102" s="852"/>
      <c r="HU102" s="852"/>
      <c r="HV102" s="1000"/>
      <c r="HW102" s="852"/>
      <c r="HX102" s="855"/>
      <c r="HY102" s="855"/>
      <c r="HZ102" s="855"/>
      <c r="IA102" s="855"/>
      <c r="IB102" s="855"/>
      <c r="IC102" s="855"/>
      <c r="ID102" s="855"/>
      <c r="IE102" s="1000"/>
      <c r="IF102" s="852"/>
      <c r="IG102" s="862"/>
      <c r="IH102" s="855"/>
      <c r="II102" s="855"/>
      <c r="IJ102" s="862" t="s">
        <v>465</v>
      </c>
      <c r="IK102" s="852"/>
      <c r="IL102" s="855"/>
      <c r="IM102" s="855"/>
      <c r="IN102" s="855"/>
      <c r="IO102" s="864"/>
      <c r="IP102" s="864"/>
      <c r="IQ102" s="864"/>
      <c r="IR102" s="930" t="s">
        <v>3812</v>
      </c>
      <c r="IS102" s="855"/>
      <c r="IT102" s="855" t="s">
        <v>3852</v>
      </c>
      <c r="IU102" s="855"/>
      <c r="IV102" s="855" t="s">
        <v>3894</v>
      </c>
      <c r="IW102" s="855"/>
      <c r="IX102" s="858"/>
      <c r="IY102" s="855"/>
      <c r="IZ102" s="855"/>
      <c r="JA102" s="855"/>
      <c r="JB102" s="855"/>
      <c r="JC102" s="855"/>
      <c r="JD102" s="855"/>
      <c r="JE102" s="907" t="s">
        <v>4035</v>
      </c>
      <c r="JF102" s="858"/>
      <c r="JG102" s="855"/>
      <c r="JH102" s="855"/>
      <c r="JI102" s="855"/>
      <c r="JJ102" s="855"/>
      <c r="JK102" s="855"/>
      <c r="JL102" s="928" t="s">
        <v>4147</v>
      </c>
      <c r="JM102" s="855"/>
      <c r="JN102" s="855"/>
      <c r="JO102" s="855"/>
      <c r="JP102" s="855"/>
      <c r="JQ102" s="858"/>
      <c r="JR102" s="855"/>
      <c r="JS102" s="855"/>
      <c r="JT102" s="855"/>
      <c r="JU102" s="855"/>
      <c r="JV102" s="855"/>
      <c r="JW102" s="910" t="s">
        <v>4235</v>
      </c>
      <c r="JX102" s="855"/>
      <c r="JY102" s="855"/>
      <c r="JZ102" s="855"/>
      <c r="KA102" s="855"/>
      <c r="KB102" s="855"/>
      <c r="KC102" s="855"/>
      <c r="KD102" s="855"/>
      <c r="KE102" s="862" t="s">
        <v>504</v>
      </c>
      <c r="KF102" s="862" t="s">
        <v>504</v>
      </c>
      <c r="KG102" s="862" t="s">
        <v>504</v>
      </c>
      <c r="KH102" s="862" t="s">
        <v>504</v>
      </c>
      <c r="KI102" s="862" t="s">
        <v>504</v>
      </c>
      <c r="KJ102" s="862" t="s">
        <v>504</v>
      </c>
      <c r="KK102" s="862" t="s">
        <v>504</v>
      </c>
      <c r="KL102" s="855" t="s">
        <v>4372</v>
      </c>
      <c r="KM102" s="864"/>
      <c r="KN102" s="864"/>
      <c r="KO102" s="864"/>
      <c r="KP102" s="864"/>
      <c r="KQ102" s="864"/>
      <c r="KR102" s="855"/>
      <c r="KS102" s="864"/>
      <c r="KT102" s="855"/>
      <c r="KU102" s="864"/>
      <c r="KV102" s="855"/>
      <c r="KW102" s="855" t="s">
        <v>4445</v>
      </c>
      <c r="KX102" s="855"/>
      <c r="KY102" s="858"/>
      <c r="KZ102" s="855" t="s">
        <v>4507</v>
      </c>
      <c r="LA102" s="855"/>
      <c r="LB102" s="855" t="s">
        <v>4548</v>
      </c>
      <c r="LC102" s="855" t="s">
        <v>4548</v>
      </c>
      <c r="LD102" s="855"/>
      <c r="LE102" s="855"/>
      <c r="LF102" s="858" t="s">
        <v>4583</v>
      </c>
      <c r="LG102" s="858"/>
      <c r="LH102" s="858"/>
      <c r="LI102" s="858"/>
      <c r="LJ102" s="858"/>
      <c r="LK102" s="858"/>
      <c r="LL102" s="858"/>
      <c r="LM102" s="858"/>
      <c r="LN102" s="858"/>
      <c r="LO102" s="858"/>
      <c r="LP102" s="938" t="s">
        <v>4702</v>
      </c>
      <c r="LQ102" s="858" t="s">
        <v>4723</v>
      </c>
      <c r="LR102" s="853" t="s">
        <v>4739</v>
      </c>
      <c r="LS102" s="858"/>
      <c r="LT102" s="858"/>
      <c r="LU102" s="858"/>
      <c r="LV102" s="858"/>
      <c r="LW102" s="858"/>
      <c r="LX102" s="858"/>
      <c r="LY102" s="858"/>
    </row>
    <row r="103" spans="1:337" ht="16.5" thickBot="1" x14ac:dyDescent="0.3">
      <c r="A103" s="1584"/>
      <c r="B103" s="1587"/>
      <c r="C103" s="1603"/>
      <c r="D103" s="1599"/>
      <c r="E103" s="850" t="s">
        <v>174</v>
      </c>
      <c r="F103" s="1058"/>
      <c r="G103" s="1058"/>
      <c r="H103" s="864"/>
      <c r="I103" s="864"/>
      <c r="J103" s="864"/>
      <c r="K103" s="864"/>
      <c r="L103" s="864"/>
      <c r="M103" s="864"/>
      <c r="N103" s="852">
        <v>100</v>
      </c>
      <c r="O103" s="864"/>
      <c r="P103" s="864"/>
      <c r="Q103" s="864"/>
      <c r="R103" s="864"/>
      <c r="S103" s="864"/>
      <c r="T103" s="864"/>
      <c r="U103" s="864"/>
      <c r="V103" s="980" t="s">
        <v>465</v>
      </c>
      <c r="W103" s="980"/>
      <c r="X103" s="980" t="s">
        <v>465</v>
      </c>
      <c r="Y103" s="980"/>
      <c r="Z103" s="980"/>
      <c r="AA103" s="864"/>
      <c r="AB103" s="864"/>
      <c r="AC103" s="864"/>
      <c r="AD103" s="864"/>
      <c r="AE103" s="864"/>
      <c r="AF103" s="864"/>
      <c r="AG103" s="864"/>
      <c r="AH103" s="864"/>
      <c r="AI103" s="864"/>
      <c r="AJ103" s="864"/>
      <c r="AK103" s="864"/>
      <c r="AL103" s="864"/>
      <c r="AM103" s="864"/>
      <c r="AN103" s="864"/>
      <c r="AO103" s="864"/>
      <c r="AP103" s="864"/>
      <c r="AQ103" s="864"/>
      <c r="AR103" s="864"/>
      <c r="AS103" s="864"/>
      <c r="AT103" s="864"/>
      <c r="AU103" s="864"/>
      <c r="AV103" s="980"/>
      <c r="AW103" s="980"/>
      <c r="AX103" s="864"/>
      <c r="AY103" s="864"/>
      <c r="AZ103" s="864"/>
      <c r="BA103" s="852"/>
      <c r="BB103" s="855"/>
      <c r="BC103" s="980"/>
      <c r="BD103" s="855"/>
      <c r="BE103" s="864"/>
      <c r="BF103" s="864"/>
      <c r="BG103" s="864"/>
      <c r="BH103" s="864"/>
      <c r="BI103" s="864"/>
      <c r="BJ103" s="864"/>
      <c r="BK103" s="864"/>
      <c r="BL103" s="864"/>
      <c r="BM103" s="864"/>
      <c r="BN103" s="864"/>
      <c r="BO103" s="864"/>
      <c r="BP103" s="864"/>
      <c r="BQ103" s="864"/>
      <c r="BR103" s="864"/>
      <c r="BS103" s="864"/>
      <c r="BT103" s="980"/>
      <c r="BU103" s="980"/>
      <c r="BV103" s="980"/>
      <c r="BW103" s="980"/>
      <c r="BX103" s="864"/>
      <c r="BY103" s="864"/>
      <c r="BZ103" s="864"/>
      <c r="CA103" s="864"/>
      <c r="CB103" s="864"/>
      <c r="CC103" s="998"/>
      <c r="CD103" s="864"/>
      <c r="CE103" s="864"/>
      <c r="CF103" s="864"/>
      <c r="CG103" s="864"/>
      <c r="CH103" s="864"/>
      <c r="CI103" s="864"/>
      <c r="CJ103" s="864"/>
      <c r="CK103" s="980"/>
      <c r="CL103" s="980"/>
      <c r="CM103" s="864"/>
      <c r="CN103" s="864"/>
      <c r="CO103" s="864"/>
      <c r="CP103" s="864"/>
      <c r="CQ103" s="864"/>
      <c r="CR103" s="864"/>
      <c r="CS103" s="864"/>
      <c r="CT103" s="864"/>
      <c r="CU103" s="864"/>
      <c r="CV103" s="864"/>
      <c r="CW103" s="864"/>
      <c r="CX103" s="864"/>
      <c r="CY103" s="864"/>
      <c r="CZ103" s="864"/>
      <c r="DA103" s="864"/>
      <c r="DB103" s="864"/>
      <c r="DC103" s="864"/>
      <c r="DD103" s="864"/>
      <c r="DE103" s="864"/>
      <c r="DF103" s="980"/>
      <c r="DG103" s="864"/>
      <c r="DH103" s="980"/>
      <c r="DI103" s="980"/>
      <c r="DJ103" s="980"/>
      <c r="DK103" s="980"/>
      <c r="DL103" s="980"/>
      <c r="DM103" s="980"/>
      <c r="DN103" s="864"/>
      <c r="DO103" s="864"/>
      <c r="DP103" s="980"/>
      <c r="DQ103" s="864"/>
      <c r="DR103" s="864"/>
      <c r="DS103" s="864"/>
      <c r="DT103" s="864"/>
      <c r="DU103" s="864"/>
      <c r="DV103" s="864"/>
      <c r="DW103" s="864"/>
      <c r="DX103" s="864"/>
      <c r="DY103" s="864"/>
      <c r="DZ103" s="864"/>
      <c r="EA103" s="864"/>
      <c r="EB103" s="864"/>
      <c r="EC103" s="864"/>
      <c r="ED103" s="864"/>
      <c r="EE103" s="864"/>
      <c r="EF103" s="980"/>
      <c r="EG103" s="980"/>
      <c r="EH103" s="980">
        <v>19</v>
      </c>
      <c r="EI103" s="855"/>
      <c r="EJ103" s="999">
        <v>1</v>
      </c>
      <c r="EK103" s="999"/>
      <c r="EL103" s="999"/>
      <c r="EM103" s="853"/>
      <c r="EN103" s="999"/>
      <c r="EO103" s="999"/>
      <c r="EP103" s="999"/>
      <c r="EQ103" s="999"/>
      <c r="ER103" s="999"/>
      <c r="ES103" s="999"/>
      <c r="ET103" s="999"/>
      <c r="EU103" s="864"/>
      <c r="EV103" s="864"/>
      <c r="EW103" s="980"/>
      <c r="EX103" s="864"/>
      <c r="EY103" s="864"/>
      <c r="EZ103" s="864"/>
      <c r="FA103" s="864"/>
      <c r="FB103" s="864"/>
      <c r="FC103" s="864"/>
      <c r="FD103" s="864"/>
      <c r="FE103" s="980"/>
      <c r="FF103" s="864"/>
      <c r="FG103" s="864"/>
      <c r="FH103" s="864"/>
      <c r="FI103" s="864"/>
      <c r="FJ103" s="864"/>
      <c r="FK103" s="852"/>
      <c r="FL103" s="1000" t="s">
        <v>3257</v>
      </c>
      <c r="FM103" s="980"/>
      <c r="FN103" s="980"/>
      <c r="FO103" s="980"/>
      <c r="FP103" s="980"/>
      <c r="FQ103" s="980"/>
      <c r="FR103" s="864"/>
      <c r="FS103" s="864"/>
      <c r="FT103" s="864"/>
      <c r="FU103" s="864"/>
      <c r="FV103" s="864"/>
      <c r="FW103" s="864"/>
      <c r="FX103" s="864"/>
      <c r="FY103" s="864"/>
      <c r="FZ103" s="864"/>
      <c r="GA103" s="980"/>
      <c r="GB103" s="980"/>
      <c r="GC103" s="980"/>
      <c r="GD103" s="980"/>
      <c r="GE103" s="980"/>
      <c r="GF103" s="980"/>
      <c r="GG103" s="980"/>
      <c r="GH103" s="864"/>
      <c r="GI103" s="864"/>
      <c r="GJ103" s="864"/>
      <c r="GK103" s="864"/>
      <c r="GL103" s="864"/>
      <c r="GM103" s="864"/>
      <c r="GN103" s="864"/>
      <c r="GO103" s="1001"/>
      <c r="GP103" s="1002"/>
      <c r="GQ103" s="867"/>
      <c r="GR103" s="864"/>
      <c r="GS103" s="864"/>
      <c r="GT103" s="864"/>
      <c r="GU103" s="864"/>
      <c r="GV103" s="864"/>
      <c r="GW103" s="864"/>
      <c r="GX103" s="864"/>
      <c r="GY103" s="864"/>
      <c r="GZ103" s="864"/>
      <c r="HA103" s="864"/>
      <c r="HB103" s="864"/>
      <c r="HC103" s="864"/>
      <c r="HD103" s="864"/>
      <c r="HE103" s="980">
        <v>20</v>
      </c>
      <c r="HF103" s="980"/>
      <c r="HG103" s="864"/>
      <c r="HH103" s="999"/>
      <c r="HI103" s="980"/>
      <c r="HJ103" s="980"/>
      <c r="HK103" s="999"/>
      <c r="HL103" s="864"/>
      <c r="HM103" s="864"/>
      <c r="HN103" s="864"/>
      <c r="HO103" s="1004"/>
      <c r="HP103" s="980"/>
      <c r="HQ103" s="1000"/>
      <c r="HR103" s="998">
        <v>7</v>
      </c>
      <c r="HS103" s="1000"/>
      <c r="HT103" s="1000"/>
      <c r="HU103" s="1000"/>
      <c r="HV103" s="852"/>
      <c r="HW103" s="1000"/>
      <c r="HX103" s="980"/>
      <c r="HY103" s="980"/>
      <c r="HZ103" s="980"/>
      <c r="IA103" s="980"/>
      <c r="IB103" s="980"/>
      <c r="IC103" s="980"/>
      <c r="ID103" s="980"/>
      <c r="IE103" s="980"/>
      <c r="IF103" s="1000"/>
      <c r="IG103" s="998"/>
      <c r="IH103" s="980"/>
      <c r="II103" s="980"/>
      <c r="IJ103" s="998" t="s">
        <v>465</v>
      </c>
      <c r="IK103" s="1000"/>
      <c r="IL103" s="980"/>
      <c r="IM103" s="980"/>
      <c r="IN103" s="980"/>
      <c r="IO103" s="864"/>
      <c r="IP103" s="864"/>
      <c r="IQ103" s="864"/>
      <c r="IR103" s="998">
        <v>7</v>
      </c>
      <c r="IS103" s="980"/>
      <c r="IT103" s="980">
        <v>4280</v>
      </c>
      <c r="IU103" s="980"/>
      <c r="IV103" s="980">
        <v>38</v>
      </c>
      <c r="IW103" s="980"/>
      <c r="IX103" s="999"/>
      <c r="IY103" s="980"/>
      <c r="IZ103" s="980"/>
      <c r="JA103" s="980">
        <v>0</v>
      </c>
      <c r="JB103" s="980" t="s">
        <v>465</v>
      </c>
      <c r="JC103" s="980"/>
      <c r="JD103" s="980"/>
      <c r="JE103" s="980"/>
      <c r="JF103" s="999"/>
      <c r="JG103" s="980"/>
      <c r="JH103" s="980"/>
      <c r="JI103" s="980"/>
      <c r="JJ103" s="980"/>
      <c r="JK103" s="980"/>
      <c r="JL103" s="980">
        <v>130</v>
      </c>
      <c r="JM103" s="980"/>
      <c r="JN103" s="980"/>
      <c r="JO103" s="980"/>
      <c r="JP103" s="855"/>
      <c r="JQ103" s="999"/>
      <c r="JR103" s="980"/>
      <c r="JS103" s="980"/>
      <c r="JT103" s="980"/>
      <c r="JU103" s="980"/>
      <c r="JV103" s="980"/>
      <c r="JW103" s="980">
        <v>1</v>
      </c>
      <c r="JX103" s="980"/>
      <c r="JY103" s="980"/>
      <c r="JZ103" s="980"/>
      <c r="KA103" s="980"/>
      <c r="KB103" s="980"/>
      <c r="KC103" s="980"/>
      <c r="KD103" s="980"/>
      <c r="KE103" s="998"/>
      <c r="KF103" s="998"/>
      <c r="KG103" s="998"/>
      <c r="KH103" s="998"/>
      <c r="KI103" s="998"/>
      <c r="KJ103" s="998"/>
      <c r="KK103" s="998"/>
      <c r="KL103" s="980">
        <v>52</v>
      </c>
      <c r="KM103" s="864"/>
      <c r="KN103" s="864"/>
      <c r="KO103" s="864"/>
      <c r="KP103" s="864"/>
      <c r="KQ103" s="864"/>
      <c r="KR103" s="980"/>
      <c r="KS103" s="864"/>
      <c r="KT103" s="980"/>
      <c r="KU103" s="864"/>
      <c r="KV103" s="980"/>
      <c r="KW103" s="980">
        <v>15</v>
      </c>
      <c r="KX103" s="980"/>
      <c r="KY103" s="858"/>
      <c r="KZ103" s="980">
        <v>33</v>
      </c>
      <c r="LA103" s="980"/>
      <c r="LB103" s="980">
        <v>12</v>
      </c>
      <c r="LC103" s="980">
        <v>12</v>
      </c>
      <c r="LD103" s="980"/>
      <c r="LE103" s="980"/>
      <c r="LF103" s="999">
        <v>7</v>
      </c>
      <c r="LG103" s="999"/>
      <c r="LH103" s="999"/>
      <c r="LI103" s="999"/>
      <c r="LJ103" s="999"/>
      <c r="LK103" s="999"/>
      <c r="LL103" s="999"/>
      <c r="LM103" s="999"/>
      <c r="LN103" s="999"/>
      <c r="LO103" s="999"/>
      <c r="LP103" s="999">
        <v>5</v>
      </c>
      <c r="LQ103" s="999">
        <v>12</v>
      </c>
      <c r="LR103" s="999">
        <v>120</v>
      </c>
      <c r="LS103" s="999"/>
      <c r="LT103" s="999"/>
      <c r="LU103" s="999"/>
      <c r="LV103" s="999"/>
      <c r="LW103" s="999"/>
      <c r="LX103" s="999"/>
      <c r="LY103" s="999"/>
    </row>
    <row r="104" spans="1:337" x14ac:dyDescent="0.25">
      <c r="A104" s="1584"/>
      <c r="B104" s="1587"/>
      <c r="C104" s="1594" t="s">
        <v>237</v>
      </c>
      <c r="D104" s="1597" t="s">
        <v>280</v>
      </c>
      <c r="E104" s="849" t="s">
        <v>171</v>
      </c>
      <c r="F104" s="1058"/>
      <c r="G104" s="1058"/>
      <c r="H104" s="864"/>
      <c r="I104" s="864"/>
      <c r="J104" s="864"/>
      <c r="K104" s="864"/>
      <c r="L104" s="864"/>
      <c r="M104" s="864"/>
      <c r="N104" s="852" t="s">
        <v>504</v>
      </c>
      <c r="O104" s="864"/>
      <c r="P104" s="864"/>
      <c r="Q104" s="864"/>
      <c r="R104" s="864"/>
      <c r="S104" s="864"/>
      <c r="T104" s="864"/>
      <c r="U104" s="864"/>
      <c r="V104" s="855" t="s">
        <v>479</v>
      </c>
      <c r="W104" s="855" t="s">
        <v>479</v>
      </c>
      <c r="X104" s="855" t="s">
        <v>479</v>
      </c>
      <c r="Y104" s="855" t="s">
        <v>479</v>
      </c>
      <c r="Z104" s="855" t="s">
        <v>504</v>
      </c>
      <c r="AA104" s="864"/>
      <c r="AB104" s="864"/>
      <c r="AC104" s="864"/>
      <c r="AD104" s="864"/>
      <c r="AE104" s="864"/>
      <c r="AF104" s="864"/>
      <c r="AG104" s="864"/>
      <c r="AH104" s="864"/>
      <c r="AI104" s="864"/>
      <c r="AJ104" s="864"/>
      <c r="AK104" s="864"/>
      <c r="AL104" s="864"/>
      <c r="AM104" s="864"/>
      <c r="AN104" s="864"/>
      <c r="AO104" s="864"/>
      <c r="AP104" s="864"/>
      <c r="AQ104" s="864"/>
      <c r="AR104" s="864"/>
      <c r="AS104" s="864"/>
      <c r="AT104" s="864"/>
      <c r="AU104" s="864"/>
      <c r="AV104" s="855" t="s">
        <v>504</v>
      </c>
      <c r="AW104" s="855" t="s">
        <v>504</v>
      </c>
      <c r="AX104" s="864"/>
      <c r="AY104" s="864"/>
      <c r="AZ104" s="864"/>
      <c r="BA104" s="852" t="s">
        <v>504</v>
      </c>
      <c r="BB104" s="980" t="s">
        <v>504</v>
      </c>
      <c r="BC104" s="855" t="s">
        <v>504</v>
      </c>
      <c r="BD104" s="980"/>
      <c r="BE104" s="864"/>
      <c r="BF104" s="864"/>
      <c r="BG104" s="864"/>
      <c r="BH104" s="864"/>
      <c r="BI104" s="864"/>
      <c r="BJ104" s="864"/>
      <c r="BK104" s="864"/>
      <c r="BL104" s="864"/>
      <c r="BM104" s="864"/>
      <c r="BN104" s="864"/>
      <c r="BO104" s="864"/>
      <c r="BP104" s="864"/>
      <c r="BQ104" s="864"/>
      <c r="BR104" s="864"/>
      <c r="BS104" s="864"/>
      <c r="BT104" s="855" t="s">
        <v>504</v>
      </c>
      <c r="BU104" s="855"/>
      <c r="BV104" s="855" t="s">
        <v>504</v>
      </c>
      <c r="BW104" s="855" t="s">
        <v>504</v>
      </c>
      <c r="BX104" s="864"/>
      <c r="BY104" s="864"/>
      <c r="BZ104" s="864"/>
      <c r="CA104" s="864"/>
      <c r="CB104" s="864"/>
      <c r="CC104" s="862"/>
      <c r="CD104" s="864"/>
      <c r="CE104" s="864"/>
      <c r="CF104" s="864"/>
      <c r="CG104" s="864"/>
      <c r="CH104" s="864"/>
      <c r="CI104" s="864"/>
      <c r="CJ104" s="864"/>
      <c r="CK104" s="855"/>
      <c r="CL104" s="855"/>
      <c r="CM104" s="864"/>
      <c r="CN104" s="864"/>
      <c r="CO104" s="864"/>
      <c r="CP104" s="864"/>
      <c r="CQ104" s="864"/>
      <c r="CR104" s="864"/>
      <c r="CS104" s="864"/>
      <c r="CT104" s="864"/>
      <c r="CU104" s="864"/>
      <c r="CV104" s="864"/>
      <c r="CW104" s="864"/>
      <c r="CX104" s="864"/>
      <c r="CY104" s="864"/>
      <c r="CZ104" s="864"/>
      <c r="DA104" s="864"/>
      <c r="DB104" s="864"/>
      <c r="DC104" s="864"/>
      <c r="DD104" s="864"/>
      <c r="DE104" s="864"/>
      <c r="DF104" s="855"/>
      <c r="DG104" s="864"/>
      <c r="DH104" s="855" t="s">
        <v>504</v>
      </c>
      <c r="DI104" s="855"/>
      <c r="DJ104" s="855"/>
      <c r="DK104" s="855"/>
      <c r="DL104" s="855" t="s">
        <v>504</v>
      </c>
      <c r="DM104" s="855" t="s">
        <v>504</v>
      </c>
      <c r="DN104" s="864"/>
      <c r="DO104" s="864"/>
      <c r="DP104" s="855" t="s">
        <v>504</v>
      </c>
      <c r="DQ104" s="864"/>
      <c r="DR104" s="864"/>
      <c r="DS104" s="864"/>
      <c r="DT104" s="864"/>
      <c r="DU104" s="864"/>
      <c r="DV104" s="864"/>
      <c r="DW104" s="864"/>
      <c r="DX104" s="864"/>
      <c r="DY104" s="864"/>
      <c r="DZ104" s="864"/>
      <c r="EA104" s="864"/>
      <c r="EB104" s="864"/>
      <c r="EC104" s="864"/>
      <c r="ED104" s="864"/>
      <c r="EE104" s="864"/>
      <c r="EF104" s="855" t="s">
        <v>504</v>
      </c>
      <c r="EG104" s="855" t="s">
        <v>504</v>
      </c>
      <c r="EH104" s="855" t="s">
        <v>504</v>
      </c>
      <c r="EI104" s="855" t="s">
        <v>504</v>
      </c>
      <c r="EJ104" s="858" t="s">
        <v>504</v>
      </c>
      <c r="EK104" s="858" t="s">
        <v>504</v>
      </c>
      <c r="EL104" s="999" t="s">
        <v>504</v>
      </c>
      <c r="EM104" s="999" t="s">
        <v>504</v>
      </c>
      <c r="EN104" s="858" t="s">
        <v>504</v>
      </c>
      <c r="EO104" s="858" t="s">
        <v>504</v>
      </c>
      <c r="EP104" s="858" t="s">
        <v>504</v>
      </c>
      <c r="EQ104" s="858" t="s">
        <v>504</v>
      </c>
      <c r="ER104" s="858"/>
      <c r="ES104" s="858" t="s">
        <v>500</v>
      </c>
      <c r="ET104" s="858" t="s">
        <v>504</v>
      </c>
      <c r="EU104" s="864"/>
      <c r="EV104" s="864"/>
      <c r="EW104" s="855" t="s">
        <v>504</v>
      </c>
      <c r="EX104" s="864"/>
      <c r="EY104" s="864"/>
      <c r="EZ104" s="864"/>
      <c r="FA104" s="864"/>
      <c r="FB104" s="864"/>
      <c r="FC104" s="864"/>
      <c r="FD104" s="864"/>
      <c r="FE104" s="980" t="s">
        <v>479</v>
      </c>
      <c r="FF104" s="864"/>
      <c r="FG104" s="864"/>
      <c r="FH104" s="864"/>
      <c r="FI104" s="864"/>
      <c r="FJ104" s="864"/>
      <c r="FK104" s="852" t="s">
        <v>504</v>
      </c>
      <c r="FL104" s="852" t="s">
        <v>504</v>
      </c>
      <c r="FM104" s="855" t="s">
        <v>504</v>
      </c>
      <c r="FN104" s="855"/>
      <c r="FO104" s="855"/>
      <c r="FP104" s="980" t="s">
        <v>504</v>
      </c>
      <c r="FQ104" s="855" t="s">
        <v>504</v>
      </c>
      <c r="FR104" s="864"/>
      <c r="FS104" s="864"/>
      <c r="FT104" s="864"/>
      <c r="FU104" s="864"/>
      <c r="FV104" s="864"/>
      <c r="FW104" s="864"/>
      <c r="FX104" s="864"/>
      <c r="FY104" s="864"/>
      <c r="FZ104" s="864"/>
      <c r="GA104" s="855" t="s">
        <v>504</v>
      </c>
      <c r="GB104" s="855" t="s">
        <v>504</v>
      </c>
      <c r="GC104" s="855" t="s">
        <v>500</v>
      </c>
      <c r="GD104" s="855" t="s">
        <v>504</v>
      </c>
      <c r="GE104" s="855" t="s">
        <v>504</v>
      </c>
      <c r="GF104" s="855"/>
      <c r="GG104" s="855" t="s">
        <v>504</v>
      </c>
      <c r="GH104" s="864"/>
      <c r="GI104" s="864"/>
      <c r="GJ104" s="864"/>
      <c r="GK104" s="864"/>
      <c r="GL104" s="864"/>
      <c r="GM104" s="864"/>
      <c r="GN104" s="864"/>
      <c r="GO104" s="859" t="s">
        <v>500</v>
      </c>
      <c r="GP104" s="866" t="s">
        <v>504</v>
      </c>
      <c r="GQ104" s="860" t="s">
        <v>504</v>
      </c>
      <c r="GR104" s="864"/>
      <c r="GS104" s="864"/>
      <c r="GT104" s="864"/>
      <c r="GU104" s="864"/>
      <c r="GV104" s="864"/>
      <c r="GW104" s="864"/>
      <c r="GX104" s="864"/>
      <c r="GY104" s="864"/>
      <c r="GZ104" s="864"/>
      <c r="HA104" s="864"/>
      <c r="HB104" s="864"/>
      <c r="HC104" s="864"/>
      <c r="HD104" s="864"/>
      <c r="HE104" s="855" t="s">
        <v>504</v>
      </c>
      <c r="HF104" s="855" t="s">
        <v>504</v>
      </c>
      <c r="HG104" s="864"/>
      <c r="HH104" s="858" t="s">
        <v>504</v>
      </c>
      <c r="HI104" s="855" t="s">
        <v>504</v>
      </c>
      <c r="HJ104" s="855" t="s">
        <v>504</v>
      </c>
      <c r="HK104" s="858" t="s">
        <v>504</v>
      </c>
      <c r="HL104" s="864"/>
      <c r="HM104" s="864"/>
      <c r="HN104" s="864"/>
      <c r="HO104" s="861" t="s">
        <v>504</v>
      </c>
      <c r="HP104" s="855" t="s">
        <v>504</v>
      </c>
      <c r="HQ104" s="855" t="s">
        <v>504</v>
      </c>
      <c r="HR104" s="862" t="s">
        <v>504</v>
      </c>
      <c r="HS104" s="855" t="s">
        <v>504</v>
      </c>
      <c r="HT104" s="855" t="s">
        <v>504</v>
      </c>
      <c r="HU104" s="855" t="s">
        <v>504</v>
      </c>
      <c r="HV104" s="852" t="s">
        <v>504</v>
      </c>
      <c r="HW104" s="855" t="s">
        <v>504</v>
      </c>
      <c r="HX104" s="855" t="s">
        <v>504</v>
      </c>
      <c r="HY104" s="855" t="s">
        <v>504</v>
      </c>
      <c r="HZ104" s="855" t="s">
        <v>504</v>
      </c>
      <c r="IA104" s="855" t="s">
        <v>504</v>
      </c>
      <c r="IB104" s="855" t="s">
        <v>504</v>
      </c>
      <c r="IC104" s="855" t="s">
        <v>504</v>
      </c>
      <c r="ID104" s="855" t="s">
        <v>504</v>
      </c>
      <c r="IE104" s="855" t="s">
        <v>504</v>
      </c>
      <c r="IF104" s="855" t="s">
        <v>504</v>
      </c>
      <c r="IG104" s="862" t="s">
        <v>504</v>
      </c>
      <c r="IH104" s="855" t="s">
        <v>500</v>
      </c>
      <c r="II104" s="855" t="s">
        <v>504</v>
      </c>
      <c r="IJ104" s="862" t="s">
        <v>504</v>
      </c>
      <c r="IK104" s="855" t="s">
        <v>504</v>
      </c>
      <c r="IL104" s="855" t="s">
        <v>504</v>
      </c>
      <c r="IM104" s="855" t="s">
        <v>504</v>
      </c>
      <c r="IN104" s="855" t="s">
        <v>504</v>
      </c>
      <c r="IO104" s="864"/>
      <c r="IP104" s="864"/>
      <c r="IQ104" s="864"/>
      <c r="IR104" s="862" t="s">
        <v>504</v>
      </c>
      <c r="IS104" s="855" t="s">
        <v>504</v>
      </c>
      <c r="IT104" s="855" t="s">
        <v>504</v>
      </c>
      <c r="IU104" s="855" t="s">
        <v>504</v>
      </c>
      <c r="IV104" s="855"/>
      <c r="IW104" s="855" t="s">
        <v>504</v>
      </c>
      <c r="IX104" s="858" t="s">
        <v>504</v>
      </c>
      <c r="IY104" s="855" t="s">
        <v>504</v>
      </c>
      <c r="IZ104" s="855" t="s">
        <v>504</v>
      </c>
      <c r="JA104" s="855" t="s">
        <v>504</v>
      </c>
      <c r="JB104" s="855"/>
      <c r="JC104" s="855" t="s">
        <v>504</v>
      </c>
      <c r="JD104" s="855" t="s">
        <v>504</v>
      </c>
      <c r="JE104" s="855" t="s">
        <v>504</v>
      </c>
      <c r="JF104" s="858" t="s">
        <v>504</v>
      </c>
      <c r="JG104" s="855" t="s">
        <v>504</v>
      </c>
      <c r="JH104" s="855"/>
      <c r="JI104" s="855" t="s">
        <v>479</v>
      </c>
      <c r="JJ104" s="855" t="s">
        <v>504</v>
      </c>
      <c r="JK104" s="855" t="s">
        <v>504</v>
      </c>
      <c r="JL104" s="855" t="s">
        <v>504</v>
      </c>
      <c r="JM104" s="855" t="s">
        <v>504</v>
      </c>
      <c r="JN104" s="855" t="s">
        <v>504</v>
      </c>
      <c r="JO104" s="855" t="s">
        <v>504</v>
      </c>
      <c r="JP104" s="980" t="s">
        <v>504</v>
      </c>
      <c r="JQ104" s="858" t="s">
        <v>504</v>
      </c>
      <c r="JR104" s="855" t="s">
        <v>504</v>
      </c>
      <c r="JS104" s="855" t="s">
        <v>504</v>
      </c>
      <c r="JT104" s="855" t="s">
        <v>504</v>
      </c>
      <c r="JU104" s="855" t="s">
        <v>504</v>
      </c>
      <c r="JV104" s="855" t="s">
        <v>504</v>
      </c>
      <c r="JW104" s="855" t="s">
        <v>504</v>
      </c>
      <c r="JX104" s="855"/>
      <c r="JY104" s="855" t="s">
        <v>504</v>
      </c>
      <c r="JZ104" s="855" t="s">
        <v>504</v>
      </c>
      <c r="KA104" s="855" t="s">
        <v>504</v>
      </c>
      <c r="KB104" s="855" t="s">
        <v>504</v>
      </c>
      <c r="KC104" s="855" t="s">
        <v>504</v>
      </c>
      <c r="KD104" s="855" t="s">
        <v>504</v>
      </c>
      <c r="KE104" s="862" t="s">
        <v>504</v>
      </c>
      <c r="KF104" s="862" t="s">
        <v>504</v>
      </c>
      <c r="KG104" s="862" t="s">
        <v>504</v>
      </c>
      <c r="KH104" s="862" t="s">
        <v>504</v>
      </c>
      <c r="KI104" s="862" t="s">
        <v>504</v>
      </c>
      <c r="KJ104" s="862" t="s">
        <v>504</v>
      </c>
      <c r="KK104" s="862" t="s">
        <v>504</v>
      </c>
      <c r="KL104" s="855" t="s">
        <v>504</v>
      </c>
      <c r="KM104" s="864"/>
      <c r="KN104" s="864"/>
      <c r="KO104" s="864"/>
      <c r="KP104" s="864"/>
      <c r="KQ104" s="864"/>
      <c r="KR104" s="855" t="s">
        <v>504</v>
      </c>
      <c r="KS104" s="864"/>
      <c r="KT104" s="855" t="s">
        <v>504</v>
      </c>
      <c r="KU104" s="864"/>
      <c r="KV104" s="855" t="s">
        <v>504</v>
      </c>
      <c r="KW104" s="855" t="s">
        <v>504</v>
      </c>
      <c r="KX104" s="855" t="s">
        <v>504</v>
      </c>
      <c r="KY104" s="858" t="s">
        <v>504</v>
      </c>
      <c r="KZ104" s="855" t="s">
        <v>500</v>
      </c>
      <c r="LA104" s="855"/>
      <c r="LB104" s="855" t="s">
        <v>504</v>
      </c>
      <c r="LC104" s="855" t="s">
        <v>504</v>
      </c>
      <c r="LD104" s="855" t="s">
        <v>504</v>
      </c>
      <c r="LE104" s="855" t="s">
        <v>504</v>
      </c>
      <c r="LF104" s="858" t="s">
        <v>504</v>
      </c>
      <c r="LG104" s="858" t="s">
        <v>504</v>
      </c>
      <c r="LH104" s="858" t="s">
        <v>504</v>
      </c>
      <c r="LI104" s="858" t="s">
        <v>504</v>
      </c>
      <c r="LJ104" s="858" t="s">
        <v>504</v>
      </c>
      <c r="LK104" s="858" t="s">
        <v>504</v>
      </c>
      <c r="LL104" s="858" t="s">
        <v>504</v>
      </c>
      <c r="LM104" s="858" t="s">
        <v>504</v>
      </c>
      <c r="LN104" s="858" t="s">
        <v>500</v>
      </c>
      <c r="LO104" s="858" t="s">
        <v>504</v>
      </c>
      <c r="LP104" s="858" t="s">
        <v>504</v>
      </c>
      <c r="LQ104" s="858"/>
      <c r="LR104" s="858"/>
      <c r="LS104" s="858" t="s">
        <v>504</v>
      </c>
      <c r="LT104" s="858" t="s">
        <v>504</v>
      </c>
      <c r="LU104" s="858" t="s">
        <v>504</v>
      </c>
      <c r="LV104" s="858" t="s">
        <v>504</v>
      </c>
      <c r="LW104" s="858" t="s">
        <v>504</v>
      </c>
      <c r="LX104" s="858" t="s">
        <v>504</v>
      </c>
      <c r="LY104" s="858" t="s">
        <v>504</v>
      </c>
    </row>
    <row r="105" spans="1:337" ht="63" x14ac:dyDescent="0.25">
      <c r="A105" s="1584"/>
      <c r="B105" s="1587"/>
      <c r="C105" s="1600"/>
      <c r="D105" s="1598"/>
      <c r="E105" s="847" t="s">
        <v>172</v>
      </c>
      <c r="F105" s="1058"/>
      <c r="G105" s="1058"/>
      <c r="H105" s="864"/>
      <c r="I105" s="864"/>
      <c r="J105" s="864"/>
      <c r="K105" s="864"/>
      <c r="L105" s="864"/>
      <c r="M105" s="864"/>
      <c r="N105" s="852"/>
      <c r="O105" s="864"/>
      <c r="P105" s="864"/>
      <c r="Q105" s="864"/>
      <c r="R105" s="864"/>
      <c r="S105" s="864"/>
      <c r="T105" s="864"/>
      <c r="U105" s="864"/>
      <c r="V105" s="855"/>
      <c r="W105" s="855"/>
      <c r="X105" s="855" t="s">
        <v>465</v>
      </c>
      <c r="Y105" s="855"/>
      <c r="Z105" s="855"/>
      <c r="AA105" s="864"/>
      <c r="AB105" s="864"/>
      <c r="AC105" s="864"/>
      <c r="AD105" s="864"/>
      <c r="AE105" s="864"/>
      <c r="AF105" s="864"/>
      <c r="AG105" s="864"/>
      <c r="AH105" s="864"/>
      <c r="AI105" s="864"/>
      <c r="AJ105" s="864"/>
      <c r="AK105" s="864"/>
      <c r="AL105" s="864"/>
      <c r="AM105" s="864"/>
      <c r="AN105" s="864"/>
      <c r="AO105" s="864"/>
      <c r="AP105" s="864"/>
      <c r="AQ105" s="864"/>
      <c r="AR105" s="864"/>
      <c r="AS105" s="864"/>
      <c r="AT105" s="864"/>
      <c r="AU105" s="864"/>
      <c r="AV105" s="855"/>
      <c r="AW105" s="855"/>
      <c r="AX105" s="864"/>
      <c r="AY105" s="864"/>
      <c r="AZ105" s="864"/>
      <c r="BA105" s="852"/>
      <c r="BB105" s="855"/>
      <c r="BC105" s="855"/>
      <c r="BD105" s="855"/>
      <c r="BE105" s="864"/>
      <c r="BF105" s="864"/>
      <c r="BG105" s="864"/>
      <c r="BH105" s="864"/>
      <c r="BI105" s="864"/>
      <c r="BJ105" s="864"/>
      <c r="BK105" s="864"/>
      <c r="BL105" s="864"/>
      <c r="BM105" s="864"/>
      <c r="BN105" s="864"/>
      <c r="BO105" s="864"/>
      <c r="BP105" s="864"/>
      <c r="BQ105" s="864"/>
      <c r="BR105" s="864"/>
      <c r="BS105" s="864"/>
      <c r="BT105" s="855"/>
      <c r="BU105" s="855"/>
      <c r="BV105" s="855"/>
      <c r="BW105" s="855"/>
      <c r="BX105" s="864"/>
      <c r="BY105" s="864"/>
      <c r="BZ105" s="864"/>
      <c r="CA105" s="864"/>
      <c r="CB105" s="864"/>
      <c r="CC105" s="862"/>
      <c r="CD105" s="864"/>
      <c r="CE105" s="864"/>
      <c r="CF105" s="864"/>
      <c r="CG105" s="864"/>
      <c r="CH105" s="864"/>
      <c r="CI105" s="864"/>
      <c r="CJ105" s="864"/>
      <c r="CK105" s="855"/>
      <c r="CL105" s="855"/>
      <c r="CM105" s="864"/>
      <c r="CN105" s="864"/>
      <c r="CO105" s="864"/>
      <c r="CP105" s="864"/>
      <c r="CQ105" s="864"/>
      <c r="CR105" s="864"/>
      <c r="CS105" s="864"/>
      <c r="CT105" s="864"/>
      <c r="CU105" s="864"/>
      <c r="CV105" s="864"/>
      <c r="CW105" s="864"/>
      <c r="CX105" s="864"/>
      <c r="CY105" s="864"/>
      <c r="CZ105" s="864"/>
      <c r="DA105" s="864"/>
      <c r="DB105" s="864"/>
      <c r="DC105" s="864"/>
      <c r="DD105" s="864"/>
      <c r="DE105" s="864"/>
      <c r="DF105" s="855"/>
      <c r="DG105" s="864"/>
      <c r="DH105" s="855"/>
      <c r="DI105" s="855"/>
      <c r="DJ105" s="855"/>
      <c r="DK105" s="855"/>
      <c r="DL105" s="855"/>
      <c r="DM105" s="855"/>
      <c r="DN105" s="864"/>
      <c r="DO105" s="864"/>
      <c r="DP105" s="855"/>
      <c r="DQ105" s="864"/>
      <c r="DR105" s="864"/>
      <c r="DS105" s="864"/>
      <c r="DT105" s="864"/>
      <c r="DU105" s="864"/>
      <c r="DV105" s="864"/>
      <c r="DW105" s="864"/>
      <c r="DX105" s="864"/>
      <c r="DY105" s="864"/>
      <c r="DZ105" s="864"/>
      <c r="EA105" s="864"/>
      <c r="EB105" s="864"/>
      <c r="EC105" s="864"/>
      <c r="ED105" s="864"/>
      <c r="EE105" s="864"/>
      <c r="EF105" s="855"/>
      <c r="EG105" s="855"/>
      <c r="EH105" s="855"/>
      <c r="EI105" s="855"/>
      <c r="EJ105" s="858"/>
      <c r="EK105" s="858"/>
      <c r="EL105" s="999"/>
      <c r="EM105" s="853"/>
      <c r="EN105" s="858"/>
      <c r="EO105" s="858"/>
      <c r="EP105" s="858"/>
      <c r="EQ105" s="858"/>
      <c r="ER105" s="858"/>
      <c r="ES105" s="1054" t="s">
        <v>3180</v>
      </c>
      <c r="ET105" s="858"/>
      <c r="EU105" s="864"/>
      <c r="EV105" s="864"/>
      <c r="EW105" s="855"/>
      <c r="EX105" s="864"/>
      <c r="EY105" s="864"/>
      <c r="EZ105" s="864"/>
      <c r="FA105" s="864"/>
      <c r="FB105" s="864"/>
      <c r="FC105" s="864"/>
      <c r="FD105" s="864"/>
      <c r="FE105" s="855"/>
      <c r="FF105" s="864"/>
      <c r="FG105" s="864"/>
      <c r="FH105" s="864"/>
      <c r="FI105" s="864"/>
      <c r="FJ105" s="864"/>
      <c r="FK105" s="852"/>
      <c r="FL105" s="852"/>
      <c r="FM105" s="855"/>
      <c r="FN105" s="855"/>
      <c r="FO105" s="855"/>
      <c r="FP105" s="980"/>
      <c r="FQ105" s="855"/>
      <c r="FR105" s="864"/>
      <c r="FS105" s="864"/>
      <c r="FT105" s="864"/>
      <c r="FU105" s="864"/>
      <c r="FV105" s="864"/>
      <c r="FW105" s="864"/>
      <c r="FX105" s="864"/>
      <c r="FY105" s="864"/>
      <c r="FZ105" s="864"/>
      <c r="GA105" s="855"/>
      <c r="GB105" s="855"/>
      <c r="GC105" s="855" t="s">
        <v>504</v>
      </c>
      <c r="GD105" s="855"/>
      <c r="GE105" s="855"/>
      <c r="GF105" s="855"/>
      <c r="GG105" s="855"/>
      <c r="GH105" s="864"/>
      <c r="GI105" s="864"/>
      <c r="GJ105" s="864"/>
      <c r="GK105" s="864"/>
      <c r="GL105" s="864"/>
      <c r="GM105" s="864"/>
      <c r="GN105" s="864"/>
      <c r="GO105" s="859" t="s">
        <v>3432</v>
      </c>
      <c r="GP105" s="866"/>
      <c r="GQ105" s="867"/>
      <c r="GR105" s="864"/>
      <c r="GS105" s="864"/>
      <c r="GT105" s="864"/>
      <c r="GU105" s="864"/>
      <c r="GV105" s="864"/>
      <c r="GW105" s="864"/>
      <c r="GX105" s="864"/>
      <c r="GY105" s="864"/>
      <c r="GZ105" s="864"/>
      <c r="HA105" s="864"/>
      <c r="HB105" s="864"/>
      <c r="HC105" s="864"/>
      <c r="HD105" s="864"/>
      <c r="HE105" s="855"/>
      <c r="HF105" s="855"/>
      <c r="HG105" s="864"/>
      <c r="HH105" s="858"/>
      <c r="HI105" s="855"/>
      <c r="HJ105" s="855"/>
      <c r="HK105" s="858"/>
      <c r="HL105" s="864"/>
      <c r="HM105" s="864"/>
      <c r="HN105" s="864"/>
      <c r="HO105" s="861"/>
      <c r="HP105" s="855"/>
      <c r="HQ105" s="855"/>
      <c r="HR105" s="862"/>
      <c r="HS105" s="855"/>
      <c r="HT105" s="855"/>
      <c r="HU105" s="855"/>
      <c r="HV105" s="1000"/>
      <c r="HW105" s="855"/>
      <c r="HX105" s="855"/>
      <c r="HY105" s="855"/>
      <c r="HZ105" s="855"/>
      <c r="IA105" s="855"/>
      <c r="IB105" s="855"/>
      <c r="IC105" s="855"/>
      <c r="ID105" s="855"/>
      <c r="IE105" s="855"/>
      <c r="IF105" s="855"/>
      <c r="IG105" s="862"/>
      <c r="IH105" s="855" t="s">
        <v>3737</v>
      </c>
      <c r="II105" s="855"/>
      <c r="IJ105" s="862" t="s">
        <v>465</v>
      </c>
      <c r="IK105" s="855"/>
      <c r="IL105" s="869"/>
      <c r="IM105" s="855"/>
      <c r="IN105" s="855"/>
      <c r="IO105" s="864"/>
      <c r="IP105" s="864"/>
      <c r="IQ105" s="864"/>
      <c r="IR105" s="862" t="s">
        <v>504</v>
      </c>
      <c r="IS105" s="855"/>
      <c r="IT105" s="855"/>
      <c r="IU105" s="855"/>
      <c r="IV105" s="855"/>
      <c r="IW105" s="855"/>
      <c r="IX105" s="858"/>
      <c r="IY105" s="855"/>
      <c r="IZ105" s="855"/>
      <c r="JA105" s="855"/>
      <c r="JB105" s="855"/>
      <c r="JC105" s="855"/>
      <c r="JD105" s="855"/>
      <c r="JE105" s="855"/>
      <c r="JF105" s="858"/>
      <c r="JG105" s="855"/>
      <c r="JH105" s="855"/>
      <c r="JI105" s="855"/>
      <c r="JJ105" s="855"/>
      <c r="JK105" s="855"/>
      <c r="JL105" s="864"/>
      <c r="JM105" s="855"/>
      <c r="JN105" s="855"/>
      <c r="JO105" s="855"/>
      <c r="JP105" s="855"/>
      <c r="JQ105" s="858"/>
      <c r="JR105" s="855"/>
      <c r="JS105" s="855"/>
      <c r="JT105" s="855"/>
      <c r="JU105" s="855"/>
      <c r="JV105" s="855"/>
      <c r="JW105" s="855"/>
      <c r="JX105" s="855"/>
      <c r="JY105" s="855"/>
      <c r="JZ105" s="855"/>
      <c r="KA105" s="855"/>
      <c r="KB105" s="855"/>
      <c r="KC105" s="855"/>
      <c r="KD105" s="855"/>
      <c r="KE105" s="862" t="s">
        <v>504</v>
      </c>
      <c r="KF105" s="862" t="s">
        <v>504</v>
      </c>
      <c r="KG105" s="862" t="s">
        <v>504</v>
      </c>
      <c r="KH105" s="862" t="s">
        <v>504</v>
      </c>
      <c r="KI105" s="862" t="s">
        <v>504</v>
      </c>
      <c r="KJ105" s="862" t="s">
        <v>504</v>
      </c>
      <c r="KK105" s="862" t="s">
        <v>504</v>
      </c>
      <c r="KL105" s="855" t="s">
        <v>504</v>
      </c>
      <c r="KM105" s="864"/>
      <c r="KN105" s="864"/>
      <c r="KO105" s="864"/>
      <c r="KP105" s="864"/>
      <c r="KQ105" s="864"/>
      <c r="KR105" s="855"/>
      <c r="KS105" s="864"/>
      <c r="KT105" s="855"/>
      <c r="KU105" s="864"/>
      <c r="KV105" s="855"/>
      <c r="KW105" s="855"/>
      <c r="KX105" s="855"/>
      <c r="KY105" s="858"/>
      <c r="KZ105" s="855" t="s">
        <v>4508</v>
      </c>
      <c r="LA105" s="855"/>
      <c r="LB105" s="855"/>
      <c r="LC105" s="855"/>
      <c r="LD105" s="855"/>
      <c r="LE105" s="855"/>
      <c r="LF105" s="858"/>
      <c r="LG105" s="858"/>
      <c r="LH105" s="858"/>
      <c r="LI105" s="858"/>
      <c r="LJ105" s="858"/>
      <c r="LK105" s="858"/>
      <c r="LL105" s="858"/>
      <c r="LM105" s="858"/>
      <c r="LN105" s="858"/>
      <c r="LO105" s="858"/>
      <c r="LP105" s="858"/>
      <c r="LQ105" s="858"/>
      <c r="LR105" s="858"/>
      <c r="LS105" s="858"/>
      <c r="LT105" s="858"/>
      <c r="LU105" s="858"/>
      <c r="LV105" s="858"/>
      <c r="LW105" s="858"/>
      <c r="LX105" s="858"/>
      <c r="LY105" s="858"/>
    </row>
    <row r="106" spans="1:337" ht="16.5" thickBot="1" x14ac:dyDescent="0.3">
      <c r="A106" s="1584"/>
      <c r="B106" s="1587"/>
      <c r="C106" s="1603"/>
      <c r="D106" s="1599"/>
      <c r="E106" s="850" t="s">
        <v>174</v>
      </c>
      <c r="F106" s="1058"/>
      <c r="G106" s="1058"/>
      <c r="H106" s="864"/>
      <c r="I106" s="864"/>
      <c r="J106" s="864"/>
      <c r="K106" s="864"/>
      <c r="L106" s="864"/>
      <c r="M106" s="864"/>
      <c r="N106" s="852"/>
      <c r="O106" s="864"/>
      <c r="P106" s="864"/>
      <c r="Q106" s="864"/>
      <c r="R106" s="864"/>
      <c r="S106" s="864"/>
      <c r="T106" s="864"/>
      <c r="U106" s="864"/>
      <c r="V106" s="980"/>
      <c r="W106" s="980"/>
      <c r="X106" s="980" t="s">
        <v>465</v>
      </c>
      <c r="Y106" s="980"/>
      <c r="Z106" s="980"/>
      <c r="AA106" s="864"/>
      <c r="AB106" s="864"/>
      <c r="AC106" s="864"/>
      <c r="AD106" s="864"/>
      <c r="AE106" s="864"/>
      <c r="AF106" s="864"/>
      <c r="AG106" s="864"/>
      <c r="AH106" s="864"/>
      <c r="AI106" s="864"/>
      <c r="AJ106" s="864"/>
      <c r="AK106" s="864"/>
      <c r="AL106" s="864"/>
      <c r="AM106" s="864"/>
      <c r="AN106" s="864"/>
      <c r="AO106" s="864"/>
      <c r="AP106" s="864"/>
      <c r="AQ106" s="864"/>
      <c r="AR106" s="864"/>
      <c r="AS106" s="864"/>
      <c r="AT106" s="864"/>
      <c r="AU106" s="864"/>
      <c r="AV106" s="980"/>
      <c r="AW106" s="980"/>
      <c r="AX106" s="864"/>
      <c r="AY106" s="864"/>
      <c r="AZ106" s="864"/>
      <c r="BA106" s="852"/>
      <c r="BB106" s="855"/>
      <c r="BC106" s="980"/>
      <c r="BD106" s="855"/>
      <c r="BE106" s="864"/>
      <c r="BF106" s="864"/>
      <c r="BG106" s="864"/>
      <c r="BH106" s="864"/>
      <c r="BI106" s="864"/>
      <c r="BJ106" s="864"/>
      <c r="BK106" s="864"/>
      <c r="BL106" s="864"/>
      <c r="BM106" s="864"/>
      <c r="BN106" s="864"/>
      <c r="BO106" s="864"/>
      <c r="BP106" s="864"/>
      <c r="BQ106" s="864"/>
      <c r="BR106" s="864"/>
      <c r="BS106" s="864"/>
      <c r="BT106" s="980"/>
      <c r="BU106" s="980"/>
      <c r="BV106" s="980"/>
      <c r="BW106" s="980"/>
      <c r="BX106" s="864"/>
      <c r="BY106" s="864"/>
      <c r="BZ106" s="864"/>
      <c r="CA106" s="864"/>
      <c r="CB106" s="864"/>
      <c r="CC106" s="998"/>
      <c r="CD106" s="864"/>
      <c r="CE106" s="864"/>
      <c r="CF106" s="864"/>
      <c r="CG106" s="864"/>
      <c r="CH106" s="864"/>
      <c r="CI106" s="864"/>
      <c r="CJ106" s="864"/>
      <c r="CK106" s="980"/>
      <c r="CL106" s="980"/>
      <c r="CM106" s="864"/>
      <c r="CN106" s="864"/>
      <c r="CO106" s="864"/>
      <c r="CP106" s="864"/>
      <c r="CQ106" s="864"/>
      <c r="CR106" s="864"/>
      <c r="CS106" s="864"/>
      <c r="CT106" s="864"/>
      <c r="CU106" s="864"/>
      <c r="CV106" s="864"/>
      <c r="CW106" s="864"/>
      <c r="CX106" s="864"/>
      <c r="CY106" s="864"/>
      <c r="CZ106" s="864"/>
      <c r="DA106" s="864"/>
      <c r="DB106" s="864"/>
      <c r="DC106" s="864"/>
      <c r="DD106" s="864"/>
      <c r="DE106" s="864"/>
      <c r="DF106" s="980"/>
      <c r="DG106" s="864"/>
      <c r="DH106" s="980"/>
      <c r="DI106" s="980"/>
      <c r="DJ106" s="980"/>
      <c r="DK106" s="980"/>
      <c r="DL106" s="980"/>
      <c r="DM106" s="980"/>
      <c r="DN106" s="864"/>
      <c r="DO106" s="864"/>
      <c r="DP106" s="980"/>
      <c r="DQ106" s="864"/>
      <c r="DR106" s="864"/>
      <c r="DS106" s="864"/>
      <c r="DT106" s="864"/>
      <c r="DU106" s="864"/>
      <c r="DV106" s="864"/>
      <c r="DW106" s="864"/>
      <c r="DX106" s="864"/>
      <c r="DY106" s="864"/>
      <c r="DZ106" s="864"/>
      <c r="EA106" s="864"/>
      <c r="EB106" s="864"/>
      <c r="EC106" s="864"/>
      <c r="ED106" s="864"/>
      <c r="EE106" s="864"/>
      <c r="EF106" s="980"/>
      <c r="EG106" s="980"/>
      <c r="EH106" s="980"/>
      <c r="EI106" s="855"/>
      <c r="EJ106" s="999"/>
      <c r="EK106" s="999"/>
      <c r="EL106" s="999"/>
      <c r="EM106" s="853"/>
      <c r="EN106" s="999"/>
      <c r="EO106" s="999"/>
      <c r="EP106" s="999"/>
      <c r="EQ106" s="999"/>
      <c r="ER106" s="999"/>
      <c r="ES106" s="999"/>
      <c r="ET106" s="999"/>
      <c r="EU106" s="864"/>
      <c r="EV106" s="864"/>
      <c r="EW106" s="980"/>
      <c r="EX106" s="864"/>
      <c r="EY106" s="864"/>
      <c r="EZ106" s="864"/>
      <c r="FA106" s="864"/>
      <c r="FB106" s="864"/>
      <c r="FC106" s="864"/>
      <c r="FD106" s="864"/>
      <c r="FE106" s="980"/>
      <c r="FF106" s="864"/>
      <c r="FG106" s="864"/>
      <c r="FH106" s="864"/>
      <c r="FI106" s="864"/>
      <c r="FJ106" s="864"/>
      <c r="FK106" s="1000"/>
      <c r="FL106" s="1000"/>
      <c r="FM106" s="980"/>
      <c r="FN106" s="980"/>
      <c r="FO106" s="980"/>
      <c r="FP106" s="980"/>
      <c r="FQ106" s="980"/>
      <c r="FR106" s="864"/>
      <c r="FS106" s="864"/>
      <c r="FT106" s="864"/>
      <c r="FU106" s="864"/>
      <c r="FV106" s="864"/>
      <c r="FW106" s="864"/>
      <c r="FX106" s="864"/>
      <c r="FY106" s="864"/>
      <c r="FZ106" s="864"/>
      <c r="GA106" s="980"/>
      <c r="GB106" s="980"/>
      <c r="GC106" s="980"/>
      <c r="GD106" s="980"/>
      <c r="GE106" s="980"/>
      <c r="GF106" s="980"/>
      <c r="GG106" s="980"/>
      <c r="GH106" s="864"/>
      <c r="GI106" s="864"/>
      <c r="GJ106" s="864"/>
      <c r="GK106" s="864"/>
      <c r="GL106" s="864"/>
      <c r="GM106" s="864"/>
      <c r="GN106" s="864"/>
      <c r="GO106" s="1001">
        <v>1209</v>
      </c>
      <c r="GP106" s="1002"/>
      <c r="GQ106" s="867"/>
      <c r="GR106" s="864"/>
      <c r="GS106" s="864"/>
      <c r="GT106" s="864"/>
      <c r="GU106" s="864"/>
      <c r="GV106" s="864"/>
      <c r="GW106" s="864"/>
      <c r="GX106" s="864"/>
      <c r="GY106" s="864"/>
      <c r="GZ106" s="864"/>
      <c r="HA106" s="864"/>
      <c r="HB106" s="864"/>
      <c r="HC106" s="864"/>
      <c r="HD106" s="864"/>
      <c r="HE106" s="980"/>
      <c r="HF106" s="980"/>
      <c r="HG106" s="864"/>
      <c r="HH106" s="999"/>
      <c r="HI106" s="980"/>
      <c r="HJ106" s="980"/>
      <c r="HK106" s="999"/>
      <c r="HL106" s="864"/>
      <c r="HM106" s="864"/>
      <c r="HN106" s="864"/>
      <c r="HO106" s="1004"/>
      <c r="HP106" s="980"/>
      <c r="HQ106" s="980"/>
      <c r="HR106" s="998"/>
      <c r="HS106" s="980"/>
      <c r="HT106" s="980"/>
      <c r="HU106" s="980"/>
      <c r="HV106" s="852"/>
      <c r="HW106" s="980"/>
      <c r="HX106" s="980"/>
      <c r="HY106" s="980"/>
      <c r="HZ106" s="980"/>
      <c r="IA106" s="980"/>
      <c r="IB106" s="980"/>
      <c r="IC106" s="980"/>
      <c r="ID106" s="980"/>
      <c r="IE106" s="980"/>
      <c r="IF106" s="980"/>
      <c r="IG106" s="998"/>
      <c r="IH106" s="980">
        <v>2</v>
      </c>
      <c r="II106" s="980"/>
      <c r="IJ106" s="998" t="s">
        <v>465</v>
      </c>
      <c r="IK106" s="980"/>
      <c r="IL106" s="980"/>
      <c r="IM106" s="980"/>
      <c r="IN106" s="980"/>
      <c r="IO106" s="864"/>
      <c r="IP106" s="864"/>
      <c r="IQ106" s="864"/>
      <c r="IR106" s="998"/>
      <c r="IS106" s="980"/>
      <c r="IT106" s="980"/>
      <c r="IU106" s="980"/>
      <c r="IV106" s="980"/>
      <c r="IW106" s="980"/>
      <c r="IX106" s="999"/>
      <c r="IY106" s="980"/>
      <c r="IZ106" s="980"/>
      <c r="JA106" s="980">
        <v>0</v>
      </c>
      <c r="JB106" s="980"/>
      <c r="JC106" s="980"/>
      <c r="JD106" s="980"/>
      <c r="JE106" s="980"/>
      <c r="JF106" s="999"/>
      <c r="JG106" s="980"/>
      <c r="JH106" s="980"/>
      <c r="JI106" s="980"/>
      <c r="JJ106" s="980"/>
      <c r="JK106" s="980"/>
      <c r="JL106" s="980"/>
      <c r="JM106" s="980"/>
      <c r="JN106" s="980"/>
      <c r="JO106" s="980"/>
      <c r="JP106" s="855"/>
      <c r="JQ106" s="999"/>
      <c r="JR106" s="980"/>
      <c r="JS106" s="980"/>
      <c r="JT106" s="980"/>
      <c r="JU106" s="980"/>
      <c r="JV106" s="980"/>
      <c r="JW106" s="980"/>
      <c r="JX106" s="980"/>
      <c r="JY106" s="980"/>
      <c r="JZ106" s="980"/>
      <c r="KA106" s="980"/>
      <c r="KB106" s="980"/>
      <c r="KC106" s="980"/>
      <c r="KD106" s="980"/>
      <c r="KE106" s="998"/>
      <c r="KF106" s="998"/>
      <c r="KG106" s="998"/>
      <c r="KH106" s="998"/>
      <c r="KI106" s="998"/>
      <c r="KJ106" s="998"/>
      <c r="KK106" s="998"/>
      <c r="KL106" s="980"/>
      <c r="KM106" s="864"/>
      <c r="KN106" s="864"/>
      <c r="KO106" s="864"/>
      <c r="KP106" s="864"/>
      <c r="KQ106" s="864"/>
      <c r="KR106" s="980"/>
      <c r="KS106" s="864"/>
      <c r="KT106" s="980"/>
      <c r="KU106" s="864"/>
      <c r="KV106" s="980"/>
      <c r="KW106" s="980"/>
      <c r="KX106" s="980"/>
      <c r="KY106" s="858"/>
      <c r="KZ106" s="980">
        <v>2</v>
      </c>
      <c r="LA106" s="980"/>
      <c r="LB106" s="980"/>
      <c r="LC106" s="980"/>
      <c r="LD106" s="980"/>
      <c r="LE106" s="980"/>
      <c r="LF106" s="999"/>
      <c r="LG106" s="999"/>
      <c r="LH106" s="999"/>
      <c r="LI106" s="999"/>
      <c r="LJ106" s="999"/>
      <c r="LK106" s="999"/>
      <c r="LL106" s="999"/>
      <c r="LM106" s="999"/>
      <c r="LN106" s="999">
        <v>4</v>
      </c>
      <c r="LO106" s="999"/>
      <c r="LP106" s="999"/>
      <c r="LQ106" s="999"/>
      <c r="LR106" s="999"/>
      <c r="LS106" s="999"/>
      <c r="LT106" s="999"/>
      <c r="LU106" s="999"/>
      <c r="LV106" s="999"/>
      <c r="LW106" s="999"/>
      <c r="LX106" s="999"/>
      <c r="LY106" s="999"/>
    </row>
    <row r="107" spans="1:337" ht="15.75" customHeight="1" x14ac:dyDescent="0.25">
      <c r="A107" s="1584"/>
      <c r="B107" s="1587"/>
      <c r="C107" s="1594" t="s">
        <v>238</v>
      </c>
      <c r="D107" s="1601" t="s">
        <v>145</v>
      </c>
      <c r="E107" s="849" t="s">
        <v>171</v>
      </c>
      <c r="F107" s="1058"/>
      <c r="G107" s="1058"/>
      <c r="H107" s="864"/>
      <c r="I107" s="864"/>
      <c r="J107" s="864"/>
      <c r="K107" s="864"/>
      <c r="L107" s="864"/>
      <c r="M107" s="864"/>
      <c r="N107" s="852" t="s">
        <v>500</v>
      </c>
      <c r="O107" s="864"/>
      <c r="P107" s="864"/>
      <c r="Q107" s="864"/>
      <c r="R107" s="864"/>
      <c r="S107" s="864"/>
      <c r="T107" s="864"/>
      <c r="U107" s="864"/>
      <c r="V107" s="855" t="s">
        <v>479</v>
      </c>
      <c r="W107" s="855" t="s">
        <v>479</v>
      </c>
      <c r="X107" s="855" t="s">
        <v>479</v>
      </c>
      <c r="Y107" s="855" t="s">
        <v>479</v>
      </c>
      <c r="Z107" s="855"/>
      <c r="AA107" s="864"/>
      <c r="AB107" s="864"/>
      <c r="AC107" s="864"/>
      <c r="AD107" s="864"/>
      <c r="AE107" s="864"/>
      <c r="AF107" s="864"/>
      <c r="AG107" s="864"/>
      <c r="AH107" s="864"/>
      <c r="AI107" s="864"/>
      <c r="AJ107" s="864"/>
      <c r="AK107" s="864"/>
      <c r="AL107" s="864"/>
      <c r="AM107" s="864"/>
      <c r="AN107" s="864"/>
      <c r="AO107" s="864"/>
      <c r="AP107" s="864"/>
      <c r="AQ107" s="864"/>
      <c r="AR107" s="864"/>
      <c r="AS107" s="864"/>
      <c r="AT107" s="864"/>
      <c r="AU107" s="864"/>
      <c r="AV107" s="855" t="s">
        <v>504</v>
      </c>
      <c r="AW107" s="855" t="s">
        <v>500</v>
      </c>
      <c r="AX107" s="864"/>
      <c r="AY107" s="864"/>
      <c r="AZ107" s="864"/>
      <c r="BA107" s="852"/>
      <c r="BB107" s="980" t="s">
        <v>504</v>
      </c>
      <c r="BC107" s="855"/>
      <c r="BD107" s="980"/>
      <c r="BE107" s="864"/>
      <c r="BF107" s="864"/>
      <c r="BG107" s="864"/>
      <c r="BH107" s="864"/>
      <c r="BI107" s="864"/>
      <c r="BJ107" s="864"/>
      <c r="BK107" s="864"/>
      <c r="BL107" s="864"/>
      <c r="BM107" s="864"/>
      <c r="BN107" s="864"/>
      <c r="BO107" s="864"/>
      <c r="BP107" s="864"/>
      <c r="BQ107" s="864"/>
      <c r="BR107" s="864"/>
      <c r="BS107" s="864"/>
      <c r="BT107" s="855" t="s">
        <v>504</v>
      </c>
      <c r="BU107" s="855"/>
      <c r="BV107" s="855" t="s">
        <v>504</v>
      </c>
      <c r="BW107" s="855" t="s">
        <v>500</v>
      </c>
      <c r="BX107" s="864"/>
      <c r="BY107" s="864"/>
      <c r="BZ107" s="864"/>
      <c r="CA107" s="864"/>
      <c r="CB107" s="864"/>
      <c r="CC107" s="862"/>
      <c r="CD107" s="864"/>
      <c r="CE107" s="864"/>
      <c r="CF107" s="864"/>
      <c r="CG107" s="864"/>
      <c r="CH107" s="864"/>
      <c r="CI107" s="864"/>
      <c r="CJ107" s="864"/>
      <c r="CK107" s="855"/>
      <c r="CL107" s="855"/>
      <c r="CM107" s="864"/>
      <c r="CN107" s="864"/>
      <c r="CO107" s="864"/>
      <c r="CP107" s="864"/>
      <c r="CQ107" s="864"/>
      <c r="CR107" s="864"/>
      <c r="CS107" s="864"/>
      <c r="CT107" s="864"/>
      <c r="CU107" s="864"/>
      <c r="CV107" s="864"/>
      <c r="CW107" s="864"/>
      <c r="CX107" s="864"/>
      <c r="CY107" s="864"/>
      <c r="CZ107" s="864"/>
      <c r="DA107" s="864"/>
      <c r="DB107" s="864"/>
      <c r="DC107" s="864"/>
      <c r="DD107" s="864"/>
      <c r="DE107" s="864"/>
      <c r="DF107" s="855"/>
      <c r="DG107" s="864"/>
      <c r="DH107" s="855" t="s">
        <v>504</v>
      </c>
      <c r="DI107" s="855"/>
      <c r="DJ107" s="855"/>
      <c r="DK107" s="855"/>
      <c r="DL107" s="855" t="s">
        <v>500</v>
      </c>
      <c r="DM107" s="855"/>
      <c r="DN107" s="864"/>
      <c r="DO107" s="864"/>
      <c r="DP107" s="855"/>
      <c r="DQ107" s="864"/>
      <c r="DR107" s="864"/>
      <c r="DS107" s="864"/>
      <c r="DT107" s="864"/>
      <c r="DU107" s="864"/>
      <c r="DV107" s="864"/>
      <c r="DW107" s="864"/>
      <c r="DX107" s="864"/>
      <c r="DY107" s="864"/>
      <c r="DZ107" s="864"/>
      <c r="EA107" s="864"/>
      <c r="EB107" s="864"/>
      <c r="EC107" s="864"/>
      <c r="ED107" s="864"/>
      <c r="EE107" s="864"/>
      <c r="EF107" s="855" t="s">
        <v>504</v>
      </c>
      <c r="EG107" s="855" t="s">
        <v>504</v>
      </c>
      <c r="EH107" s="855" t="s">
        <v>504</v>
      </c>
      <c r="EI107" s="855" t="s">
        <v>504</v>
      </c>
      <c r="EJ107" s="858" t="s">
        <v>504</v>
      </c>
      <c r="EK107" s="858" t="s">
        <v>504</v>
      </c>
      <c r="EL107" s="999" t="s">
        <v>504</v>
      </c>
      <c r="EM107" s="999" t="s">
        <v>504</v>
      </c>
      <c r="EN107" s="858"/>
      <c r="EO107" s="858" t="s">
        <v>500</v>
      </c>
      <c r="EP107" s="858" t="s">
        <v>504</v>
      </c>
      <c r="EQ107" s="858" t="s">
        <v>504</v>
      </c>
      <c r="ER107" s="858"/>
      <c r="ES107" s="858"/>
      <c r="ET107" s="858" t="s">
        <v>504</v>
      </c>
      <c r="EU107" s="864"/>
      <c r="EV107" s="864"/>
      <c r="EW107" s="855" t="s">
        <v>500</v>
      </c>
      <c r="EX107" s="864"/>
      <c r="EY107" s="864"/>
      <c r="EZ107" s="864"/>
      <c r="FA107" s="864"/>
      <c r="FB107" s="864"/>
      <c r="FC107" s="864"/>
      <c r="FD107" s="864"/>
      <c r="FE107" s="855" t="s">
        <v>471</v>
      </c>
      <c r="FF107" s="864"/>
      <c r="FG107" s="864"/>
      <c r="FH107" s="864"/>
      <c r="FI107" s="864"/>
      <c r="FJ107" s="864"/>
      <c r="FK107" s="852" t="s">
        <v>500</v>
      </c>
      <c r="FL107" s="852" t="s">
        <v>504</v>
      </c>
      <c r="FM107" s="855" t="s">
        <v>500</v>
      </c>
      <c r="FN107" s="855"/>
      <c r="FO107" s="855"/>
      <c r="FP107" s="980" t="s">
        <v>504</v>
      </c>
      <c r="FQ107" s="855"/>
      <c r="FR107" s="864"/>
      <c r="FS107" s="864"/>
      <c r="FT107" s="864"/>
      <c r="FU107" s="864"/>
      <c r="FV107" s="864"/>
      <c r="FW107" s="864"/>
      <c r="FX107" s="864"/>
      <c r="FY107" s="864"/>
      <c r="FZ107" s="864"/>
      <c r="GA107" s="855"/>
      <c r="GB107" s="855" t="s">
        <v>504</v>
      </c>
      <c r="GC107" s="855" t="s">
        <v>656</v>
      </c>
      <c r="GD107" s="855" t="s">
        <v>504</v>
      </c>
      <c r="GE107" s="855" t="s">
        <v>500</v>
      </c>
      <c r="GF107" s="855"/>
      <c r="GG107" s="855" t="s">
        <v>500</v>
      </c>
      <c r="GH107" s="864"/>
      <c r="GI107" s="864"/>
      <c r="GJ107" s="864"/>
      <c r="GK107" s="864"/>
      <c r="GL107" s="864"/>
      <c r="GM107" s="864"/>
      <c r="GN107" s="864"/>
      <c r="GO107" s="859" t="s">
        <v>504</v>
      </c>
      <c r="GP107" s="866" t="s">
        <v>504</v>
      </c>
      <c r="GQ107" s="860" t="s">
        <v>500</v>
      </c>
      <c r="GR107" s="864"/>
      <c r="GS107" s="864"/>
      <c r="GT107" s="864"/>
      <c r="GU107" s="864"/>
      <c r="GV107" s="864"/>
      <c r="GW107" s="864"/>
      <c r="GX107" s="864"/>
      <c r="GY107" s="864"/>
      <c r="GZ107" s="864"/>
      <c r="HA107" s="864"/>
      <c r="HB107" s="864"/>
      <c r="HC107" s="864"/>
      <c r="HD107" s="864"/>
      <c r="HE107" s="855" t="s">
        <v>500</v>
      </c>
      <c r="HF107" s="855" t="s">
        <v>504</v>
      </c>
      <c r="HG107" s="864"/>
      <c r="HH107" s="858" t="s">
        <v>504</v>
      </c>
      <c r="HI107" s="855"/>
      <c r="HJ107" s="855" t="s">
        <v>504</v>
      </c>
      <c r="HK107" s="858" t="s">
        <v>504</v>
      </c>
      <c r="HL107" s="864"/>
      <c r="HM107" s="864"/>
      <c r="HN107" s="864"/>
      <c r="HO107" s="861" t="s">
        <v>500</v>
      </c>
      <c r="HP107" s="855" t="s">
        <v>504</v>
      </c>
      <c r="HQ107" s="855" t="s">
        <v>504</v>
      </c>
      <c r="HR107" s="862" t="s">
        <v>504</v>
      </c>
      <c r="HS107" s="855" t="s">
        <v>504</v>
      </c>
      <c r="HT107" s="855" t="s">
        <v>504</v>
      </c>
      <c r="HU107" s="855" t="s">
        <v>504</v>
      </c>
      <c r="HV107" s="852" t="s">
        <v>504</v>
      </c>
      <c r="HW107" s="855" t="s">
        <v>504</v>
      </c>
      <c r="HX107" s="855" t="s">
        <v>504</v>
      </c>
      <c r="HY107" s="855" t="s">
        <v>504</v>
      </c>
      <c r="HZ107" s="855" t="s">
        <v>504</v>
      </c>
      <c r="IA107" s="855" t="s">
        <v>504</v>
      </c>
      <c r="IB107" s="855" t="s">
        <v>504</v>
      </c>
      <c r="IC107" s="855" t="s">
        <v>504</v>
      </c>
      <c r="ID107" s="855" t="s">
        <v>504</v>
      </c>
      <c r="IE107" s="855"/>
      <c r="IF107" s="855" t="s">
        <v>504</v>
      </c>
      <c r="IG107" s="862" t="s">
        <v>504</v>
      </c>
      <c r="IH107" s="855" t="s">
        <v>504</v>
      </c>
      <c r="II107" s="855" t="s">
        <v>504</v>
      </c>
      <c r="IJ107" s="862" t="s">
        <v>504</v>
      </c>
      <c r="IK107" s="855" t="s">
        <v>504</v>
      </c>
      <c r="IL107" s="855" t="s">
        <v>500</v>
      </c>
      <c r="IM107" s="855"/>
      <c r="IN107" s="855" t="s">
        <v>504</v>
      </c>
      <c r="IO107" s="864"/>
      <c r="IP107" s="864"/>
      <c r="IQ107" s="864"/>
      <c r="IR107" s="862" t="s">
        <v>500</v>
      </c>
      <c r="IS107" s="855"/>
      <c r="IT107" s="855"/>
      <c r="IU107" s="855" t="s">
        <v>504</v>
      </c>
      <c r="IV107" s="855" t="s">
        <v>500</v>
      </c>
      <c r="IW107" s="855" t="s">
        <v>504</v>
      </c>
      <c r="IX107" s="858" t="s">
        <v>504</v>
      </c>
      <c r="IY107" s="855" t="s">
        <v>504</v>
      </c>
      <c r="IZ107" s="855" t="s">
        <v>3959</v>
      </c>
      <c r="JA107" s="855" t="s">
        <v>504</v>
      </c>
      <c r="JB107" s="855" t="s">
        <v>500</v>
      </c>
      <c r="JC107" s="855" t="s">
        <v>504</v>
      </c>
      <c r="JD107" s="855" t="s">
        <v>504</v>
      </c>
      <c r="JE107" s="855" t="s">
        <v>504</v>
      </c>
      <c r="JF107" s="858" t="s">
        <v>504</v>
      </c>
      <c r="JG107" s="855" t="s">
        <v>504</v>
      </c>
      <c r="JH107" s="855"/>
      <c r="JI107" s="855" t="s">
        <v>479</v>
      </c>
      <c r="JJ107" s="855"/>
      <c r="JK107" s="855"/>
      <c r="JL107" s="855" t="s">
        <v>504</v>
      </c>
      <c r="JM107" s="855" t="s">
        <v>504</v>
      </c>
      <c r="JN107" s="855" t="s">
        <v>504</v>
      </c>
      <c r="JO107" s="855" t="s">
        <v>504</v>
      </c>
      <c r="JP107" s="980" t="s">
        <v>504</v>
      </c>
      <c r="JQ107" s="858" t="s">
        <v>504</v>
      </c>
      <c r="JR107" s="855" t="s">
        <v>504</v>
      </c>
      <c r="JS107" s="855"/>
      <c r="JT107" s="855" t="s">
        <v>500</v>
      </c>
      <c r="JU107" s="855"/>
      <c r="JV107" s="855" t="s">
        <v>504</v>
      </c>
      <c r="JW107" s="855" t="s">
        <v>500</v>
      </c>
      <c r="JX107" s="855"/>
      <c r="JY107" s="855" t="s">
        <v>500</v>
      </c>
      <c r="JZ107" s="855" t="s">
        <v>504</v>
      </c>
      <c r="KA107" s="855"/>
      <c r="KB107" s="855"/>
      <c r="KC107" s="855"/>
      <c r="KD107" s="855" t="s">
        <v>504</v>
      </c>
      <c r="KE107" s="862" t="s">
        <v>504</v>
      </c>
      <c r="KF107" s="862" t="s">
        <v>504</v>
      </c>
      <c r="KG107" s="862" t="s">
        <v>504</v>
      </c>
      <c r="KH107" s="862" t="s">
        <v>504</v>
      </c>
      <c r="KI107" s="862" t="s">
        <v>504</v>
      </c>
      <c r="KJ107" s="862" t="s">
        <v>504</v>
      </c>
      <c r="KK107" s="862" t="s">
        <v>504</v>
      </c>
      <c r="KL107" s="855" t="s">
        <v>504</v>
      </c>
      <c r="KM107" s="864"/>
      <c r="KN107" s="864"/>
      <c r="KO107" s="864"/>
      <c r="KP107" s="864"/>
      <c r="KQ107" s="864"/>
      <c r="KR107" s="855" t="s">
        <v>504</v>
      </c>
      <c r="KS107" s="864"/>
      <c r="KT107" s="855" t="s">
        <v>500</v>
      </c>
      <c r="KU107" s="864"/>
      <c r="KV107" s="855" t="s">
        <v>500</v>
      </c>
      <c r="KW107" s="855"/>
      <c r="KX107" s="855" t="s">
        <v>500</v>
      </c>
      <c r="KY107" s="858" t="s">
        <v>500</v>
      </c>
      <c r="KZ107" s="855"/>
      <c r="LA107" s="855" t="s">
        <v>500</v>
      </c>
      <c r="LB107" s="855" t="s">
        <v>500</v>
      </c>
      <c r="LC107" s="855" t="s">
        <v>500</v>
      </c>
      <c r="LD107" s="855" t="s">
        <v>504</v>
      </c>
      <c r="LE107" s="855" t="s">
        <v>504</v>
      </c>
      <c r="LF107" s="858" t="s">
        <v>504</v>
      </c>
      <c r="LG107" s="858"/>
      <c r="LH107" s="858"/>
      <c r="LI107" s="858"/>
      <c r="LJ107" s="858"/>
      <c r="LK107" s="858"/>
      <c r="LL107" s="858"/>
      <c r="LM107" s="858"/>
      <c r="LN107" s="858" t="s">
        <v>504</v>
      </c>
      <c r="LO107" s="858"/>
      <c r="LP107" s="858" t="s">
        <v>504</v>
      </c>
      <c r="LQ107" s="858"/>
      <c r="LR107" s="858"/>
      <c r="LS107" s="858"/>
      <c r="LT107" s="858" t="s">
        <v>504</v>
      </c>
      <c r="LU107" s="858"/>
      <c r="LV107" s="858"/>
      <c r="LW107" s="858"/>
      <c r="LX107" s="858"/>
      <c r="LY107" s="858"/>
    </row>
    <row r="108" spans="1:337" ht="406.35" customHeight="1" x14ac:dyDescent="0.25">
      <c r="A108" s="1584"/>
      <c r="B108" s="1587"/>
      <c r="C108" s="1600"/>
      <c r="D108" s="1602"/>
      <c r="E108" s="847" t="s">
        <v>172</v>
      </c>
      <c r="F108" s="1058"/>
      <c r="G108" s="1058"/>
      <c r="H108" s="864"/>
      <c r="I108" s="864"/>
      <c r="J108" s="864"/>
      <c r="K108" s="864"/>
      <c r="L108" s="864"/>
      <c r="M108" s="864"/>
      <c r="N108" s="852" t="s">
        <v>2654</v>
      </c>
      <c r="O108" s="864"/>
      <c r="P108" s="864"/>
      <c r="Q108" s="864"/>
      <c r="R108" s="864"/>
      <c r="S108" s="864"/>
      <c r="T108" s="864"/>
      <c r="U108" s="864"/>
      <c r="V108" s="855"/>
      <c r="W108" s="855"/>
      <c r="X108" s="855"/>
      <c r="Y108" s="855"/>
      <c r="Z108" s="855"/>
      <c r="AA108" s="864"/>
      <c r="AB108" s="864"/>
      <c r="AC108" s="864"/>
      <c r="AD108" s="864"/>
      <c r="AE108" s="864"/>
      <c r="AF108" s="864"/>
      <c r="AG108" s="864"/>
      <c r="AH108" s="864"/>
      <c r="AI108" s="864"/>
      <c r="AJ108" s="864"/>
      <c r="AK108" s="864"/>
      <c r="AL108" s="864"/>
      <c r="AM108" s="864"/>
      <c r="AN108" s="864"/>
      <c r="AO108" s="864"/>
      <c r="AP108" s="864"/>
      <c r="AQ108" s="864"/>
      <c r="AR108" s="864"/>
      <c r="AS108" s="864"/>
      <c r="AT108" s="864"/>
      <c r="AU108" s="864"/>
      <c r="AV108" s="855"/>
      <c r="AW108" s="855" t="s">
        <v>2750</v>
      </c>
      <c r="AX108" s="864"/>
      <c r="AY108" s="864"/>
      <c r="AZ108" s="864"/>
      <c r="BA108" s="852"/>
      <c r="BB108" s="855"/>
      <c r="BC108" s="855"/>
      <c r="BD108" s="855"/>
      <c r="BE108" s="864"/>
      <c r="BF108" s="864"/>
      <c r="BG108" s="864"/>
      <c r="BH108" s="864"/>
      <c r="BI108" s="864"/>
      <c r="BJ108" s="864"/>
      <c r="BK108" s="864"/>
      <c r="BL108" s="864"/>
      <c r="BM108" s="864"/>
      <c r="BN108" s="864"/>
      <c r="BO108" s="864"/>
      <c r="BP108" s="864"/>
      <c r="BQ108" s="864"/>
      <c r="BR108" s="864"/>
      <c r="BS108" s="864"/>
      <c r="BT108" s="855"/>
      <c r="BU108" s="855"/>
      <c r="BV108" s="855"/>
      <c r="BW108" s="855" t="s">
        <v>2860</v>
      </c>
      <c r="BX108" s="864"/>
      <c r="BY108" s="864"/>
      <c r="BZ108" s="864"/>
      <c r="CA108" s="864"/>
      <c r="CB108" s="864"/>
      <c r="CC108" s="862"/>
      <c r="CD108" s="864"/>
      <c r="CE108" s="864"/>
      <c r="CF108" s="864"/>
      <c r="CG108" s="864"/>
      <c r="CH108" s="864"/>
      <c r="CI108" s="864"/>
      <c r="CJ108" s="864"/>
      <c r="CK108" s="855"/>
      <c r="CL108" s="855"/>
      <c r="CM108" s="864"/>
      <c r="CN108" s="864"/>
      <c r="CO108" s="864"/>
      <c r="CP108" s="864"/>
      <c r="CQ108" s="864"/>
      <c r="CR108" s="864"/>
      <c r="CS108" s="864"/>
      <c r="CT108" s="864"/>
      <c r="CU108" s="864"/>
      <c r="CV108" s="864"/>
      <c r="CW108" s="864"/>
      <c r="CX108" s="864"/>
      <c r="CY108" s="864"/>
      <c r="CZ108" s="864"/>
      <c r="DA108" s="864"/>
      <c r="DB108" s="864"/>
      <c r="DC108" s="864"/>
      <c r="DD108" s="864"/>
      <c r="DE108" s="864"/>
      <c r="DF108" s="855"/>
      <c r="DG108" s="864"/>
      <c r="DH108" s="855"/>
      <c r="DI108" s="855"/>
      <c r="DJ108" s="855"/>
      <c r="DK108" s="855"/>
      <c r="DL108" s="855" t="s">
        <v>2967</v>
      </c>
      <c r="DM108" s="855"/>
      <c r="DN108" s="864"/>
      <c r="DO108" s="864"/>
      <c r="DP108" s="855"/>
      <c r="DQ108" s="864"/>
      <c r="DR108" s="864"/>
      <c r="DS108" s="864"/>
      <c r="DT108" s="864"/>
      <c r="DU108" s="864"/>
      <c r="DV108" s="864"/>
      <c r="DW108" s="864"/>
      <c r="DX108" s="864"/>
      <c r="DY108" s="864"/>
      <c r="DZ108" s="864"/>
      <c r="EA108" s="864"/>
      <c r="EB108" s="864"/>
      <c r="EC108" s="864"/>
      <c r="ED108" s="864"/>
      <c r="EE108" s="864"/>
      <c r="EF108" s="855"/>
      <c r="EG108" s="855"/>
      <c r="EH108" s="855"/>
      <c r="EI108" s="855"/>
      <c r="EJ108" s="858"/>
      <c r="EK108" s="858"/>
      <c r="EL108" s="999"/>
      <c r="EM108" s="853"/>
      <c r="EN108" s="858"/>
      <c r="EO108" s="858" t="s">
        <v>1052</v>
      </c>
      <c r="EP108" s="858"/>
      <c r="EQ108" s="858"/>
      <c r="ER108" s="858"/>
      <c r="ES108" s="1054"/>
      <c r="ET108" s="858"/>
      <c r="EU108" s="864"/>
      <c r="EV108" s="864"/>
      <c r="EW108" s="1058" t="s">
        <v>3210</v>
      </c>
      <c r="EX108" s="864"/>
      <c r="EY108" s="864"/>
      <c r="EZ108" s="864"/>
      <c r="FA108" s="864"/>
      <c r="FB108" s="864"/>
      <c r="FC108" s="864"/>
      <c r="FD108" s="864"/>
      <c r="FE108" s="855" t="s">
        <v>3221</v>
      </c>
      <c r="FF108" s="864"/>
      <c r="FG108" s="864"/>
      <c r="FH108" s="864"/>
      <c r="FI108" s="864"/>
      <c r="FJ108" s="864"/>
      <c r="FK108" s="852" t="s">
        <v>3235</v>
      </c>
      <c r="FL108" s="852"/>
      <c r="FM108" s="855" t="s">
        <v>3276</v>
      </c>
      <c r="FN108" s="855"/>
      <c r="FO108" s="855"/>
      <c r="FP108" s="980"/>
      <c r="FQ108" s="855"/>
      <c r="FR108" s="864"/>
      <c r="FS108" s="864"/>
      <c r="FT108" s="864"/>
      <c r="FU108" s="864"/>
      <c r="FV108" s="864"/>
      <c r="FW108" s="864"/>
      <c r="FX108" s="864"/>
      <c r="FY108" s="864"/>
      <c r="FZ108" s="864"/>
      <c r="GA108" s="855"/>
      <c r="GB108" s="855"/>
      <c r="GC108" s="855"/>
      <c r="GD108" s="855"/>
      <c r="GE108" s="855" t="s">
        <v>3398</v>
      </c>
      <c r="GF108" s="855"/>
      <c r="GG108" s="855" t="s">
        <v>3419</v>
      </c>
      <c r="GH108" s="864"/>
      <c r="GI108" s="864"/>
      <c r="GJ108" s="864"/>
      <c r="GK108" s="864"/>
      <c r="GL108" s="864"/>
      <c r="GM108" s="864"/>
      <c r="GN108" s="864"/>
      <c r="GO108" s="859"/>
      <c r="GP108" s="866"/>
      <c r="GQ108" s="860" t="s">
        <v>3461</v>
      </c>
      <c r="GR108" s="864"/>
      <c r="GS108" s="864"/>
      <c r="GT108" s="864"/>
      <c r="GU108" s="864"/>
      <c r="GV108" s="864"/>
      <c r="GW108" s="864"/>
      <c r="GX108" s="864"/>
      <c r="GY108" s="864"/>
      <c r="GZ108" s="864"/>
      <c r="HA108" s="864"/>
      <c r="HB108" s="864"/>
      <c r="HC108" s="864"/>
      <c r="HD108" s="864"/>
      <c r="HE108" s="855" t="s">
        <v>3475</v>
      </c>
      <c r="HF108" s="855" t="s">
        <v>465</v>
      </c>
      <c r="HG108" s="864"/>
      <c r="HH108" s="858"/>
      <c r="HI108" s="855"/>
      <c r="HJ108" s="855"/>
      <c r="HK108" s="858"/>
      <c r="HL108" s="864"/>
      <c r="HM108" s="864"/>
      <c r="HN108" s="864"/>
      <c r="HO108" s="861" t="s">
        <v>3556</v>
      </c>
      <c r="HP108" s="855"/>
      <c r="HQ108" s="855"/>
      <c r="HR108" s="862"/>
      <c r="HS108" s="855"/>
      <c r="HT108" s="855"/>
      <c r="HU108" s="855"/>
      <c r="HV108" s="1000"/>
      <c r="HW108" s="855"/>
      <c r="HX108" s="855"/>
      <c r="HY108" s="855"/>
      <c r="HZ108" s="855"/>
      <c r="IA108" s="855"/>
      <c r="IB108" s="855"/>
      <c r="IC108" s="855"/>
      <c r="ID108" s="855"/>
      <c r="IE108" s="855"/>
      <c r="IF108" s="855"/>
      <c r="IG108" s="862"/>
      <c r="IH108" s="855"/>
      <c r="II108" s="855"/>
      <c r="IJ108" s="862" t="s">
        <v>465</v>
      </c>
      <c r="IK108" s="855"/>
      <c r="IL108" s="1059" t="s">
        <v>3779</v>
      </c>
      <c r="IM108" s="855"/>
      <c r="IN108" s="855"/>
      <c r="IO108" s="864"/>
      <c r="IP108" s="864"/>
      <c r="IQ108" s="864"/>
      <c r="IR108" s="862" t="s">
        <v>2761</v>
      </c>
      <c r="IS108" s="855"/>
      <c r="IT108" s="855"/>
      <c r="IU108" s="855"/>
      <c r="IV108" s="855" t="s">
        <v>3895</v>
      </c>
      <c r="IW108" s="855"/>
      <c r="IX108" s="858"/>
      <c r="IY108" s="855"/>
      <c r="IZ108" s="855"/>
      <c r="JA108" s="855"/>
      <c r="JB108" s="855" t="s">
        <v>3987</v>
      </c>
      <c r="JC108" s="855"/>
      <c r="JD108" s="855"/>
      <c r="JE108" s="855"/>
      <c r="JF108" s="858"/>
      <c r="JG108" s="855"/>
      <c r="JH108" s="855"/>
      <c r="JI108" s="855"/>
      <c r="JJ108" s="855"/>
      <c r="JK108" s="855"/>
      <c r="JL108" s="855"/>
      <c r="JM108" s="855"/>
      <c r="JN108" s="855"/>
      <c r="JO108" s="855"/>
      <c r="JP108" s="855"/>
      <c r="JQ108" s="858"/>
      <c r="JR108" s="855"/>
      <c r="JS108" s="855"/>
      <c r="JT108" s="855" t="s">
        <v>4209</v>
      </c>
      <c r="JU108" s="855"/>
      <c r="JV108" s="855"/>
      <c r="JW108" s="855" t="s">
        <v>4236</v>
      </c>
      <c r="JX108" s="855"/>
      <c r="JY108" s="855"/>
      <c r="JZ108" s="855"/>
      <c r="KA108" s="855"/>
      <c r="KB108" s="855"/>
      <c r="KC108" s="855"/>
      <c r="KD108" s="855"/>
      <c r="KE108" s="862" t="s">
        <v>504</v>
      </c>
      <c r="KF108" s="862" t="s">
        <v>504</v>
      </c>
      <c r="KG108" s="862" t="s">
        <v>504</v>
      </c>
      <c r="KH108" s="862" t="s">
        <v>504</v>
      </c>
      <c r="KI108" s="862" t="s">
        <v>504</v>
      </c>
      <c r="KJ108" s="862" t="s">
        <v>504</v>
      </c>
      <c r="KK108" s="862" t="s">
        <v>504</v>
      </c>
      <c r="KL108" s="855" t="s">
        <v>504</v>
      </c>
      <c r="KM108" s="864"/>
      <c r="KN108" s="864"/>
      <c r="KO108" s="864"/>
      <c r="KP108" s="864"/>
      <c r="KQ108" s="864"/>
      <c r="KR108" s="855"/>
      <c r="KS108" s="864"/>
      <c r="KT108" s="855" t="s">
        <v>4401</v>
      </c>
      <c r="KU108" s="864"/>
      <c r="KV108" s="932" t="s">
        <v>4420</v>
      </c>
      <c r="KW108" s="855"/>
      <c r="KX108" s="855" t="s">
        <v>4466</v>
      </c>
      <c r="KY108" s="934" t="s">
        <v>4487</v>
      </c>
      <c r="KZ108" s="855"/>
      <c r="LA108" s="855" t="s">
        <v>4468</v>
      </c>
      <c r="LB108" s="855" t="s">
        <v>4549</v>
      </c>
      <c r="LC108" s="855" t="s">
        <v>4549</v>
      </c>
      <c r="LD108" s="855"/>
      <c r="LE108" s="855"/>
      <c r="LF108" s="858"/>
      <c r="LG108" s="858"/>
      <c r="LH108" s="858"/>
      <c r="LI108" s="858"/>
      <c r="LJ108" s="858"/>
      <c r="LK108" s="858"/>
      <c r="LL108" s="858"/>
      <c r="LM108" s="858"/>
      <c r="LN108" s="858"/>
      <c r="LO108" s="858"/>
      <c r="LP108" s="858"/>
      <c r="LQ108" s="858"/>
      <c r="LR108" s="858"/>
      <c r="LS108" s="858"/>
      <c r="LT108" s="858"/>
      <c r="LU108" s="858"/>
      <c r="LV108" s="858"/>
      <c r="LW108" s="858"/>
      <c r="LX108" s="858"/>
      <c r="LY108" s="858"/>
    </row>
    <row r="109" spans="1:337" ht="16.5" thickBot="1" x14ac:dyDescent="0.3">
      <c r="A109" s="1585"/>
      <c r="B109" s="1588"/>
      <c r="C109" s="1603"/>
      <c r="D109" s="1604"/>
      <c r="E109" s="850" t="s">
        <v>174</v>
      </c>
      <c r="F109" s="1058"/>
      <c r="G109" s="1058"/>
      <c r="H109" s="864"/>
      <c r="I109" s="864"/>
      <c r="J109" s="864"/>
      <c r="K109" s="864"/>
      <c r="L109" s="864"/>
      <c r="M109" s="864"/>
      <c r="N109" s="852">
        <v>68</v>
      </c>
      <c r="O109" s="864"/>
      <c r="P109" s="864"/>
      <c r="Q109" s="864"/>
      <c r="R109" s="864"/>
      <c r="S109" s="864"/>
      <c r="T109" s="864"/>
      <c r="U109" s="864"/>
      <c r="V109" s="980"/>
      <c r="W109" s="980"/>
      <c r="X109" s="980"/>
      <c r="Y109" s="980"/>
      <c r="Z109" s="980"/>
      <c r="AA109" s="864"/>
      <c r="AB109" s="864"/>
      <c r="AC109" s="864"/>
      <c r="AD109" s="864"/>
      <c r="AE109" s="864"/>
      <c r="AF109" s="864"/>
      <c r="AG109" s="864"/>
      <c r="AH109" s="864"/>
      <c r="AI109" s="864"/>
      <c r="AJ109" s="864"/>
      <c r="AK109" s="864"/>
      <c r="AL109" s="864"/>
      <c r="AM109" s="864"/>
      <c r="AN109" s="864"/>
      <c r="AO109" s="864"/>
      <c r="AP109" s="864"/>
      <c r="AQ109" s="864"/>
      <c r="AR109" s="864"/>
      <c r="AS109" s="864"/>
      <c r="AT109" s="864"/>
      <c r="AU109" s="864"/>
      <c r="AV109" s="980"/>
      <c r="AW109" s="980" t="s">
        <v>2751</v>
      </c>
      <c r="AX109" s="864"/>
      <c r="AY109" s="864"/>
      <c r="AZ109" s="864"/>
      <c r="BA109" s="852"/>
      <c r="BB109" s="855"/>
      <c r="BC109" s="980"/>
      <c r="BD109" s="855"/>
      <c r="BE109" s="864"/>
      <c r="BF109" s="864"/>
      <c r="BG109" s="864"/>
      <c r="BH109" s="864"/>
      <c r="BI109" s="864"/>
      <c r="BJ109" s="864"/>
      <c r="BK109" s="864"/>
      <c r="BL109" s="864"/>
      <c r="BM109" s="864"/>
      <c r="BN109" s="864"/>
      <c r="BO109" s="864"/>
      <c r="BP109" s="864"/>
      <c r="BQ109" s="864"/>
      <c r="BR109" s="864"/>
      <c r="BS109" s="864"/>
      <c r="BT109" s="980"/>
      <c r="BU109" s="980"/>
      <c r="BV109" s="980"/>
      <c r="BW109" s="980">
        <v>20</v>
      </c>
      <c r="BX109" s="864"/>
      <c r="BY109" s="864"/>
      <c r="BZ109" s="864"/>
      <c r="CA109" s="864"/>
      <c r="CB109" s="864"/>
      <c r="CC109" s="998"/>
      <c r="CD109" s="864"/>
      <c r="CE109" s="864"/>
      <c r="CF109" s="864"/>
      <c r="CG109" s="864"/>
      <c r="CH109" s="864"/>
      <c r="CI109" s="864"/>
      <c r="CJ109" s="864"/>
      <c r="CK109" s="980"/>
      <c r="CL109" s="980"/>
      <c r="CM109" s="864"/>
      <c r="CN109" s="864"/>
      <c r="CO109" s="864"/>
      <c r="CP109" s="864"/>
      <c r="CQ109" s="864"/>
      <c r="CR109" s="864"/>
      <c r="CS109" s="864"/>
      <c r="CT109" s="864"/>
      <c r="CU109" s="864"/>
      <c r="CV109" s="864"/>
      <c r="CW109" s="864"/>
      <c r="CX109" s="864"/>
      <c r="CY109" s="864"/>
      <c r="CZ109" s="864"/>
      <c r="DA109" s="864"/>
      <c r="DB109" s="864"/>
      <c r="DC109" s="864"/>
      <c r="DD109" s="864"/>
      <c r="DE109" s="864"/>
      <c r="DF109" s="980"/>
      <c r="DG109" s="864"/>
      <c r="DH109" s="980"/>
      <c r="DI109" s="980"/>
      <c r="DJ109" s="980"/>
      <c r="DK109" s="980"/>
      <c r="DL109" s="980">
        <v>21</v>
      </c>
      <c r="DM109" s="980"/>
      <c r="DN109" s="864"/>
      <c r="DO109" s="864"/>
      <c r="DP109" s="980"/>
      <c r="DQ109" s="864"/>
      <c r="DR109" s="864"/>
      <c r="DS109" s="864"/>
      <c r="DT109" s="864"/>
      <c r="DU109" s="864"/>
      <c r="DV109" s="864"/>
      <c r="DW109" s="864"/>
      <c r="DX109" s="864"/>
      <c r="DY109" s="864"/>
      <c r="DZ109" s="864"/>
      <c r="EA109" s="864"/>
      <c r="EB109" s="864"/>
      <c r="EC109" s="864"/>
      <c r="ED109" s="864"/>
      <c r="EE109" s="864"/>
      <c r="EF109" s="980"/>
      <c r="EG109" s="980"/>
      <c r="EH109" s="980"/>
      <c r="EI109" s="855"/>
      <c r="EJ109" s="999"/>
      <c r="EK109" s="999"/>
      <c r="EL109" s="999"/>
      <c r="EM109" s="853"/>
      <c r="EN109" s="999"/>
      <c r="EO109" s="999">
        <v>320</v>
      </c>
      <c r="EP109" s="999"/>
      <c r="EQ109" s="999"/>
      <c r="ER109" s="999"/>
      <c r="ES109" s="999"/>
      <c r="ET109" s="999"/>
      <c r="EU109" s="864"/>
      <c r="EV109" s="864"/>
      <c r="EW109" s="980">
        <v>67</v>
      </c>
      <c r="EX109" s="864"/>
      <c r="EY109" s="864"/>
      <c r="EZ109" s="864"/>
      <c r="FA109" s="864"/>
      <c r="FB109" s="864"/>
      <c r="FC109" s="864"/>
      <c r="FD109" s="864"/>
      <c r="FE109" s="980">
        <v>7</v>
      </c>
      <c r="FF109" s="864"/>
      <c r="FG109" s="864"/>
      <c r="FH109" s="864"/>
      <c r="FI109" s="864"/>
      <c r="FJ109" s="864"/>
      <c r="FK109" s="1000">
        <v>20</v>
      </c>
      <c r="FL109" s="1000"/>
      <c r="FM109" s="980">
        <v>43</v>
      </c>
      <c r="FN109" s="980"/>
      <c r="FO109" s="980"/>
      <c r="FP109" s="980"/>
      <c r="FQ109" s="980"/>
      <c r="FR109" s="864"/>
      <c r="FS109" s="864"/>
      <c r="FT109" s="864"/>
      <c r="FU109" s="864"/>
      <c r="FV109" s="864"/>
      <c r="FW109" s="864"/>
      <c r="FX109" s="864"/>
      <c r="FY109" s="864"/>
      <c r="FZ109" s="864"/>
      <c r="GA109" s="980"/>
      <c r="GB109" s="980"/>
      <c r="GC109" s="980"/>
      <c r="GD109" s="980"/>
      <c r="GE109" s="980">
        <v>208</v>
      </c>
      <c r="GF109" s="980"/>
      <c r="GG109" s="980">
        <v>37</v>
      </c>
      <c r="GH109" s="864"/>
      <c r="GI109" s="864"/>
      <c r="GJ109" s="864"/>
      <c r="GK109" s="864"/>
      <c r="GL109" s="864"/>
      <c r="GM109" s="864"/>
      <c r="GN109" s="864"/>
      <c r="GO109" s="1001"/>
      <c r="GP109" s="1002"/>
      <c r="GQ109" s="1060">
        <v>9</v>
      </c>
      <c r="GR109" s="864"/>
      <c r="GS109" s="864"/>
      <c r="GT109" s="864"/>
      <c r="GU109" s="864"/>
      <c r="GV109" s="864"/>
      <c r="GW109" s="864"/>
      <c r="GX109" s="864"/>
      <c r="GY109" s="864"/>
      <c r="GZ109" s="864"/>
      <c r="HA109" s="864"/>
      <c r="HB109" s="864"/>
      <c r="HC109" s="864"/>
      <c r="HD109" s="864"/>
      <c r="HE109" s="980">
        <v>7</v>
      </c>
      <c r="HF109" s="980" t="s">
        <v>465</v>
      </c>
      <c r="HG109" s="864"/>
      <c r="HH109" s="999"/>
      <c r="HI109" s="980"/>
      <c r="HJ109" s="980"/>
      <c r="HK109" s="999"/>
      <c r="HL109" s="864"/>
      <c r="HM109" s="864"/>
      <c r="HN109" s="864"/>
      <c r="HO109" s="1004">
        <v>112</v>
      </c>
      <c r="HP109" s="980"/>
      <c r="HQ109" s="980"/>
      <c r="HR109" s="998"/>
      <c r="HS109" s="980"/>
      <c r="HT109" s="980"/>
      <c r="HU109" s="980"/>
      <c r="HV109" s="852"/>
      <c r="HW109" s="980"/>
      <c r="HX109" s="980"/>
      <c r="HY109" s="980"/>
      <c r="HZ109" s="980"/>
      <c r="IA109" s="980"/>
      <c r="IB109" s="980"/>
      <c r="IC109" s="980"/>
      <c r="ID109" s="980"/>
      <c r="IE109" s="980"/>
      <c r="IF109" s="980"/>
      <c r="IG109" s="998"/>
      <c r="IH109" s="980"/>
      <c r="II109" s="980"/>
      <c r="IJ109" s="998" t="s">
        <v>465</v>
      </c>
      <c r="IK109" s="980"/>
      <c r="IL109" s="980">
        <v>639</v>
      </c>
      <c r="IM109" s="980"/>
      <c r="IN109" s="980"/>
      <c r="IO109" s="864"/>
      <c r="IP109" s="864"/>
      <c r="IQ109" s="864"/>
      <c r="IR109" s="998">
        <v>30</v>
      </c>
      <c r="IS109" s="980"/>
      <c r="IT109" s="980"/>
      <c r="IU109" s="980"/>
      <c r="IV109" s="980">
        <v>9</v>
      </c>
      <c r="IW109" s="980"/>
      <c r="IX109" s="999"/>
      <c r="IY109" s="980"/>
      <c r="IZ109" s="980">
        <v>23</v>
      </c>
      <c r="JA109" s="980"/>
      <c r="JB109" s="980">
        <v>49</v>
      </c>
      <c r="JC109" s="980"/>
      <c r="JD109" s="980"/>
      <c r="JE109" s="980"/>
      <c r="JF109" s="999"/>
      <c r="JG109" s="980"/>
      <c r="JH109" s="980"/>
      <c r="JI109" s="980"/>
      <c r="JJ109" s="980"/>
      <c r="JK109" s="980"/>
      <c r="JL109" s="980"/>
      <c r="JM109" s="980"/>
      <c r="JN109" s="980"/>
      <c r="JO109" s="980"/>
      <c r="JP109" s="855"/>
      <c r="JQ109" s="999"/>
      <c r="JR109" s="980"/>
      <c r="JS109" s="980"/>
      <c r="JT109" s="980">
        <v>318</v>
      </c>
      <c r="JU109" s="980"/>
      <c r="JV109" s="980"/>
      <c r="JW109" s="980">
        <v>6</v>
      </c>
      <c r="JX109" s="980"/>
      <c r="JY109" s="980"/>
      <c r="JZ109" s="980"/>
      <c r="KA109" s="980"/>
      <c r="KB109" s="980"/>
      <c r="KC109" s="980"/>
      <c r="KD109" s="980"/>
      <c r="KE109" s="998"/>
      <c r="KF109" s="998"/>
      <c r="KG109" s="998"/>
      <c r="KH109" s="998"/>
      <c r="KI109" s="998"/>
      <c r="KJ109" s="998"/>
      <c r="KK109" s="998"/>
      <c r="KL109" s="980"/>
      <c r="KM109" s="864"/>
      <c r="KN109" s="864"/>
      <c r="KO109" s="864"/>
      <c r="KP109" s="864"/>
      <c r="KQ109" s="864"/>
      <c r="KR109" s="980"/>
      <c r="KS109" s="864"/>
      <c r="KT109" s="980">
        <v>3</v>
      </c>
      <c r="KU109" s="864"/>
      <c r="KV109" s="980">
        <v>4</v>
      </c>
      <c r="KW109" s="980"/>
      <c r="KX109" s="980">
        <v>52</v>
      </c>
      <c r="KY109" s="858">
        <v>50</v>
      </c>
      <c r="KZ109" s="980"/>
      <c r="LA109" s="980">
        <v>16</v>
      </c>
      <c r="LB109" s="980">
        <v>4</v>
      </c>
      <c r="LC109" s="980">
        <v>4</v>
      </c>
      <c r="LD109" s="980"/>
      <c r="LE109" s="980"/>
      <c r="LF109" s="999"/>
      <c r="LG109" s="999"/>
      <c r="LH109" s="999"/>
      <c r="LI109" s="999"/>
      <c r="LJ109" s="999"/>
      <c r="LK109" s="999"/>
      <c r="LL109" s="999"/>
      <c r="LM109" s="999"/>
      <c r="LN109" s="999"/>
      <c r="LO109" s="999"/>
      <c r="LP109" s="999"/>
      <c r="LQ109" s="999"/>
      <c r="LR109" s="999"/>
      <c r="LS109" s="999"/>
      <c r="LT109" s="999"/>
      <c r="LU109" s="999"/>
      <c r="LV109" s="999"/>
      <c r="LW109" s="999"/>
      <c r="LX109" s="999"/>
      <c r="LY109" s="999"/>
    </row>
    <row r="110" spans="1:337" ht="15.75" customHeight="1" x14ac:dyDescent="0.25">
      <c r="A110" s="1583" t="s">
        <v>30</v>
      </c>
      <c r="B110" s="1586" t="s">
        <v>206</v>
      </c>
      <c r="C110" s="1594" t="s">
        <v>56</v>
      </c>
      <c r="D110" s="1597" t="s">
        <v>42</v>
      </c>
      <c r="E110" s="849" t="s">
        <v>171</v>
      </c>
      <c r="F110" s="1058"/>
      <c r="G110" s="1058"/>
      <c r="H110" s="864"/>
      <c r="I110" s="864"/>
      <c r="J110" s="864"/>
      <c r="K110" s="864"/>
      <c r="L110" s="864"/>
      <c r="M110" s="864"/>
      <c r="N110" s="852" t="s">
        <v>500</v>
      </c>
      <c r="O110" s="864"/>
      <c r="P110" s="864"/>
      <c r="Q110" s="864"/>
      <c r="R110" s="864"/>
      <c r="S110" s="864"/>
      <c r="T110" s="864"/>
      <c r="U110" s="864"/>
      <c r="V110" s="855" t="s">
        <v>479</v>
      </c>
      <c r="W110" s="855" t="s">
        <v>479</v>
      </c>
      <c r="X110" s="855" t="s">
        <v>479</v>
      </c>
      <c r="Y110" s="855" t="s">
        <v>479</v>
      </c>
      <c r="Z110" s="855" t="s">
        <v>504</v>
      </c>
      <c r="AA110" s="864"/>
      <c r="AB110" s="864"/>
      <c r="AC110" s="864"/>
      <c r="AD110" s="864"/>
      <c r="AE110" s="864"/>
      <c r="AF110" s="864"/>
      <c r="AG110" s="864"/>
      <c r="AH110" s="864"/>
      <c r="AI110" s="864"/>
      <c r="AJ110" s="864"/>
      <c r="AK110" s="864"/>
      <c r="AL110" s="864"/>
      <c r="AM110" s="864"/>
      <c r="AN110" s="864"/>
      <c r="AO110" s="864"/>
      <c r="AP110" s="864"/>
      <c r="AQ110" s="864"/>
      <c r="AR110" s="864"/>
      <c r="AS110" s="864"/>
      <c r="AT110" s="864"/>
      <c r="AU110" s="864"/>
      <c r="AV110" s="855" t="s">
        <v>504</v>
      </c>
      <c r="AW110" s="855" t="s">
        <v>504</v>
      </c>
      <c r="AX110" s="864"/>
      <c r="AY110" s="864"/>
      <c r="AZ110" s="864"/>
      <c r="BA110" s="852" t="s">
        <v>504</v>
      </c>
      <c r="BB110" s="980" t="s">
        <v>504</v>
      </c>
      <c r="BC110" s="855" t="s">
        <v>504</v>
      </c>
      <c r="BD110" s="980"/>
      <c r="BE110" s="864"/>
      <c r="BF110" s="864"/>
      <c r="BG110" s="864"/>
      <c r="BH110" s="864"/>
      <c r="BI110" s="864"/>
      <c r="BJ110" s="864"/>
      <c r="BK110" s="864"/>
      <c r="BL110" s="864"/>
      <c r="BM110" s="864"/>
      <c r="BN110" s="864"/>
      <c r="BO110" s="864"/>
      <c r="BP110" s="864"/>
      <c r="BQ110" s="864"/>
      <c r="BR110" s="864"/>
      <c r="BS110" s="864"/>
      <c r="BT110" s="855" t="s">
        <v>504</v>
      </c>
      <c r="BU110" s="855"/>
      <c r="BV110" s="855" t="s">
        <v>504</v>
      </c>
      <c r="BW110" s="855" t="s">
        <v>504</v>
      </c>
      <c r="BX110" s="864"/>
      <c r="BY110" s="864"/>
      <c r="BZ110" s="864"/>
      <c r="CA110" s="864"/>
      <c r="CB110" s="864"/>
      <c r="CC110" s="862"/>
      <c r="CD110" s="864"/>
      <c r="CE110" s="864"/>
      <c r="CF110" s="864"/>
      <c r="CG110" s="864"/>
      <c r="CH110" s="864"/>
      <c r="CI110" s="864"/>
      <c r="CJ110" s="864"/>
      <c r="CK110" s="855"/>
      <c r="CL110" s="855"/>
      <c r="CM110" s="864"/>
      <c r="CN110" s="864"/>
      <c r="CO110" s="864"/>
      <c r="CP110" s="864"/>
      <c r="CQ110" s="864"/>
      <c r="CR110" s="864"/>
      <c r="CS110" s="864"/>
      <c r="CT110" s="864"/>
      <c r="CU110" s="864"/>
      <c r="CV110" s="864"/>
      <c r="CW110" s="864"/>
      <c r="CX110" s="864"/>
      <c r="CY110" s="864"/>
      <c r="CZ110" s="864"/>
      <c r="DA110" s="864"/>
      <c r="DB110" s="864"/>
      <c r="DC110" s="864"/>
      <c r="DD110" s="864"/>
      <c r="DE110" s="864"/>
      <c r="DF110" s="855"/>
      <c r="DG110" s="864"/>
      <c r="DH110" s="855" t="s">
        <v>504</v>
      </c>
      <c r="DI110" s="855"/>
      <c r="DJ110" s="855"/>
      <c r="DK110" s="855" t="s">
        <v>504</v>
      </c>
      <c r="DL110" s="855" t="s">
        <v>504</v>
      </c>
      <c r="DM110" s="855" t="s">
        <v>504</v>
      </c>
      <c r="DN110" s="864"/>
      <c r="DO110" s="864"/>
      <c r="DP110" s="855" t="s">
        <v>504</v>
      </c>
      <c r="DQ110" s="864"/>
      <c r="DR110" s="864"/>
      <c r="DS110" s="864"/>
      <c r="DT110" s="864"/>
      <c r="DU110" s="864"/>
      <c r="DV110" s="864"/>
      <c r="DW110" s="864"/>
      <c r="DX110" s="864"/>
      <c r="DY110" s="864"/>
      <c r="DZ110" s="864"/>
      <c r="EA110" s="864"/>
      <c r="EB110" s="864"/>
      <c r="EC110" s="864"/>
      <c r="ED110" s="864"/>
      <c r="EE110" s="864"/>
      <c r="EF110" s="855" t="s">
        <v>504</v>
      </c>
      <c r="EG110" s="855" t="s">
        <v>500</v>
      </c>
      <c r="EH110" s="855" t="s">
        <v>500</v>
      </c>
      <c r="EI110" s="855" t="s">
        <v>500</v>
      </c>
      <c r="EJ110" s="858" t="s">
        <v>504</v>
      </c>
      <c r="EK110" s="858" t="s">
        <v>500</v>
      </c>
      <c r="EL110" s="999" t="s">
        <v>504</v>
      </c>
      <c r="EM110" s="858" t="s">
        <v>500</v>
      </c>
      <c r="EN110" s="858" t="s">
        <v>504</v>
      </c>
      <c r="EO110" s="858" t="s">
        <v>504</v>
      </c>
      <c r="EP110" s="858" t="s">
        <v>504</v>
      </c>
      <c r="EQ110" s="858" t="s">
        <v>504</v>
      </c>
      <c r="ER110" s="858" t="s">
        <v>500</v>
      </c>
      <c r="ES110" s="858" t="s">
        <v>500</v>
      </c>
      <c r="ET110" s="858" t="s">
        <v>500</v>
      </c>
      <c r="EU110" s="864"/>
      <c r="EV110" s="864"/>
      <c r="EW110" s="855" t="s">
        <v>504</v>
      </c>
      <c r="EX110" s="864"/>
      <c r="EY110" s="864"/>
      <c r="EZ110" s="864"/>
      <c r="FA110" s="864"/>
      <c r="FB110" s="864"/>
      <c r="FC110" s="864"/>
      <c r="FD110" s="864"/>
      <c r="FE110" s="980" t="s">
        <v>479</v>
      </c>
      <c r="FF110" s="864"/>
      <c r="FG110" s="864"/>
      <c r="FH110" s="864"/>
      <c r="FI110" s="864"/>
      <c r="FJ110" s="864"/>
      <c r="FK110" s="852" t="s">
        <v>504</v>
      </c>
      <c r="FL110" s="852" t="s">
        <v>504</v>
      </c>
      <c r="FM110" s="855" t="s">
        <v>504</v>
      </c>
      <c r="FN110" s="855"/>
      <c r="FO110" s="855"/>
      <c r="FP110" s="855" t="s">
        <v>504</v>
      </c>
      <c r="FQ110" s="855" t="s">
        <v>504</v>
      </c>
      <c r="FR110" s="864"/>
      <c r="FS110" s="864"/>
      <c r="FT110" s="864"/>
      <c r="FU110" s="864"/>
      <c r="FV110" s="864"/>
      <c r="FW110" s="864"/>
      <c r="FX110" s="864"/>
      <c r="FY110" s="864"/>
      <c r="FZ110" s="864"/>
      <c r="GA110" s="855" t="s">
        <v>500</v>
      </c>
      <c r="GB110" s="855" t="s">
        <v>504</v>
      </c>
      <c r="GC110" s="855" t="s">
        <v>504</v>
      </c>
      <c r="GD110" s="855" t="s">
        <v>504</v>
      </c>
      <c r="GE110" s="855"/>
      <c r="GF110" s="855"/>
      <c r="GG110" s="855" t="s">
        <v>504</v>
      </c>
      <c r="GH110" s="864"/>
      <c r="GI110" s="864"/>
      <c r="GJ110" s="864"/>
      <c r="GK110" s="864"/>
      <c r="GL110" s="864"/>
      <c r="GM110" s="864"/>
      <c r="GN110" s="864"/>
      <c r="GO110" s="859" t="s">
        <v>504</v>
      </c>
      <c r="GP110" s="866" t="s">
        <v>504</v>
      </c>
      <c r="GQ110" s="860" t="s">
        <v>504</v>
      </c>
      <c r="GR110" s="864"/>
      <c r="GS110" s="864"/>
      <c r="GT110" s="864"/>
      <c r="GU110" s="864"/>
      <c r="GV110" s="864"/>
      <c r="GW110" s="864"/>
      <c r="GX110" s="864"/>
      <c r="GY110" s="864"/>
      <c r="GZ110" s="864"/>
      <c r="HA110" s="864"/>
      <c r="HB110" s="864"/>
      <c r="HC110" s="864"/>
      <c r="HD110" s="864"/>
      <c r="HE110" s="855" t="s">
        <v>500</v>
      </c>
      <c r="HF110" s="855" t="s">
        <v>504</v>
      </c>
      <c r="HG110" s="864"/>
      <c r="HH110" s="858" t="s">
        <v>504</v>
      </c>
      <c r="HI110" s="855" t="s">
        <v>504</v>
      </c>
      <c r="HJ110" s="855" t="s">
        <v>504</v>
      </c>
      <c r="HK110" s="858" t="s">
        <v>504</v>
      </c>
      <c r="HL110" s="864"/>
      <c r="HM110" s="864"/>
      <c r="HN110" s="864"/>
      <c r="HO110" s="861" t="s">
        <v>504</v>
      </c>
      <c r="HP110" s="855" t="s">
        <v>504</v>
      </c>
      <c r="HQ110" s="855" t="s">
        <v>504</v>
      </c>
      <c r="HR110" s="862" t="s">
        <v>504</v>
      </c>
      <c r="HS110" s="855" t="s">
        <v>504</v>
      </c>
      <c r="HT110" s="855" t="s">
        <v>504</v>
      </c>
      <c r="HU110" s="855" t="s">
        <v>504</v>
      </c>
      <c r="HV110" s="852" t="s">
        <v>504</v>
      </c>
      <c r="HW110" s="855" t="s">
        <v>504</v>
      </c>
      <c r="HX110" s="855" t="s">
        <v>504</v>
      </c>
      <c r="HY110" s="855" t="s">
        <v>504</v>
      </c>
      <c r="HZ110" s="855" t="s">
        <v>504</v>
      </c>
      <c r="IA110" s="855" t="s">
        <v>504</v>
      </c>
      <c r="IB110" s="855" t="s">
        <v>504</v>
      </c>
      <c r="IC110" s="855" t="s">
        <v>504</v>
      </c>
      <c r="ID110" s="855" t="s">
        <v>504</v>
      </c>
      <c r="IE110" s="855" t="s">
        <v>504</v>
      </c>
      <c r="IF110" s="855" t="s">
        <v>504</v>
      </c>
      <c r="IG110" s="862" t="s">
        <v>504</v>
      </c>
      <c r="IH110" s="855" t="s">
        <v>504</v>
      </c>
      <c r="II110" s="855" t="s">
        <v>504</v>
      </c>
      <c r="IJ110" s="862" t="s">
        <v>504</v>
      </c>
      <c r="IK110" s="855" t="s">
        <v>504</v>
      </c>
      <c r="IL110" s="855" t="s">
        <v>500</v>
      </c>
      <c r="IM110" s="855" t="s">
        <v>504</v>
      </c>
      <c r="IN110" s="855" t="s">
        <v>504</v>
      </c>
      <c r="IO110" s="864"/>
      <c r="IP110" s="864"/>
      <c r="IQ110" s="864"/>
      <c r="IR110" s="862" t="s">
        <v>500</v>
      </c>
      <c r="IS110" s="855" t="s">
        <v>504</v>
      </c>
      <c r="IT110" s="855" t="s">
        <v>504</v>
      </c>
      <c r="IU110" s="855" t="s">
        <v>500</v>
      </c>
      <c r="IV110" s="855" t="s">
        <v>500</v>
      </c>
      <c r="IW110" s="855" t="s">
        <v>500</v>
      </c>
      <c r="IX110" s="858" t="s">
        <v>504</v>
      </c>
      <c r="IY110" s="855" t="s">
        <v>500</v>
      </c>
      <c r="IZ110" s="855" t="s">
        <v>504</v>
      </c>
      <c r="JA110" s="855" t="s">
        <v>504</v>
      </c>
      <c r="JB110" s="855" t="s">
        <v>500</v>
      </c>
      <c r="JC110" s="855" t="s">
        <v>500</v>
      </c>
      <c r="JD110" s="855" t="s">
        <v>504</v>
      </c>
      <c r="JE110" s="855" t="s">
        <v>500</v>
      </c>
      <c r="JF110" s="858" t="s">
        <v>504</v>
      </c>
      <c r="JG110" s="855" t="s">
        <v>471</v>
      </c>
      <c r="JH110" s="855"/>
      <c r="JI110" s="855" t="s">
        <v>504</v>
      </c>
      <c r="JJ110" s="855" t="s">
        <v>504</v>
      </c>
      <c r="JK110" s="855" t="s">
        <v>504</v>
      </c>
      <c r="JL110" s="855" t="s">
        <v>500</v>
      </c>
      <c r="JM110" s="855" t="s">
        <v>504</v>
      </c>
      <c r="JN110" s="855" t="s">
        <v>500</v>
      </c>
      <c r="JO110" s="855" t="s">
        <v>504</v>
      </c>
      <c r="JP110" s="855" t="s">
        <v>500</v>
      </c>
      <c r="JQ110" s="858" t="s">
        <v>504</v>
      </c>
      <c r="JR110" s="855" t="s">
        <v>504</v>
      </c>
      <c r="JS110" s="855" t="s">
        <v>504</v>
      </c>
      <c r="JT110" s="855" t="s">
        <v>504</v>
      </c>
      <c r="JU110" s="855" t="s">
        <v>504</v>
      </c>
      <c r="JV110" s="855" t="s">
        <v>504</v>
      </c>
      <c r="JW110" s="855" t="s">
        <v>504</v>
      </c>
      <c r="JX110" s="855"/>
      <c r="JY110" s="855" t="s">
        <v>504</v>
      </c>
      <c r="JZ110" s="855" t="s">
        <v>504</v>
      </c>
      <c r="KA110" s="855" t="s">
        <v>504</v>
      </c>
      <c r="KB110" s="855" t="s">
        <v>500</v>
      </c>
      <c r="KC110" s="855" t="s">
        <v>504</v>
      </c>
      <c r="KD110" s="855" t="s">
        <v>504</v>
      </c>
      <c r="KE110" s="862" t="s">
        <v>504</v>
      </c>
      <c r="KF110" s="862" t="s">
        <v>504</v>
      </c>
      <c r="KG110" s="862" t="s">
        <v>504</v>
      </c>
      <c r="KH110" s="862" t="s">
        <v>504</v>
      </c>
      <c r="KI110" s="862" t="s">
        <v>504</v>
      </c>
      <c r="KJ110" s="862" t="s">
        <v>504</v>
      </c>
      <c r="KK110" s="862" t="s">
        <v>504</v>
      </c>
      <c r="KL110" s="855" t="s">
        <v>504</v>
      </c>
      <c r="KM110" s="864"/>
      <c r="KN110" s="864"/>
      <c r="KO110" s="864"/>
      <c r="KP110" s="864"/>
      <c r="KQ110" s="864"/>
      <c r="KR110" s="855" t="s">
        <v>504</v>
      </c>
      <c r="KS110" s="864"/>
      <c r="KT110" s="855" t="s">
        <v>500</v>
      </c>
      <c r="KU110" s="864"/>
      <c r="KV110" s="855" t="s">
        <v>500</v>
      </c>
      <c r="KW110" s="855" t="s">
        <v>500</v>
      </c>
      <c r="KX110" s="855" t="s">
        <v>500</v>
      </c>
      <c r="KY110" s="858" t="s">
        <v>656</v>
      </c>
      <c r="KZ110" s="855" t="s">
        <v>500</v>
      </c>
      <c r="LA110" s="852" t="s">
        <v>500</v>
      </c>
      <c r="LB110" s="855" t="s">
        <v>500</v>
      </c>
      <c r="LC110" s="855" t="s">
        <v>500</v>
      </c>
      <c r="LD110" s="855" t="s">
        <v>504</v>
      </c>
      <c r="LE110" s="855" t="s">
        <v>504</v>
      </c>
      <c r="LF110" s="858" t="s">
        <v>500</v>
      </c>
      <c r="LG110" s="858" t="s">
        <v>504</v>
      </c>
      <c r="LH110" s="858" t="s">
        <v>504</v>
      </c>
      <c r="LI110" s="858" t="s">
        <v>504</v>
      </c>
      <c r="LJ110" s="858" t="s">
        <v>504</v>
      </c>
      <c r="LK110" s="858" t="s">
        <v>504</v>
      </c>
      <c r="LL110" s="858" t="s">
        <v>504</v>
      </c>
      <c r="LM110" s="858" t="s">
        <v>504</v>
      </c>
      <c r="LN110" s="858" t="s">
        <v>500</v>
      </c>
      <c r="LO110" s="858" t="s">
        <v>504</v>
      </c>
      <c r="LP110" s="858" t="s">
        <v>500</v>
      </c>
      <c r="LQ110" s="858" t="s">
        <v>500</v>
      </c>
      <c r="LR110" s="858" t="s">
        <v>504</v>
      </c>
      <c r="LS110" s="858" t="s">
        <v>504</v>
      </c>
      <c r="LT110" s="858" t="s">
        <v>504</v>
      </c>
      <c r="LU110" s="858" t="s">
        <v>504</v>
      </c>
      <c r="LV110" s="858" t="s">
        <v>504</v>
      </c>
      <c r="LW110" s="858" t="s">
        <v>500</v>
      </c>
      <c r="LX110" s="858" t="s">
        <v>504</v>
      </c>
      <c r="LY110" s="858" t="s">
        <v>504</v>
      </c>
    </row>
    <row r="111" spans="1:337" ht="193.7" customHeight="1" x14ac:dyDescent="0.25">
      <c r="A111" s="1584"/>
      <c r="B111" s="1587"/>
      <c r="C111" s="1600"/>
      <c r="D111" s="1598"/>
      <c r="E111" s="847" t="s">
        <v>172</v>
      </c>
      <c r="F111" s="1058"/>
      <c r="G111" s="1058"/>
      <c r="H111" s="864"/>
      <c r="I111" s="864"/>
      <c r="J111" s="864"/>
      <c r="K111" s="864"/>
      <c r="L111" s="864"/>
      <c r="M111" s="864"/>
      <c r="N111" s="852" t="s">
        <v>2655</v>
      </c>
      <c r="O111" s="864"/>
      <c r="P111" s="864"/>
      <c r="Q111" s="864"/>
      <c r="R111" s="864"/>
      <c r="S111" s="864"/>
      <c r="T111" s="864"/>
      <c r="U111" s="864"/>
      <c r="V111" s="855"/>
      <c r="W111" s="855"/>
      <c r="X111" s="855"/>
      <c r="Y111" s="855"/>
      <c r="Z111" s="855"/>
      <c r="AA111" s="864"/>
      <c r="AB111" s="864"/>
      <c r="AC111" s="864"/>
      <c r="AD111" s="864"/>
      <c r="AE111" s="864"/>
      <c r="AF111" s="864"/>
      <c r="AG111" s="864"/>
      <c r="AH111" s="864"/>
      <c r="AI111" s="864"/>
      <c r="AJ111" s="864"/>
      <c r="AK111" s="864"/>
      <c r="AL111" s="864"/>
      <c r="AM111" s="864"/>
      <c r="AN111" s="864"/>
      <c r="AO111" s="864"/>
      <c r="AP111" s="864"/>
      <c r="AQ111" s="864"/>
      <c r="AR111" s="864"/>
      <c r="AS111" s="864"/>
      <c r="AT111" s="864"/>
      <c r="AU111" s="864"/>
      <c r="AV111" s="855"/>
      <c r="AW111" s="855"/>
      <c r="AX111" s="864"/>
      <c r="AY111" s="864"/>
      <c r="AZ111" s="864"/>
      <c r="BA111" s="852"/>
      <c r="BB111" s="855"/>
      <c r="BC111" s="855"/>
      <c r="BD111" s="855"/>
      <c r="BE111" s="864"/>
      <c r="BF111" s="864"/>
      <c r="BG111" s="864"/>
      <c r="BH111" s="864"/>
      <c r="BI111" s="864"/>
      <c r="BJ111" s="864"/>
      <c r="BK111" s="864"/>
      <c r="BL111" s="864"/>
      <c r="BM111" s="864"/>
      <c r="BN111" s="864"/>
      <c r="BO111" s="864"/>
      <c r="BP111" s="864"/>
      <c r="BQ111" s="864"/>
      <c r="BR111" s="864"/>
      <c r="BS111" s="864"/>
      <c r="BT111" s="855"/>
      <c r="BU111" s="855"/>
      <c r="BV111" s="855"/>
      <c r="BW111" s="855"/>
      <c r="BX111" s="864"/>
      <c r="BY111" s="864"/>
      <c r="BZ111" s="864"/>
      <c r="CA111" s="864"/>
      <c r="CB111" s="864"/>
      <c r="CC111" s="862"/>
      <c r="CD111" s="864"/>
      <c r="CE111" s="864"/>
      <c r="CF111" s="864"/>
      <c r="CG111" s="864"/>
      <c r="CH111" s="864"/>
      <c r="CI111" s="864"/>
      <c r="CJ111" s="864"/>
      <c r="CK111" s="855"/>
      <c r="CL111" s="855"/>
      <c r="CM111" s="864"/>
      <c r="CN111" s="864"/>
      <c r="CO111" s="864"/>
      <c r="CP111" s="864"/>
      <c r="CQ111" s="864"/>
      <c r="CR111" s="864"/>
      <c r="CS111" s="864"/>
      <c r="CT111" s="864"/>
      <c r="CU111" s="864"/>
      <c r="CV111" s="864"/>
      <c r="CW111" s="864"/>
      <c r="CX111" s="864"/>
      <c r="CY111" s="864"/>
      <c r="CZ111" s="864"/>
      <c r="DA111" s="864"/>
      <c r="DB111" s="864"/>
      <c r="DC111" s="864"/>
      <c r="DD111" s="864"/>
      <c r="DE111" s="864"/>
      <c r="DF111" s="855"/>
      <c r="DG111" s="864"/>
      <c r="DH111" s="855"/>
      <c r="DI111" s="855"/>
      <c r="DJ111" s="855"/>
      <c r="DK111" s="855" t="s">
        <v>504</v>
      </c>
      <c r="DL111" s="855"/>
      <c r="DM111" s="855"/>
      <c r="DN111" s="864"/>
      <c r="DO111" s="864"/>
      <c r="DP111" s="855"/>
      <c r="DQ111" s="864"/>
      <c r="DR111" s="864"/>
      <c r="DS111" s="864"/>
      <c r="DT111" s="864"/>
      <c r="DU111" s="864"/>
      <c r="DV111" s="864"/>
      <c r="DW111" s="864"/>
      <c r="DX111" s="864"/>
      <c r="DY111" s="864"/>
      <c r="DZ111" s="864"/>
      <c r="EA111" s="864"/>
      <c r="EB111" s="864"/>
      <c r="EC111" s="864"/>
      <c r="ED111" s="864"/>
      <c r="EE111" s="864"/>
      <c r="EF111" s="855"/>
      <c r="EG111" s="855"/>
      <c r="EH111" s="915" t="s">
        <v>3030</v>
      </c>
      <c r="EI111" s="855" t="s">
        <v>3048</v>
      </c>
      <c r="EJ111" s="858"/>
      <c r="EK111" s="916" t="s">
        <v>3077</v>
      </c>
      <c r="EL111" s="999"/>
      <c r="EM111" s="858" t="s">
        <v>3103</v>
      </c>
      <c r="EN111" s="858"/>
      <c r="EO111" s="858"/>
      <c r="EP111" s="858"/>
      <c r="EQ111" s="858"/>
      <c r="ER111" s="858"/>
      <c r="ES111" s="1054" t="s">
        <v>3173</v>
      </c>
      <c r="ET111" s="931" t="s">
        <v>3193</v>
      </c>
      <c r="EU111" s="864"/>
      <c r="EV111" s="864"/>
      <c r="EW111" s="864" t="s">
        <v>3211</v>
      </c>
      <c r="EX111" s="864"/>
      <c r="EY111" s="864"/>
      <c r="EZ111" s="864"/>
      <c r="FA111" s="864"/>
      <c r="FB111" s="864"/>
      <c r="FC111" s="864"/>
      <c r="FD111" s="864"/>
      <c r="FE111" s="855"/>
      <c r="FF111" s="864"/>
      <c r="FG111" s="864"/>
      <c r="FH111" s="864"/>
      <c r="FI111" s="864"/>
      <c r="FJ111" s="864"/>
      <c r="FK111" s="852"/>
      <c r="FL111" s="852"/>
      <c r="FM111" s="855"/>
      <c r="FN111" s="855"/>
      <c r="FO111" s="855"/>
      <c r="FP111" s="855"/>
      <c r="FQ111" s="907"/>
      <c r="FR111" s="864"/>
      <c r="FS111" s="864"/>
      <c r="FT111" s="864"/>
      <c r="FU111" s="864"/>
      <c r="FV111" s="864"/>
      <c r="FW111" s="864"/>
      <c r="FX111" s="864"/>
      <c r="FY111" s="864"/>
      <c r="FZ111" s="864"/>
      <c r="GA111" s="855" t="s">
        <v>3339</v>
      </c>
      <c r="GB111" s="855"/>
      <c r="GC111" s="855"/>
      <c r="GD111" s="855"/>
      <c r="GE111" s="855"/>
      <c r="GF111" s="855"/>
      <c r="GG111" s="855" t="s">
        <v>465</v>
      </c>
      <c r="GH111" s="864"/>
      <c r="GI111" s="864"/>
      <c r="GJ111" s="864"/>
      <c r="GK111" s="864"/>
      <c r="GL111" s="864"/>
      <c r="GM111" s="864"/>
      <c r="GN111" s="864"/>
      <c r="GO111" s="859"/>
      <c r="GP111" s="866"/>
      <c r="GQ111" s="867"/>
      <c r="GR111" s="864"/>
      <c r="GS111" s="864"/>
      <c r="GT111" s="864"/>
      <c r="GU111" s="864"/>
      <c r="GV111" s="864"/>
      <c r="GW111" s="864"/>
      <c r="GX111" s="864"/>
      <c r="GY111" s="864"/>
      <c r="GZ111" s="864"/>
      <c r="HA111" s="864"/>
      <c r="HB111" s="864"/>
      <c r="HC111" s="864"/>
      <c r="HD111" s="864"/>
      <c r="HE111" s="855" t="s">
        <v>3476</v>
      </c>
      <c r="HF111" s="855"/>
      <c r="HG111" s="864"/>
      <c r="HH111" s="858"/>
      <c r="HI111" s="855"/>
      <c r="HJ111" s="855"/>
      <c r="HK111" s="858"/>
      <c r="HL111" s="864"/>
      <c r="HM111" s="864"/>
      <c r="HN111" s="864"/>
      <c r="HO111" s="861"/>
      <c r="HP111" s="855"/>
      <c r="HQ111" s="855"/>
      <c r="HR111" s="862"/>
      <c r="HS111" s="855"/>
      <c r="HT111" s="855"/>
      <c r="HU111" s="855"/>
      <c r="HV111" s="1000"/>
      <c r="HW111" s="855"/>
      <c r="HX111" s="855"/>
      <c r="HY111" s="855"/>
      <c r="HZ111" s="855"/>
      <c r="IA111" s="855"/>
      <c r="IB111" s="855"/>
      <c r="IC111" s="855"/>
      <c r="ID111" s="855"/>
      <c r="IE111" s="855"/>
      <c r="IF111" s="855"/>
      <c r="IG111" s="862"/>
      <c r="IH111" s="980"/>
      <c r="II111" s="855"/>
      <c r="IJ111" s="862"/>
      <c r="IK111" s="855"/>
      <c r="IL111" s="855" t="s">
        <v>3780</v>
      </c>
      <c r="IM111" s="855"/>
      <c r="IN111" s="855"/>
      <c r="IO111" s="864"/>
      <c r="IP111" s="864"/>
      <c r="IQ111" s="864"/>
      <c r="IR111" s="930" t="s">
        <v>3812</v>
      </c>
      <c r="IS111" s="855"/>
      <c r="IT111" s="855"/>
      <c r="IU111" s="907" t="s">
        <v>3875</v>
      </c>
      <c r="IV111" s="855" t="s">
        <v>3896</v>
      </c>
      <c r="IW111" s="855" t="s">
        <v>3917</v>
      </c>
      <c r="IX111" s="858"/>
      <c r="IY111" s="855" t="s">
        <v>3947</v>
      </c>
      <c r="IZ111" s="855"/>
      <c r="JA111" s="855"/>
      <c r="JB111" s="907" t="s">
        <v>5593</v>
      </c>
      <c r="JC111" s="910" t="s">
        <v>4003</v>
      </c>
      <c r="JD111" s="855"/>
      <c r="JE111" s="855" t="s">
        <v>4036</v>
      </c>
      <c r="JF111" s="858"/>
      <c r="JG111" s="855" t="s">
        <v>4070</v>
      </c>
      <c r="JH111" s="855"/>
      <c r="JI111" s="855"/>
      <c r="JJ111" s="855"/>
      <c r="JK111" s="855"/>
      <c r="JL111" s="864"/>
      <c r="JM111" s="855"/>
      <c r="JN111" s="855"/>
      <c r="JO111" s="855"/>
      <c r="JP111" s="928" t="s">
        <v>4174</v>
      </c>
      <c r="JQ111" s="858"/>
      <c r="JR111" s="855"/>
      <c r="JS111" s="855"/>
      <c r="JT111" s="855"/>
      <c r="JU111" s="855"/>
      <c r="JV111" s="855"/>
      <c r="JW111" s="855"/>
      <c r="JX111" s="855"/>
      <c r="JY111" s="855"/>
      <c r="JZ111" s="855"/>
      <c r="KA111" s="855"/>
      <c r="KB111" s="910" t="s">
        <v>4286</v>
      </c>
      <c r="KC111" s="855"/>
      <c r="KD111" s="855"/>
      <c r="KE111" s="862" t="s">
        <v>504</v>
      </c>
      <c r="KF111" s="862" t="s">
        <v>504</v>
      </c>
      <c r="KG111" s="862" t="s">
        <v>504</v>
      </c>
      <c r="KH111" s="862" t="s">
        <v>504</v>
      </c>
      <c r="KI111" s="862" t="s">
        <v>504</v>
      </c>
      <c r="KJ111" s="862" t="s">
        <v>504</v>
      </c>
      <c r="KK111" s="862" t="s">
        <v>504</v>
      </c>
      <c r="KL111" s="855" t="s">
        <v>504</v>
      </c>
      <c r="KM111" s="864"/>
      <c r="KN111" s="864"/>
      <c r="KO111" s="864"/>
      <c r="KP111" s="864"/>
      <c r="KQ111" s="864"/>
      <c r="KR111" s="855"/>
      <c r="KS111" s="864"/>
      <c r="KT111" s="855" t="s">
        <v>4402</v>
      </c>
      <c r="KU111" s="864"/>
      <c r="KV111" s="932" t="s">
        <v>4421</v>
      </c>
      <c r="KW111" s="855" t="s">
        <v>4446</v>
      </c>
      <c r="KX111" s="855" t="s">
        <v>4467</v>
      </c>
      <c r="KY111" s="858" t="s">
        <v>4488</v>
      </c>
      <c r="KZ111" s="855" t="s">
        <v>4509</v>
      </c>
      <c r="LA111" s="911" t="s">
        <v>4488</v>
      </c>
      <c r="LB111" s="855" t="s">
        <v>4548</v>
      </c>
      <c r="LC111" s="855" t="s">
        <v>4548</v>
      </c>
      <c r="LD111" s="855"/>
      <c r="LE111" s="855"/>
      <c r="LF111" s="858" t="s">
        <v>4584</v>
      </c>
      <c r="LG111" s="858"/>
      <c r="LH111" s="858"/>
      <c r="LI111" s="858"/>
      <c r="LJ111" s="858"/>
      <c r="LK111" s="858"/>
      <c r="LL111" s="858"/>
      <c r="LM111" s="858"/>
      <c r="LN111" s="858" t="s">
        <v>4675</v>
      </c>
      <c r="LO111" s="858"/>
      <c r="LP111" s="938" t="s">
        <v>4702</v>
      </c>
      <c r="LQ111" s="858" t="s">
        <v>4723</v>
      </c>
      <c r="LR111" s="858"/>
      <c r="LS111" s="858"/>
      <c r="LT111" s="858"/>
      <c r="LU111" s="858"/>
      <c r="LV111" s="858"/>
      <c r="LW111" s="923" t="s">
        <v>4801</v>
      </c>
      <c r="LX111" s="858"/>
      <c r="LY111" s="858"/>
    </row>
    <row r="112" spans="1:337" ht="16.5" thickBot="1" x14ac:dyDescent="0.3">
      <c r="A112" s="1584"/>
      <c r="B112" s="1587"/>
      <c r="C112" s="1603"/>
      <c r="D112" s="1599"/>
      <c r="E112" s="850" t="s">
        <v>174</v>
      </c>
      <c r="F112" s="1058"/>
      <c r="G112" s="1058"/>
      <c r="H112" s="864"/>
      <c r="I112" s="864"/>
      <c r="J112" s="864"/>
      <c r="K112" s="864"/>
      <c r="L112" s="864"/>
      <c r="M112" s="864"/>
      <c r="N112" s="852">
        <v>35531</v>
      </c>
      <c r="O112" s="864"/>
      <c r="P112" s="864"/>
      <c r="Q112" s="864"/>
      <c r="R112" s="864"/>
      <c r="S112" s="864"/>
      <c r="T112" s="864"/>
      <c r="U112" s="864"/>
      <c r="V112" s="980"/>
      <c r="W112" s="980"/>
      <c r="X112" s="980"/>
      <c r="Y112" s="980"/>
      <c r="Z112" s="980"/>
      <c r="AA112" s="864"/>
      <c r="AB112" s="864"/>
      <c r="AC112" s="864"/>
      <c r="AD112" s="864"/>
      <c r="AE112" s="864"/>
      <c r="AF112" s="864"/>
      <c r="AG112" s="864"/>
      <c r="AH112" s="864"/>
      <c r="AI112" s="864"/>
      <c r="AJ112" s="864"/>
      <c r="AK112" s="864"/>
      <c r="AL112" s="864"/>
      <c r="AM112" s="864"/>
      <c r="AN112" s="864"/>
      <c r="AO112" s="864"/>
      <c r="AP112" s="864"/>
      <c r="AQ112" s="864"/>
      <c r="AR112" s="864"/>
      <c r="AS112" s="864"/>
      <c r="AT112" s="864"/>
      <c r="AU112" s="864"/>
      <c r="AV112" s="980"/>
      <c r="AW112" s="980"/>
      <c r="AX112" s="864"/>
      <c r="AY112" s="864"/>
      <c r="AZ112" s="864"/>
      <c r="BA112" s="852"/>
      <c r="BB112" s="855"/>
      <c r="BC112" s="980"/>
      <c r="BD112" s="855"/>
      <c r="BE112" s="864"/>
      <c r="BF112" s="864"/>
      <c r="BG112" s="864"/>
      <c r="BH112" s="864"/>
      <c r="BI112" s="864"/>
      <c r="BJ112" s="864"/>
      <c r="BK112" s="864"/>
      <c r="BL112" s="864"/>
      <c r="BM112" s="864"/>
      <c r="BN112" s="864"/>
      <c r="BO112" s="864"/>
      <c r="BP112" s="864"/>
      <c r="BQ112" s="864"/>
      <c r="BR112" s="864"/>
      <c r="BS112" s="864"/>
      <c r="BT112" s="980"/>
      <c r="BU112" s="980"/>
      <c r="BV112" s="980"/>
      <c r="BW112" s="980"/>
      <c r="BX112" s="864"/>
      <c r="BY112" s="864"/>
      <c r="BZ112" s="864"/>
      <c r="CA112" s="864"/>
      <c r="CB112" s="864"/>
      <c r="CC112" s="998"/>
      <c r="CD112" s="864"/>
      <c r="CE112" s="864"/>
      <c r="CF112" s="864"/>
      <c r="CG112" s="864"/>
      <c r="CH112" s="864"/>
      <c r="CI112" s="864"/>
      <c r="CJ112" s="864"/>
      <c r="CK112" s="980"/>
      <c r="CL112" s="980"/>
      <c r="CM112" s="864"/>
      <c r="CN112" s="864"/>
      <c r="CO112" s="864"/>
      <c r="CP112" s="864"/>
      <c r="CQ112" s="864"/>
      <c r="CR112" s="864"/>
      <c r="CS112" s="864"/>
      <c r="CT112" s="864"/>
      <c r="CU112" s="864"/>
      <c r="CV112" s="864"/>
      <c r="CW112" s="864"/>
      <c r="CX112" s="864"/>
      <c r="CY112" s="864"/>
      <c r="CZ112" s="864"/>
      <c r="DA112" s="864"/>
      <c r="DB112" s="864"/>
      <c r="DC112" s="864"/>
      <c r="DD112" s="864"/>
      <c r="DE112" s="864"/>
      <c r="DF112" s="980"/>
      <c r="DG112" s="864"/>
      <c r="DH112" s="980"/>
      <c r="DI112" s="980"/>
      <c r="DJ112" s="980"/>
      <c r="DK112" s="980" t="s">
        <v>504</v>
      </c>
      <c r="DL112" s="980"/>
      <c r="DM112" s="980"/>
      <c r="DN112" s="864"/>
      <c r="DO112" s="864"/>
      <c r="DP112" s="980"/>
      <c r="DQ112" s="864"/>
      <c r="DR112" s="864"/>
      <c r="DS112" s="864"/>
      <c r="DT112" s="864"/>
      <c r="DU112" s="864"/>
      <c r="DV112" s="864"/>
      <c r="DW112" s="864"/>
      <c r="DX112" s="864"/>
      <c r="DY112" s="864"/>
      <c r="DZ112" s="864"/>
      <c r="EA112" s="864"/>
      <c r="EB112" s="864"/>
      <c r="EC112" s="864"/>
      <c r="ED112" s="864"/>
      <c r="EE112" s="864"/>
      <c r="EF112" s="980"/>
      <c r="EG112" s="980"/>
      <c r="EH112" s="980">
        <v>2309</v>
      </c>
      <c r="EI112" s="855">
        <v>166</v>
      </c>
      <c r="EJ112" s="999"/>
      <c r="EK112" s="999" t="s">
        <v>3078</v>
      </c>
      <c r="EL112" s="999"/>
      <c r="EM112" s="999">
        <v>25</v>
      </c>
      <c r="EN112" s="999"/>
      <c r="EO112" s="999"/>
      <c r="EP112" s="999"/>
      <c r="EQ112" s="999"/>
      <c r="ER112" s="999">
        <v>7487</v>
      </c>
      <c r="ES112" s="999">
        <v>672</v>
      </c>
      <c r="ET112" s="999">
        <v>8459</v>
      </c>
      <c r="EU112" s="864"/>
      <c r="EV112" s="864"/>
      <c r="EW112" s="980"/>
      <c r="EX112" s="864"/>
      <c r="EY112" s="864"/>
      <c r="EZ112" s="864"/>
      <c r="FA112" s="864"/>
      <c r="FB112" s="864"/>
      <c r="FC112" s="864"/>
      <c r="FD112" s="864"/>
      <c r="FE112" s="980"/>
      <c r="FF112" s="864"/>
      <c r="FG112" s="864"/>
      <c r="FH112" s="864"/>
      <c r="FI112" s="864"/>
      <c r="FJ112" s="864"/>
      <c r="FK112" s="1000"/>
      <c r="FL112" s="1000"/>
      <c r="FM112" s="980"/>
      <c r="FN112" s="980"/>
      <c r="FO112" s="980"/>
      <c r="FP112" s="980">
        <v>4976</v>
      </c>
      <c r="FQ112" s="980"/>
      <c r="FR112" s="864"/>
      <c r="FS112" s="864"/>
      <c r="FT112" s="864"/>
      <c r="FU112" s="864"/>
      <c r="FV112" s="864"/>
      <c r="FW112" s="864"/>
      <c r="FX112" s="864"/>
      <c r="FY112" s="864"/>
      <c r="FZ112" s="864"/>
      <c r="GA112" s="980">
        <v>1058</v>
      </c>
      <c r="GB112" s="980"/>
      <c r="GC112" s="980"/>
      <c r="GD112" s="980"/>
      <c r="GE112" s="980"/>
      <c r="GF112" s="980"/>
      <c r="GG112" s="980" t="s">
        <v>465</v>
      </c>
      <c r="GH112" s="864"/>
      <c r="GI112" s="864"/>
      <c r="GJ112" s="864"/>
      <c r="GK112" s="864"/>
      <c r="GL112" s="864"/>
      <c r="GM112" s="864"/>
      <c r="GN112" s="864"/>
      <c r="GO112" s="1001"/>
      <c r="GP112" s="1002"/>
      <c r="GQ112" s="867"/>
      <c r="GR112" s="864"/>
      <c r="GS112" s="864"/>
      <c r="GT112" s="864"/>
      <c r="GU112" s="864"/>
      <c r="GV112" s="864"/>
      <c r="GW112" s="864"/>
      <c r="GX112" s="864"/>
      <c r="GY112" s="864"/>
      <c r="GZ112" s="864"/>
      <c r="HA112" s="864"/>
      <c r="HB112" s="864"/>
      <c r="HC112" s="864"/>
      <c r="HD112" s="864"/>
      <c r="HE112" s="980">
        <v>6615</v>
      </c>
      <c r="HF112" s="980"/>
      <c r="HG112" s="864"/>
      <c r="HH112" s="999"/>
      <c r="HI112" s="980"/>
      <c r="HJ112" s="980"/>
      <c r="HK112" s="999"/>
      <c r="HL112" s="864"/>
      <c r="HM112" s="864"/>
      <c r="HN112" s="864"/>
      <c r="HO112" s="1004"/>
      <c r="HP112" s="980"/>
      <c r="HQ112" s="980"/>
      <c r="HR112" s="998"/>
      <c r="HS112" s="980"/>
      <c r="HT112" s="980"/>
      <c r="HU112" s="980"/>
      <c r="HV112" s="852"/>
      <c r="HW112" s="980"/>
      <c r="HX112" s="980"/>
      <c r="HY112" s="980"/>
      <c r="HZ112" s="980"/>
      <c r="IA112" s="980"/>
      <c r="IB112" s="980"/>
      <c r="IC112" s="980"/>
      <c r="ID112" s="980"/>
      <c r="IE112" s="980"/>
      <c r="IF112" s="980"/>
      <c r="IG112" s="998"/>
      <c r="IH112" s="980"/>
      <c r="II112" s="980"/>
      <c r="IJ112" s="998"/>
      <c r="IK112" s="980"/>
      <c r="IL112" s="980" t="s">
        <v>3781</v>
      </c>
      <c r="IM112" s="980">
        <v>1</v>
      </c>
      <c r="IN112" s="980"/>
      <c r="IO112" s="864"/>
      <c r="IP112" s="864"/>
      <c r="IQ112" s="864"/>
      <c r="IR112" s="998">
        <v>150</v>
      </c>
      <c r="IS112" s="980"/>
      <c r="IT112" s="980"/>
      <c r="IU112" s="980">
        <v>37052</v>
      </c>
      <c r="IV112" s="980">
        <v>25013</v>
      </c>
      <c r="IW112" s="980">
        <v>421</v>
      </c>
      <c r="IX112" s="999"/>
      <c r="IY112" s="855">
        <v>1673</v>
      </c>
      <c r="IZ112" s="980"/>
      <c r="JA112" s="980">
        <v>0</v>
      </c>
      <c r="JB112" s="980">
        <v>11237</v>
      </c>
      <c r="JC112" s="980">
        <v>38</v>
      </c>
      <c r="JD112" s="980"/>
      <c r="JE112" s="980">
        <f>36+50</f>
        <v>86</v>
      </c>
      <c r="JF112" s="999"/>
      <c r="JG112" s="980">
        <v>1189</v>
      </c>
      <c r="JH112" s="980"/>
      <c r="JI112" s="980"/>
      <c r="JJ112" s="980"/>
      <c r="JK112" s="980"/>
      <c r="JL112" s="980">
        <v>85</v>
      </c>
      <c r="JM112" s="980"/>
      <c r="JN112" s="980"/>
      <c r="JO112" s="980"/>
      <c r="JP112" s="907">
        <v>287</v>
      </c>
      <c r="JQ112" s="999"/>
      <c r="JR112" s="980"/>
      <c r="JS112" s="980"/>
      <c r="JT112" s="980"/>
      <c r="JU112" s="980"/>
      <c r="JV112" s="980"/>
      <c r="JW112" s="980"/>
      <c r="JX112" s="980"/>
      <c r="JY112" s="980"/>
      <c r="JZ112" s="980"/>
      <c r="KA112" s="980"/>
      <c r="KB112" s="980"/>
      <c r="KC112" s="980"/>
      <c r="KD112" s="980"/>
      <c r="KE112" s="998"/>
      <c r="KF112" s="998">
        <v>0</v>
      </c>
      <c r="KG112" s="998"/>
      <c r="KH112" s="998"/>
      <c r="KI112" s="998"/>
      <c r="KJ112" s="998"/>
      <c r="KK112" s="998"/>
      <c r="KL112" s="980"/>
      <c r="KM112" s="864"/>
      <c r="KN112" s="864"/>
      <c r="KO112" s="864"/>
      <c r="KP112" s="864"/>
      <c r="KQ112" s="864"/>
      <c r="KR112" s="980"/>
      <c r="KS112" s="864"/>
      <c r="KT112" s="980">
        <v>1014</v>
      </c>
      <c r="KU112" s="864"/>
      <c r="KV112" s="980">
        <v>303</v>
      </c>
      <c r="KW112" s="980">
        <v>522</v>
      </c>
      <c r="KX112" s="980">
        <v>1676</v>
      </c>
      <c r="KY112" s="858">
        <v>1633</v>
      </c>
      <c r="KZ112" s="980">
        <v>6261</v>
      </c>
      <c r="LA112" s="1000">
        <v>600</v>
      </c>
      <c r="LB112" s="980">
        <v>355</v>
      </c>
      <c r="LC112" s="980">
        <v>355</v>
      </c>
      <c r="LD112" s="980"/>
      <c r="LE112" s="980"/>
      <c r="LF112" s="858">
        <v>49</v>
      </c>
      <c r="LG112" s="999"/>
      <c r="LH112" s="999"/>
      <c r="LI112" s="999"/>
      <c r="LJ112" s="999"/>
      <c r="LK112" s="999"/>
      <c r="LL112" s="999"/>
      <c r="LM112" s="999"/>
      <c r="LN112" s="999"/>
      <c r="LO112" s="999"/>
      <c r="LP112" s="999">
        <v>98</v>
      </c>
      <c r="LQ112" s="999">
        <v>136</v>
      </c>
      <c r="LR112" s="999"/>
      <c r="LS112" s="999"/>
      <c r="LT112" s="999"/>
      <c r="LU112" s="999"/>
      <c r="LV112" s="999"/>
      <c r="LW112" s="999">
        <v>1034</v>
      </c>
      <c r="LX112" s="999"/>
      <c r="LY112" s="999"/>
    </row>
    <row r="113" spans="1:337" ht="15.75" customHeight="1" x14ac:dyDescent="0.25">
      <c r="A113" s="1584"/>
      <c r="B113" s="1587"/>
      <c r="C113" s="1594" t="s">
        <v>57</v>
      </c>
      <c r="D113" s="1597" t="s">
        <v>281</v>
      </c>
      <c r="E113" s="849" t="s">
        <v>171</v>
      </c>
      <c r="F113" s="1058"/>
      <c r="G113" s="1058"/>
      <c r="H113" s="864"/>
      <c r="I113" s="864"/>
      <c r="J113" s="864"/>
      <c r="K113" s="864"/>
      <c r="L113" s="864"/>
      <c r="M113" s="864"/>
      <c r="N113" s="852"/>
      <c r="O113" s="864"/>
      <c r="P113" s="864"/>
      <c r="Q113" s="864"/>
      <c r="R113" s="864"/>
      <c r="S113" s="864"/>
      <c r="T113" s="864"/>
      <c r="U113" s="864"/>
      <c r="V113" s="855" t="s">
        <v>471</v>
      </c>
      <c r="W113" s="855" t="s">
        <v>471</v>
      </c>
      <c r="X113" s="855" t="s">
        <v>471</v>
      </c>
      <c r="Y113" s="855" t="s">
        <v>479</v>
      </c>
      <c r="Z113" s="855" t="s">
        <v>500</v>
      </c>
      <c r="AA113" s="864"/>
      <c r="AB113" s="864"/>
      <c r="AC113" s="864"/>
      <c r="AD113" s="864"/>
      <c r="AE113" s="864"/>
      <c r="AF113" s="864"/>
      <c r="AG113" s="864"/>
      <c r="AH113" s="864"/>
      <c r="AI113" s="864"/>
      <c r="AJ113" s="864"/>
      <c r="AK113" s="864"/>
      <c r="AL113" s="864"/>
      <c r="AM113" s="864"/>
      <c r="AN113" s="864"/>
      <c r="AO113" s="864"/>
      <c r="AP113" s="864"/>
      <c r="AQ113" s="864"/>
      <c r="AR113" s="864"/>
      <c r="AS113" s="864"/>
      <c r="AT113" s="864"/>
      <c r="AU113" s="864"/>
      <c r="AV113" s="855" t="s">
        <v>500</v>
      </c>
      <c r="AW113" s="855" t="s">
        <v>500</v>
      </c>
      <c r="AX113" s="864"/>
      <c r="AY113" s="864"/>
      <c r="AZ113" s="864"/>
      <c r="BA113" s="852" t="s">
        <v>500</v>
      </c>
      <c r="BB113" s="980" t="s">
        <v>504</v>
      </c>
      <c r="BC113" s="855" t="s">
        <v>500</v>
      </c>
      <c r="BD113" s="980" t="s">
        <v>656</v>
      </c>
      <c r="BE113" s="864"/>
      <c r="BF113" s="864"/>
      <c r="BG113" s="864"/>
      <c r="BH113" s="864"/>
      <c r="BI113" s="864"/>
      <c r="BJ113" s="864"/>
      <c r="BK113" s="864"/>
      <c r="BL113" s="864"/>
      <c r="BM113" s="864"/>
      <c r="BN113" s="864"/>
      <c r="BO113" s="864"/>
      <c r="BP113" s="864"/>
      <c r="BQ113" s="864"/>
      <c r="BR113" s="864"/>
      <c r="BS113" s="864"/>
      <c r="BT113" s="855" t="s">
        <v>500</v>
      </c>
      <c r="BU113" s="855"/>
      <c r="BV113" s="855" t="s">
        <v>504</v>
      </c>
      <c r="BW113" s="855" t="s">
        <v>500</v>
      </c>
      <c r="BX113" s="864"/>
      <c r="BY113" s="864"/>
      <c r="BZ113" s="864"/>
      <c r="CA113" s="864"/>
      <c r="CB113" s="864"/>
      <c r="CC113" s="862"/>
      <c r="CD113" s="864"/>
      <c r="CE113" s="864"/>
      <c r="CF113" s="864"/>
      <c r="CG113" s="864"/>
      <c r="CH113" s="864"/>
      <c r="CI113" s="864"/>
      <c r="CJ113" s="864"/>
      <c r="CK113" s="855"/>
      <c r="CL113" s="855"/>
      <c r="CM113" s="864"/>
      <c r="CN113" s="864"/>
      <c r="CO113" s="864"/>
      <c r="CP113" s="864"/>
      <c r="CQ113" s="864"/>
      <c r="CR113" s="864"/>
      <c r="CS113" s="864"/>
      <c r="CT113" s="864"/>
      <c r="CU113" s="864"/>
      <c r="CV113" s="864"/>
      <c r="CW113" s="864"/>
      <c r="CX113" s="864"/>
      <c r="CY113" s="864"/>
      <c r="CZ113" s="864"/>
      <c r="DA113" s="864"/>
      <c r="DB113" s="864"/>
      <c r="DC113" s="864"/>
      <c r="DD113" s="864"/>
      <c r="DE113" s="864"/>
      <c r="DF113" s="855"/>
      <c r="DG113" s="864"/>
      <c r="DH113" s="855" t="s">
        <v>504</v>
      </c>
      <c r="DI113" s="855"/>
      <c r="DJ113" s="855"/>
      <c r="DK113" s="855" t="s">
        <v>504</v>
      </c>
      <c r="DL113" s="855" t="s">
        <v>504</v>
      </c>
      <c r="DM113" s="855" t="s">
        <v>504</v>
      </c>
      <c r="DN113" s="864"/>
      <c r="DO113" s="864"/>
      <c r="DP113" s="855" t="s">
        <v>656</v>
      </c>
      <c r="DQ113" s="864"/>
      <c r="DR113" s="864"/>
      <c r="DS113" s="864"/>
      <c r="DT113" s="864"/>
      <c r="DU113" s="864"/>
      <c r="DV113" s="864"/>
      <c r="DW113" s="864"/>
      <c r="DX113" s="864"/>
      <c r="DY113" s="864"/>
      <c r="DZ113" s="864"/>
      <c r="EA113" s="864"/>
      <c r="EB113" s="864"/>
      <c r="EC113" s="864"/>
      <c r="ED113" s="864"/>
      <c r="EE113" s="864"/>
      <c r="EF113" s="855" t="s">
        <v>500</v>
      </c>
      <c r="EG113" s="855" t="s">
        <v>504</v>
      </c>
      <c r="EH113" s="855" t="s">
        <v>504</v>
      </c>
      <c r="EI113" s="855" t="s">
        <v>504</v>
      </c>
      <c r="EJ113" s="858" t="s">
        <v>504</v>
      </c>
      <c r="EK113" s="858" t="s">
        <v>500</v>
      </c>
      <c r="EL113" s="858" t="s">
        <v>500</v>
      </c>
      <c r="EM113" s="858" t="s">
        <v>500</v>
      </c>
      <c r="EN113" s="858" t="s">
        <v>500</v>
      </c>
      <c r="EO113" s="858" t="s">
        <v>500</v>
      </c>
      <c r="EP113" s="858" t="s">
        <v>500</v>
      </c>
      <c r="EQ113" s="858" t="s">
        <v>500</v>
      </c>
      <c r="ER113" s="858"/>
      <c r="ES113" s="858" t="s">
        <v>504</v>
      </c>
      <c r="ET113" s="858" t="s">
        <v>504</v>
      </c>
      <c r="EU113" s="864"/>
      <c r="EV113" s="864"/>
      <c r="EW113" s="855" t="s">
        <v>504</v>
      </c>
      <c r="EX113" s="864"/>
      <c r="EY113" s="864"/>
      <c r="EZ113" s="864"/>
      <c r="FA113" s="864"/>
      <c r="FB113" s="864"/>
      <c r="FC113" s="864"/>
      <c r="FD113" s="864"/>
      <c r="FE113" s="980" t="s">
        <v>479</v>
      </c>
      <c r="FF113" s="864"/>
      <c r="FG113" s="864"/>
      <c r="FH113" s="864"/>
      <c r="FI113" s="864"/>
      <c r="FJ113" s="864"/>
      <c r="FK113" s="852" t="s">
        <v>504</v>
      </c>
      <c r="FL113" s="852" t="s">
        <v>504</v>
      </c>
      <c r="FM113" s="855" t="s">
        <v>504</v>
      </c>
      <c r="FN113" s="855"/>
      <c r="FO113" s="855" t="s">
        <v>500</v>
      </c>
      <c r="FP113" s="855" t="s">
        <v>504</v>
      </c>
      <c r="FQ113" s="855" t="s">
        <v>504</v>
      </c>
      <c r="FR113" s="864"/>
      <c r="FS113" s="864"/>
      <c r="FT113" s="864"/>
      <c r="FU113" s="864"/>
      <c r="FV113" s="864"/>
      <c r="FW113" s="864"/>
      <c r="FX113" s="864"/>
      <c r="FY113" s="864"/>
      <c r="FZ113" s="864"/>
      <c r="GA113" s="855" t="s">
        <v>500</v>
      </c>
      <c r="GB113" s="855" t="s">
        <v>504</v>
      </c>
      <c r="GC113" s="855" t="s">
        <v>504</v>
      </c>
      <c r="GD113" s="855" t="s">
        <v>500</v>
      </c>
      <c r="GE113" s="855"/>
      <c r="GF113" s="855"/>
      <c r="GG113" s="855" t="s">
        <v>504</v>
      </c>
      <c r="GH113" s="864"/>
      <c r="GI113" s="864"/>
      <c r="GJ113" s="864"/>
      <c r="GK113" s="864"/>
      <c r="GL113" s="864"/>
      <c r="GM113" s="864"/>
      <c r="GN113" s="864"/>
      <c r="GO113" s="859" t="s">
        <v>504</v>
      </c>
      <c r="GP113" s="866" t="s">
        <v>500</v>
      </c>
      <c r="GQ113" s="860" t="s">
        <v>504</v>
      </c>
      <c r="GR113" s="864"/>
      <c r="GS113" s="864"/>
      <c r="GT113" s="864"/>
      <c r="GU113" s="864"/>
      <c r="GV113" s="864"/>
      <c r="GW113" s="864"/>
      <c r="GX113" s="864"/>
      <c r="GY113" s="864"/>
      <c r="GZ113" s="864"/>
      <c r="HA113" s="864"/>
      <c r="HB113" s="864"/>
      <c r="HC113" s="864"/>
      <c r="HD113" s="864"/>
      <c r="HE113" s="855" t="s">
        <v>504</v>
      </c>
      <c r="HF113" s="855" t="s">
        <v>500</v>
      </c>
      <c r="HG113" s="864"/>
      <c r="HH113" s="858" t="s">
        <v>500</v>
      </c>
      <c r="HI113" s="855" t="s">
        <v>504</v>
      </c>
      <c r="HJ113" s="855" t="s">
        <v>500</v>
      </c>
      <c r="HK113" s="858" t="s">
        <v>504</v>
      </c>
      <c r="HL113" s="864"/>
      <c r="HM113" s="864"/>
      <c r="HN113" s="864"/>
      <c r="HO113" s="861" t="s">
        <v>504</v>
      </c>
      <c r="HP113" s="855" t="s">
        <v>504</v>
      </c>
      <c r="HQ113" s="855" t="s">
        <v>500</v>
      </c>
      <c r="HR113" s="862" t="s">
        <v>504</v>
      </c>
      <c r="HS113" s="855" t="s">
        <v>500</v>
      </c>
      <c r="HT113" s="855" t="s">
        <v>500</v>
      </c>
      <c r="HU113" s="855" t="s">
        <v>500</v>
      </c>
      <c r="HV113" s="852"/>
      <c r="HW113" s="855" t="s">
        <v>500</v>
      </c>
      <c r="HX113" s="855" t="s">
        <v>504</v>
      </c>
      <c r="HY113" s="855" t="s">
        <v>500</v>
      </c>
      <c r="HZ113" s="855" t="s">
        <v>504</v>
      </c>
      <c r="IA113" s="855" t="s">
        <v>504</v>
      </c>
      <c r="IB113" s="855" t="s">
        <v>500</v>
      </c>
      <c r="IC113" s="855" t="s">
        <v>504</v>
      </c>
      <c r="ID113" s="855" t="s">
        <v>500</v>
      </c>
      <c r="IE113" s="855" t="s">
        <v>500</v>
      </c>
      <c r="IF113" s="855" t="s">
        <v>500</v>
      </c>
      <c r="IG113" s="862" t="s">
        <v>504</v>
      </c>
      <c r="IH113" s="855" t="s">
        <v>504</v>
      </c>
      <c r="II113" s="855" t="s">
        <v>504</v>
      </c>
      <c r="IJ113" s="862" t="s">
        <v>504</v>
      </c>
      <c r="IK113" s="855" t="s">
        <v>500</v>
      </c>
      <c r="IL113" s="855" t="s">
        <v>504</v>
      </c>
      <c r="IM113" s="855" t="s">
        <v>504</v>
      </c>
      <c r="IN113" s="855" t="s">
        <v>504</v>
      </c>
      <c r="IO113" s="864"/>
      <c r="IP113" s="864"/>
      <c r="IQ113" s="864"/>
      <c r="IR113" s="862" t="s">
        <v>504</v>
      </c>
      <c r="IS113" s="855" t="s">
        <v>504</v>
      </c>
      <c r="IT113" s="855" t="s">
        <v>500</v>
      </c>
      <c r="IU113" s="855" t="s">
        <v>504</v>
      </c>
      <c r="IV113" s="855" t="s">
        <v>504</v>
      </c>
      <c r="IW113" s="855" t="s">
        <v>500</v>
      </c>
      <c r="IX113" s="858" t="s">
        <v>504</v>
      </c>
      <c r="IY113" s="855" t="s">
        <v>504</v>
      </c>
      <c r="IZ113" s="855" t="s">
        <v>504</v>
      </c>
      <c r="JA113" s="855" t="s">
        <v>500</v>
      </c>
      <c r="JB113" s="855"/>
      <c r="JC113" s="855" t="s">
        <v>504</v>
      </c>
      <c r="JD113" s="855" t="s">
        <v>504</v>
      </c>
      <c r="JE113" s="855" t="s">
        <v>500</v>
      </c>
      <c r="JF113" s="858" t="s">
        <v>504</v>
      </c>
      <c r="JG113" s="855" t="s">
        <v>471</v>
      </c>
      <c r="JH113" s="855"/>
      <c r="JI113" s="855" t="s">
        <v>471</v>
      </c>
      <c r="JJ113" s="855" t="s">
        <v>504</v>
      </c>
      <c r="JK113" s="855" t="s">
        <v>504</v>
      </c>
      <c r="JL113" s="855" t="s">
        <v>500</v>
      </c>
      <c r="JM113" s="855" t="s">
        <v>500</v>
      </c>
      <c r="JN113" s="855" t="s">
        <v>504</v>
      </c>
      <c r="JO113" s="855" t="s">
        <v>504</v>
      </c>
      <c r="JP113" s="855" t="s">
        <v>504</v>
      </c>
      <c r="JQ113" s="858" t="s">
        <v>500</v>
      </c>
      <c r="JR113" s="855" t="s">
        <v>504</v>
      </c>
      <c r="JS113" s="855" t="s">
        <v>504</v>
      </c>
      <c r="JT113" s="855" t="s">
        <v>500</v>
      </c>
      <c r="JU113" s="855"/>
      <c r="JV113" s="855" t="s">
        <v>500</v>
      </c>
      <c r="JW113" s="855" t="s">
        <v>500</v>
      </c>
      <c r="JX113" s="855"/>
      <c r="JY113" s="855" t="s">
        <v>504</v>
      </c>
      <c r="JZ113" s="855" t="s">
        <v>504</v>
      </c>
      <c r="KA113" s="855" t="s">
        <v>504</v>
      </c>
      <c r="KB113" s="855" t="s">
        <v>504</v>
      </c>
      <c r="KC113" s="855" t="s">
        <v>500</v>
      </c>
      <c r="KD113" s="855" t="s">
        <v>504</v>
      </c>
      <c r="KE113" s="862" t="s">
        <v>504</v>
      </c>
      <c r="KF113" s="862" t="s">
        <v>504</v>
      </c>
      <c r="KG113" s="862" t="s">
        <v>504</v>
      </c>
      <c r="KH113" s="862" t="s">
        <v>504</v>
      </c>
      <c r="KI113" s="862" t="s">
        <v>504</v>
      </c>
      <c r="KJ113" s="862" t="s">
        <v>504</v>
      </c>
      <c r="KK113" s="862" t="s">
        <v>504</v>
      </c>
      <c r="KL113" s="855" t="s">
        <v>500</v>
      </c>
      <c r="KM113" s="864"/>
      <c r="KN113" s="864"/>
      <c r="KO113" s="864"/>
      <c r="KP113" s="864"/>
      <c r="KQ113" s="864"/>
      <c r="KR113" s="855" t="s">
        <v>504</v>
      </c>
      <c r="KS113" s="864"/>
      <c r="KT113" s="855" t="s">
        <v>504</v>
      </c>
      <c r="KU113" s="864"/>
      <c r="KV113" s="855" t="s">
        <v>500</v>
      </c>
      <c r="KW113" s="855" t="s">
        <v>500</v>
      </c>
      <c r="KX113" s="855" t="s">
        <v>500</v>
      </c>
      <c r="KY113" s="858" t="s">
        <v>656</v>
      </c>
      <c r="KZ113" s="855" t="s">
        <v>500</v>
      </c>
      <c r="LA113" s="852" t="s">
        <v>500</v>
      </c>
      <c r="LB113" s="855" t="s">
        <v>504</v>
      </c>
      <c r="LC113" s="855" t="s">
        <v>504</v>
      </c>
      <c r="LD113" s="855" t="s">
        <v>504</v>
      </c>
      <c r="LE113" s="855" t="s">
        <v>504</v>
      </c>
      <c r="LF113" s="858" t="s">
        <v>500</v>
      </c>
      <c r="LG113" s="858" t="s">
        <v>500</v>
      </c>
      <c r="LH113" s="858" t="s">
        <v>504</v>
      </c>
      <c r="LI113" s="858" t="s">
        <v>504</v>
      </c>
      <c r="LJ113" s="858" t="s">
        <v>504</v>
      </c>
      <c r="LK113" s="858" t="s">
        <v>504</v>
      </c>
      <c r="LL113" s="858" t="s">
        <v>504</v>
      </c>
      <c r="LM113" s="858" t="s">
        <v>504</v>
      </c>
      <c r="LN113" s="858" t="s">
        <v>500</v>
      </c>
      <c r="LO113" s="858" t="s">
        <v>504</v>
      </c>
      <c r="LP113" s="858" t="s">
        <v>500</v>
      </c>
      <c r="LQ113" s="858" t="s">
        <v>500</v>
      </c>
      <c r="LR113" s="858" t="s">
        <v>504</v>
      </c>
      <c r="LS113" s="858" t="s">
        <v>504</v>
      </c>
      <c r="LT113" s="858" t="s">
        <v>504</v>
      </c>
      <c r="LU113" s="858" t="s">
        <v>504</v>
      </c>
      <c r="LV113" s="858" t="s">
        <v>504</v>
      </c>
      <c r="LW113" s="858" t="s">
        <v>504</v>
      </c>
      <c r="LX113" s="858" t="s">
        <v>504</v>
      </c>
      <c r="LY113" s="858" t="s">
        <v>504</v>
      </c>
    </row>
    <row r="114" spans="1:337" ht="126" x14ac:dyDescent="0.25">
      <c r="A114" s="1584"/>
      <c r="B114" s="1587"/>
      <c r="C114" s="1600"/>
      <c r="D114" s="1598"/>
      <c r="E114" s="847" t="s">
        <v>172</v>
      </c>
      <c r="F114" s="1058"/>
      <c r="G114" s="1058"/>
      <c r="H114" s="864"/>
      <c r="I114" s="864"/>
      <c r="J114" s="864"/>
      <c r="K114" s="864"/>
      <c r="L114" s="864"/>
      <c r="M114" s="864"/>
      <c r="N114" s="852"/>
      <c r="O114" s="864"/>
      <c r="P114" s="864"/>
      <c r="Q114" s="864"/>
      <c r="R114" s="864"/>
      <c r="S114" s="864"/>
      <c r="T114" s="864"/>
      <c r="U114" s="864"/>
      <c r="V114" s="855" t="s">
        <v>2675</v>
      </c>
      <c r="W114" s="855" t="s">
        <v>2690</v>
      </c>
      <c r="X114" s="856" t="s">
        <v>2701</v>
      </c>
      <c r="Y114" s="855"/>
      <c r="Z114" s="855" t="s">
        <v>2724</v>
      </c>
      <c r="AA114" s="864"/>
      <c r="AB114" s="864"/>
      <c r="AC114" s="864"/>
      <c r="AD114" s="864"/>
      <c r="AE114" s="864"/>
      <c r="AF114" s="864"/>
      <c r="AG114" s="864"/>
      <c r="AH114" s="864"/>
      <c r="AI114" s="864"/>
      <c r="AJ114" s="864"/>
      <c r="AK114" s="864"/>
      <c r="AL114" s="864"/>
      <c r="AM114" s="864"/>
      <c r="AN114" s="864"/>
      <c r="AO114" s="864"/>
      <c r="AP114" s="864"/>
      <c r="AQ114" s="864"/>
      <c r="AR114" s="864"/>
      <c r="AS114" s="864"/>
      <c r="AT114" s="864"/>
      <c r="AU114" s="864"/>
      <c r="AV114" s="855" t="s">
        <v>2735</v>
      </c>
      <c r="AW114" s="855" t="s">
        <v>2749</v>
      </c>
      <c r="AX114" s="864"/>
      <c r="AY114" s="864"/>
      <c r="AZ114" s="864"/>
      <c r="BA114" s="852" t="s">
        <v>2018</v>
      </c>
      <c r="BB114" s="855"/>
      <c r="BC114" s="855" t="s">
        <v>581</v>
      </c>
      <c r="BD114" s="855" t="s">
        <v>2810</v>
      </c>
      <c r="BE114" s="864"/>
      <c r="BF114" s="864"/>
      <c r="BG114" s="864"/>
      <c r="BH114" s="864"/>
      <c r="BI114" s="864"/>
      <c r="BJ114" s="864"/>
      <c r="BK114" s="864"/>
      <c r="BL114" s="864"/>
      <c r="BM114" s="864"/>
      <c r="BN114" s="864"/>
      <c r="BO114" s="864"/>
      <c r="BP114" s="864"/>
      <c r="BQ114" s="864"/>
      <c r="BR114" s="864"/>
      <c r="BS114" s="864"/>
      <c r="BT114" s="855" t="s">
        <v>2735</v>
      </c>
      <c r="BU114" s="855"/>
      <c r="BV114" s="855"/>
      <c r="BW114" s="855" t="s">
        <v>2861</v>
      </c>
      <c r="BX114" s="864"/>
      <c r="BY114" s="864"/>
      <c r="BZ114" s="864"/>
      <c r="CA114" s="864"/>
      <c r="CB114" s="864"/>
      <c r="CC114" s="862"/>
      <c r="CD114" s="864"/>
      <c r="CE114" s="864"/>
      <c r="CF114" s="864"/>
      <c r="CG114" s="864"/>
      <c r="CH114" s="864"/>
      <c r="CI114" s="864"/>
      <c r="CJ114" s="864"/>
      <c r="CK114" s="855"/>
      <c r="CL114" s="855"/>
      <c r="CM114" s="864"/>
      <c r="CN114" s="864"/>
      <c r="CO114" s="864"/>
      <c r="CP114" s="864"/>
      <c r="CQ114" s="864"/>
      <c r="CR114" s="864"/>
      <c r="CS114" s="864"/>
      <c r="CT114" s="864"/>
      <c r="CU114" s="864"/>
      <c r="CV114" s="864"/>
      <c r="CW114" s="864"/>
      <c r="CX114" s="864"/>
      <c r="CY114" s="864"/>
      <c r="CZ114" s="864"/>
      <c r="DA114" s="864"/>
      <c r="DB114" s="864"/>
      <c r="DC114" s="864"/>
      <c r="DD114" s="864"/>
      <c r="DE114" s="864"/>
      <c r="DF114" s="855"/>
      <c r="DG114" s="864"/>
      <c r="DH114" s="855"/>
      <c r="DI114" s="855"/>
      <c r="DJ114" s="855"/>
      <c r="DK114" s="855" t="s">
        <v>504</v>
      </c>
      <c r="DL114" s="855"/>
      <c r="DM114" s="855"/>
      <c r="DN114" s="864"/>
      <c r="DO114" s="864"/>
      <c r="DP114" s="855" t="s">
        <v>2987</v>
      </c>
      <c r="DQ114" s="864"/>
      <c r="DR114" s="864"/>
      <c r="DS114" s="864"/>
      <c r="DT114" s="864"/>
      <c r="DU114" s="864"/>
      <c r="DV114" s="864"/>
      <c r="DW114" s="864"/>
      <c r="DX114" s="864"/>
      <c r="DY114" s="864"/>
      <c r="DZ114" s="864"/>
      <c r="EA114" s="864"/>
      <c r="EB114" s="864"/>
      <c r="EC114" s="864"/>
      <c r="ED114" s="864"/>
      <c r="EE114" s="864"/>
      <c r="EF114" s="855" t="s">
        <v>2998</v>
      </c>
      <c r="EG114" s="855"/>
      <c r="EH114" s="855"/>
      <c r="EI114" s="855"/>
      <c r="EJ114" s="858"/>
      <c r="EK114" s="858" t="s">
        <v>935</v>
      </c>
      <c r="EL114" s="858" t="s">
        <v>3089</v>
      </c>
      <c r="EM114" s="853" t="s">
        <v>3102</v>
      </c>
      <c r="EN114" s="858" t="s">
        <v>2724</v>
      </c>
      <c r="EO114" s="858" t="s">
        <v>1052</v>
      </c>
      <c r="EP114" s="853" t="s">
        <v>3138</v>
      </c>
      <c r="EQ114" s="858"/>
      <c r="ER114" s="858"/>
      <c r="ES114" s="858"/>
      <c r="ET114" s="858"/>
      <c r="EU114" s="864"/>
      <c r="EV114" s="864"/>
      <c r="EW114" s="855"/>
      <c r="EX114" s="864"/>
      <c r="EY114" s="864"/>
      <c r="EZ114" s="864"/>
      <c r="FA114" s="864"/>
      <c r="FB114" s="864"/>
      <c r="FC114" s="864"/>
      <c r="FD114" s="864"/>
      <c r="FE114" s="855"/>
      <c r="FF114" s="864"/>
      <c r="FG114" s="864"/>
      <c r="FH114" s="864"/>
      <c r="FI114" s="864"/>
      <c r="FJ114" s="864"/>
      <c r="FK114" s="852"/>
      <c r="FL114" s="852"/>
      <c r="FM114" s="855"/>
      <c r="FN114" s="855"/>
      <c r="FO114" s="852" t="s">
        <v>3297</v>
      </c>
      <c r="FP114" s="855"/>
      <c r="FQ114" s="855"/>
      <c r="FR114" s="864"/>
      <c r="FS114" s="864"/>
      <c r="FT114" s="864"/>
      <c r="FU114" s="864"/>
      <c r="FV114" s="864"/>
      <c r="FW114" s="864"/>
      <c r="FX114" s="864"/>
      <c r="FY114" s="864"/>
      <c r="FZ114" s="864"/>
      <c r="GA114" s="855"/>
      <c r="GB114" s="855"/>
      <c r="GC114" s="855"/>
      <c r="GD114" s="855"/>
      <c r="GE114" s="855"/>
      <c r="GF114" s="855"/>
      <c r="GG114" s="855" t="s">
        <v>465</v>
      </c>
      <c r="GH114" s="864"/>
      <c r="GI114" s="864"/>
      <c r="GJ114" s="864"/>
      <c r="GK114" s="864"/>
      <c r="GL114" s="864"/>
      <c r="GM114" s="864"/>
      <c r="GN114" s="864"/>
      <c r="GO114" s="859"/>
      <c r="GP114" s="866" t="s">
        <v>3448</v>
      </c>
      <c r="GQ114" s="867"/>
      <c r="GR114" s="864"/>
      <c r="GS114" s="864"/>
      <c r="GT114" s="864"/>
      <c r="GU114" s="864"/>
      <c r="GV114" s="864"/>
      <c r="GW114" s="864"/>
      <c r="GX114" s="864"/>
      <c r="GY114" s="864"/>
      <c r="GZ114" s="864"/>
      <c r="HA114" s="864"/>
      <c r="HB114" s="864"/>
      <c r="HC114" s="864"/>
      <c r="HD114" s="864"/>
      <c r="HE114" s="855"/>
      <c r="HF114" s="855" t="s">
        <v>3489</v>
      </c>
      <c r="HG114" s="864"/>
      <c r="HH114" s="853" t="s">
        <v>3501</v>
      </c>
      <c r="HI114" s="855"/>
      <c r="HJ114" s="855" t="s">
        <v>2724</v>
      </c>
      <c r="HK114" s="858"/>
      <c r="HL114" s="864"/>
      <c r="HM114" s="864"/>
      <c r="HN114" s="864"/>
      <c r="HO114" s="861"/>
      <c r="HP114" s="855"/>
      <c r="HQ114" s="855" t="s">
        <v>630</v>
      </c>
      <c r="HR114" s="862"/>
      <c r="HS114" s="855" t="s">
        <v>630</v>
      </c>
      <c r="HT114" s="855" t="s">
        <v>630</v>
      </c>
      <c r="HU114" s="855" t="s">
        <v>630</v>
      </c>
      <c r="HV114" s="1000"/>
      <c r="HW114" s="855" t="s">
        <v>630</v>
      </c>
      <c r="HX114" s="855"/>
      <c r="HY114" s="855" t="s">
        <v>2724</v>
      </c>
      <c r="HZ114" s="855"/>
      <c r="IA114" s="855"/>
      <c r="IB114" s="855" t="s">
        <v>3674</v>
      </c>
      <c r="IC114" s="855"/>
      <c r="ID114" s="855" t="s">
        <v>3699</v>
      </c>
      <c r="IE114" s="855"/>
      <c r="IF114" s="855" t="s">
        <v>630</v>
      </c>
      <c r="IG114" s="862"/>
      <c r="IH114" s="855"/>
      <c r="II114" s="855"/>
      <c r="IJ114" s="862"/>
      <c r="IK114" s="855" t="s">
        <v>630</v>
      </c>
      <c r="IL114" s="855"/>
      <c r="IM114" s="855"/>
      <c r="IN114" s="855"/>
      <c r="IO114" s="864"/>
      <c r="IP114" s="864"/>
      <c r="IQ114" s="864"/>
      <c r="IR114" s="862" t="s">
        <v>504</v>
      </c>
      <c r="IS114" s="855"/>
      <c r="IT114" s="855" t="s">
        <v>935</v>
      </c>
      <c r="IU114" s="855"/>
      <c r="IV114" s="855" t="s">
        <v>465</v>
      </c>
      <c r="IW114" s="855" t="s">
        <v>3918</v>
      </c>
      <c r="IX114" s="858"/>
      <c r="IY114" s="855"/>
      <c r="IZ114" s="855"/>
      <c r="JA114" s="855"/>
      <c r="JB114" s="855"/>
      <c r="JC114" s="855"/>
      <c r="JD114" s="855"/>
      <c r="JE114" s="1061"/>
      <c r="JF114" s="858"/>
      <c r="JG114" s="855" t="s">
        <v>4071</v>
      </c>
      <c r="JH114" s="855"/>
      <c r="JI114" s="855" t="s">
        <v>4108</v>
      </c>
      <c r="JJ114" s="855"/>
      <c r="JK114" s="855"/>
      <c r="JL114" s="980" t="s">
        <v>4146</v>
      </c>
      <c r="JM114" s="855" t="s">
        <v>4154</v>
      </c>
      <c r="JN114" s="855"/>
      <c r="JO114" s="855"/>
      <c r="JP114" s="855"/>
      <c r="JQ114" s="858" t="s">
        <v>4182</v>
      </c>
      <c r="JR114" s="855"/>
      <c r="JS114" s="855"/>
      <c r="JT114" s="855" t="s">
        <v>4208</v>
      </c>
      <c r="JU114" s="855"/>
      <c r="JV114" s="855" t="s">
        <v>4227</v>
      </c>
      <c r="JW114" s="855"/>
      <c r="JX114" s="855"/>
      <c r="JY114" s="855"/>
      <c r="JZ114" s="855"/>
      <c r="KA114" s="855"/>
      <c r="KB114" s="855"/>
      <c r="KC114" s="1062" t="s">
        <v>935</v>
      </c>
      <c r="KD114" s="855"/>
      <c r="KE114" s="862" t="s">
        <v>504</v>
      </c>
      <c r="KF114" s="862" t="s">
        <v>504</v>
      </c>
      <c r="KG114" s="862" t="s">
        <v>504</v>
      </c>
      <c r="KH114" s="862" t="s">
        <v>504</v>
      </c>
      <c r="KI114" s="862" t="s">
        <v>504</v>
      </c>
      <c r="KJ114" s="862" t="s">
        <v>504</v>
      </c>
      <c r="KK114" s="862" t="s">
        <v>504</v>
      </c>
      <c r="KL114" s="855" t="s">
        <v>4373</v>
      </c>
      <c r="KM114" s="864"/>
      <c r="KN114" s="864"/>
      <c r="KO114" s="864"/>
      <c r="KP114" s="864"/>
      <c r="KQ114" s="864"/>
      <c r="KR114" s="855"/>
      <c r="KS114" s="864"/>
      <c r="KT114" s="855"/>
      <c r="KU114" s="864"/>
      <c r="KV114" s="855"/>
      <c r="KW114" s="855" t="s">
        <v>4447</v>
      </c>
      <c r="KX114" s="855" t="s">
        <v>4468</v>
      </c>
      <c r="KY114" s="858" t="s">
        <v>4485</v>
      </c>
      <c r="KZ114" s="855" t="s">
        <v>4510</v>
      </c>
      <c r="LA114" s="852" t="s">
        <v>4530</v>
      </c>
      <c r="LB114" s="855"/>
      <c r="LC114" s="855"/>
      <c r="LD114" s="855"/>
      <c r="LE114" s="855"/>
      <c r="LF114" s="858" t="s">
        <v>4585</v>
      </c>
      <c r="LG114" s="858" t="s">
        <v>4603</v>
      </c>
      <c r="LH114" s="858"/>
      <c r="LI114" s="858"/>
      <c r="LJ114" s="858"/>
      <c r="LK114" s="858"/>
      <c r="LL114" s="858"/>
      <c r="LM114" s="858"/>
      <c r="LN114" s="858" t="s">
        <v>4676</v>
      </c>
      <c r="LO114" s="858"/>
      <c r="LP114" s="938" t="s">
        <v>4703</v>
      </c>
      <c r="LQ114" s="858" t="s">
        <v>4724</v>
      </c>
      <c r="LR114" s="858"/>
      <c r="LS114" s="858"/>
      <c r="LT114" s="858"/>
      <c r="LU114" s="858"/>
      <c r="LV114" s="858"/>
      <c r="LW114" s="858"/>
      <c r="LX114" s="858"/>
      <c r="LY114" s="858"/>
    </row>
    <row r="115" spans="1:337" ht="16.5" thickBot="1" x14ac:dyDescent="0.3">
      <c r="A115" s="1584"/>
      <c r="B115" s="1587"/>
      <c r="C115" s="1603"/>
      <c r="D115" s="1599"/>
      <c r="E115" s="850" t="s">
        <v>174</v>
      </c>
      <c r="F115" s="1058"/>
      <c r="G115" s="1058"/>
      <c r="H115" s="864"/>
      <c r="I115" s="864"/>
      <c r="J115" s="864"/>
      <c r="K115" s="864"/>
      <c r="L115" s="864"/>
      <c r="M115" s="864"/>
      <c r="N115" s="852"/>
      <c r="O115" s="864"/>
      <c r="P115" s="864"/>
      <c r="Q115" s="864"/>
      <c r="R115" s="864"/>
      <c r="S115" s="864"/>
      <c r="T115" s="864"/>
      <c r="U115" s="864"/>
      <c r="V115" s="980" t="s">
        <v>465</v>
      </c>
      <c r="W115" s="980">
        <v>154</v>
      </c>
      <c r="X115" s="980">
        <v>51</v>
      </c>
      <c r="Y115" s="980"/>
      <c r="Z115" s="980">
        <v>308</v>
      </c>
      <c r="AA115" s="864"/>
      <c r="AB115" s="864"/>
      <c r="AC115" s="864"/>
      <c r="AD115" s="864"/>
      <c r="AE115" s="864"/>
      <c r="AF115" s="864"/>
      <c r="AG115" s="864"/>
      <c r="AH115" s="864"/>
      <c r="AI115" s="864"/>
      <c r="AJ115" s="864"/>
      <c r="AK115" s="864"/>
      <c r="AL115" s="864"/>
      <c r="AM115" s="864"/>
      <c r="AN115" s="864"/>
      <c r="AO115" s="864"/>
      <c r="AP115" s="864"/>
      <c r="AQ115" s="864"/>
      <c r="AR115" s="864"/>
      <c r="AS115" s="864"/>
      <c r="AT115" s="864"/>
      <c r="AU115" s="864"/>
      <c r="AV115" s="980">
        <v>19</v>
      </c>
      <c r="AW115" s="980">
        <v>246</v>
      </c>
      <c r="AX115" s="864"/>
      <c r="AY115" s="864"/>
      <c r="AZ115" s="864"/>
      <c r="BA115" s="852">
        <v>526</v>
      </c>
      <c r="BB115" s="855"/>
      <c r="BC115" s="980">
        <v>88</v>
      </c>
      <c r="BD115" s="855">
        <v>364</v>
      </c>
      <c r="BE115" s="864"/>
      <c r="BF115" s="864"/>
      <c r="BG115" s="864"/>
      <c r="BH115" s="864"/>
      <c r="BI115" s="864"/>
      <c r="BJ115" s="864"/>
      <c r="BK115" s="864"/>
      <c r="BL115" s="864"/>
      <c r="BM115" s="864"/>
      <c r="BN115" s="864"/>
      <c r="BO115" s="864"/>
      <c r="BP115" s="864"/>
      <c r="BQ115" s="864"/>
      <c r="BR115" s="864"/>
      <c r="BS115" s="864"/>
      <c r="BT115" s="980">
        <f>1269+915+1115+214+1444+555+1329+511</f>
        <v>7352</v>
      </c>
      <c r="BU115" s="980"/>
      <c r="BV115" s="980"/>
      <c r="BW115" s="980">
        <v>20</v>
      </c>
      <c r="BX115" s="864"/>
      <c r="BY115" s="864"/>
      <c r="BZ115" s="864"/>
      <c r="CA115" s="864"/>
      <c r="CB115" s="864"/>
      <c r="CC115" s="998"/>
      <c r="CD115" s="864"/>
      <c r="CE115" s="864"/>
      <c r="CF115" s="864"/>
      <c r="CG115" s="864"/>
      <c r="CH115" s="864"/>
      <c r="CI115" s="864"/>
      <c r="CJ115" s="864"/>
      <c r="CK115" s="980"/>
      <c r="CL115" s="980"/>
      <c r="CM115" s="864"/>
      <c r="CN115" s="864"/>
      <c r="CO115" s="864"/>
      <c r="CP115" s="864"/>
      <c r="CQ115" s="864"/>
      <c r="CR115" s="864"/>
      <c r="CS115" s="864"/>
      <c r="CT115" s="864"/>
      <c r="CU115" s="864"/>
      <c r="CV115" s="864"/>
      <c r="CW115" s="864"/>
      <c r="CX115" s="864"/>
      <c r="CY115" s="864"/>
      <c r="CZ115" s="864"/>
      <c r="DA115" s="864"/>
      <c r="DB115" s="864"/>
      <c r="DC115" s="864"/>
      <c r="DD115" s="864"/>
      <c r="DE115" s="864"/>
      <c r="DF115" s="980"/>
      <c r="DG115" s="864"/>
      <c r="DH115" s="980"/>
      <c r="DI115" s="980"/>
      <c r="DJ115" s="980"/>
      <c r="DK115" s="980" t="s">
        <v>504</v>
      </c>
      <c r="DL115" s="980"/>
      <c r="DM115" s="980"/>
      <c r="DN115" s="864"/>
      <c r="DO115" s="864"/>
      <c r="DP115" s="980">
        <v>206</v>
      </c>
      <c r="DQ115" s="864"/>
      <c r="DR115" s="864"/>
      <c r="DS115" s="864"/>
      <c r="DT115" s="864"/>
      <c r="DU115" s="864"/>
      <c r="DV115" s="864"/>
      <c r="DW115" s="864"/>
      <c r="DX115" s="864"/>
      <c r="DY115" s="864"/>
      <c r="DZ115" s="864"/>
      <c r="EA115" s="864"/>
      <c r="EB115" s="864"/>
      <c r="EC115" s="864"/>
      <c r="ED115" s="864"/>
      <c r="EE115" s="864"/>
      <c r="EF115" s="980">
        <v>58</v>
      </c>
      <c r="EG115" s="980"/>
      <c r="EH115" s="980"/>
      <c r="EI115" s="855"/>
      <c r="EJ115" s="999"/>
      <c r="EK115" s="999">
        <v>438</v>
      </c>
      <c r="EL115" s="999">
        <v>163</v>
      </c>
      <c r="EM115" s="999">
        <v>236</v>
      </c>
      <c r="EN115" s="999">
        <v>153</v>
      </c>
      <c r="EO115" s="999">
        <v>320</v>
      </c>
      <c r="EP115" s="999">
        <v>73</v>
      </c>
      <c r="EQ115" s="999"/>
      <c r="ER115" s="999"/>
      <c r="ES115" s="999"/>
      <c r="ET115" s="999"/>
      <c r="EU115" s="864"/>
      <c r="EV115" s="864"/>
      <c r="EW115" s="980"/>
      <c r="EX115" s="864"/>
      <c r="EY115" s="864"/>
      <c r="EZ115" s="864"/>
      <c r="FA115" s="864"/>
      <c r="FB115" s="864"/>
      <c r="FC115" s="864"/>
      <c r="FD115" s="864"/>
      <c r="FE115" s="980"/>
      <c r="FF115" s="864"/>
      <c r="FG115" s="864"/>
      <c r="FH115" s="864"/>
      <c r="FI115" s="864"/>
      <c r="FJ115" s="864"/>
      <c r="FK115" s="1000"/>
      <c r="FL115" s="1000"/>
      <c r="FM115" s="980"/>
      <c r="FN115" s="980"/>
      <c r="FO115" s="980"/>
      <c r="FP115" s="980"/>
      <c r="FQ115" s="980"/>
      <c r="FR115" s="864"/>
      <c r="FS115" s="864"/>
      <c r="FT115" s="864"/>
      <c r="FU115" s="864"/>
      <c r="FV115" s="864"/>
      <c r="FW115" s="864"/>
      <c r="FX115" s="864"/>
      <c r="FY115" s="864"/>
      <c r="FZ115" s="864"/>
      <c r="GA115" s="980">
        <v>1058</v>
      </c>
      <c r="GB115" s="980"/>
      <c r="GC115" s="980"/>
      <c r="GD115" s="980"/>
      <c r="GE115" s="980"/>
      <c r="GF115" s="980"/>
      <c r="GG115" s="980" t="s">
        <v>465</v>
      </c>
      <c r="GH115" s="864"/>
      <c r="GI115" s="864"/>
      <c r="GJ115" s="864"/>
      <c r="GK115" s="864"/>
      <c r="GL115" s="864"/>
      <c r="GM115" s="864"/>
      <c r="GN115" s="864"/>
      <c r="GO115" s="1001"/>
      <c r="GP115" s="1002">
        <v>155</v>
      </c>
      <c r="GQ115" s="867"/>
      <c r="GR115" s="864"/>
      <c r="GS115" s="864"/>
      <c r="GT115" s="864"/>
      <c r="GU115" s="864"/>
      <c r="GV115" s="864"/>
      <c r="GW115" s="864"/>
      <c r="GX115" s="864"/>
      <c r="GY115" s="864"/>
      <c r="GZ115" s="864"/>
      <c r="HA115" s="864"/>
      <c r="HB115" s="864"/>
      <c r="HC115" s="864"/>
      <c r="HD115" s="864"/>
      <c r="HE115" s="980"/>
      <c r="HF115" s="980">
        <v>1049</v>
      </c>
      <c r="HG115" s="864"/>
      <c r="HH115" s="999">
        <v>648</v>
      </c>
      <c r="HI115" s="980"/>
      <c r="HJ115" s="980">
        <v>49</v>
      </c>
      <c r="HK115" s="999"/>
      <c r="HL115" s="864"/>
      <c r="HM115" s="864"/>
      <c r="HN115" s="864"/>
      <c r="HO115" s="1004"/>
      <c r="HP115" s="980"/>
      <c r="HQ115" s="980">
        <v>5</v>
      </c>
      <c r="HR115" s="998"/>
      <c r="HS115" s="980">
        <v>5</v>
      </c>
      <c r="HT115" s="980">
        <v>5</v>
      </c>
      <c r="HU115" s="980"/>
      <c r="HV115" s="852"/>
      <c r="HW115" s="980">
        <v>5</v>
      </c>
      <c r="HX115" s="980"/>
      <c r="HY115" s="980">
        <v>11</v>
      </c>
      <c r="HZ115" s="980"/>
      <c r="IA115" s="980"/>
      <c r="IB115" s="980">
        <v>24</v>
      </c>
      <c r="IC115" s="980"/>
      <c r="ID115" s="980">
        <v>12</v>
      </c>
      <c r="IE115" s="980"/>
      <c r="IF115" s="980">
        <v>5</v>
      </c>
      <c r="IG115" s="998"/>
      <c r="IH115" s="980"/>
      <c r="II115" s="980"/>
      <c r="IJ115" s="998"/>
      <c r="IK115" s="980">
        <v>5</v>
      </c>
      <c r="IL115" s="980"/>
      <c r="IM115" s="980"/>
      <c r="IN115" s="980"/>
      <c r="IO115" s="864"/>
      <c r="IP115" s="864"/>
      <c r="IQ115" s="864"/>
      <c r="IR115" s="998"/>
      <c r="IS115" s="980"/>
      <c r="IT115" s="980">
        <v>111</v>
      </c>
      <c r="IU115" s="980"/>
      <c r="IV115" s="980" t="s">
        <v>465</v>
      </c>
      <c r="IW115" s="980">
        <v>852</v>
      </c>
      <c r="IX115" s="999"/>
      <c r="IY115" s="980"/>
      <c r="IZ115" s="980"/>
      <c r="JA115" s="980">
        <v>179</v>
      </c>
      <c r="JB115" s="980"/>
      <c r="JC115" s="980"/>
      <c r="JD115" s="980"/>
      <c r="JE115" s="980">
        <f>15</f>
        <v>15</v>
      </c>
      <c r="JF115" s="999"/>
      <c r="JG115" s="980">
        <v>278</v>
      </c>
      <c r="JH115" s="980"/>
      <c r="JI115" s="980">
        <v>100</v>
      </c>
      <c r="JJ115" s="980"/>
      <c r="JK115" s="980"/>
      <c r="JL115" s="980">
        <v>5</v>
      </c>
      <c r="JM115" s="980">
        <v>20</v>
      </c>
      <c r="JN115" s="980"/>
      <c r="JO115" s="980"/>
      <c r="JP115" s="855"/>
      <c r="JQ115" s="999"/>
      <c r="JR115" s="980"/>
      <c r="JS115" s="980"/>
      <c r="JT115" s="980" t="s">
        <v>504</v>
      </c>
      <c r="JU115" s="980"/>
      <c r="JV115" s="980">
        <v>8</v>
      </c>
      <c r="JW115" s="980"/>
      <c r="JX115" s="980"/>
      <c r="JY115" s="980"/>
      <c r="JZ115" s="980"/>
      <c r="KA115" s="980"/>
      <c r="KB115" s="980"/>
      <c r="KC115" s="980">
        <v>80</v>
      </c>
      <c r="KD115" s="980"/>
      <c r="KE115" s="998"/>
      <c r="KF115" s="998">
        <v>0</v>
      </c>
      <c r="KG115" s="998"/>
      <c r="KH115" s="998"/>
      <c r="KI115" s="998"/>
      <c r="KJ115" s="998"/>
      <c r="KK115" s="998"/>
      <c r="KL115" s="980">
        <v>25</v>
      </c>
      <c r="KM115" s="864"/>
      <c r="KN115" s="864"/>
      <c r="KO115" s="864"/>
      <c r="KP115" s="864"/>
      <c r="KQ115" s="864"/>
      <c r="KR115" s="980"/>
      <c r="KS115" s="864"/>
      <c r="KT115" s="980"/>
      <c r="KU115" s="864"/>
      <c r="KV115" s="980"/>
      <c r="KW115" s="980">
        <v>7524</v>
      </c>
      <c r="KX115" s="980">
        <v>71992</v>
      </c>
      <c r="KY115" s="858">
        <v>9290</v>
      </c>
      <c r="KZ115" s="980">
        <v>12274</v>
      </c>
      <c r="LA115" s="1000">
        <v>3836</v>
      </c>
      <c r="LB115" s="980"/>
      <c r="LC115" s="980"/>
      <c r="LD115" s="980"/>
      <c r="LE115" s="980"/>
      <c r="LF115" s="999">
        <v>956</v>
      </c>
      <c r="LG115" s="999">
        <v>30</v>
      </c>
      <c r="LH115" s="999"/>
      <c r="LI115" s="999"/>
      <c r="LJ115" s="999"/>
      <c r="LK115" s="999"/>
      <c r="LL115" s="999"/>
      <c r="LM115" s="999"/>
      <c r="LN115" s="999">
        <v>362</v>
      </c>
      <c r="LO115" s="999"/>
      <c r="LP115" s="999">
        <v>2008</v>
      </c>
      <c r="LQ115" s="999">
        <v>5355</v>
      </c>
      <c r="LR115" s="999"/>
      <c r="LS115" s="999"/>
      <c r="LT115" s="999"/>
      <c r="LU115" s="999"/>
      <c r="LV115" s="999"/>
      <c r="LW115" s="999"/>
      <c r="LX115" s="999"/>
      <c r="LY115" s="999"/>
    </row>
    <row r="116" spans="1:337" ht="15.75" customHeight="1" x14ac:dyDescent="0.25">
      <c r="A116" s="1584"/>
      <c r="B116" s="1587"/>
      <c r="C116" s="1594" t="s">
        <v>240</v>
      </c>
      <c r="D116" s="1597" t="s">
        <v>241</v>
      </c>
      <c r="E116" s="833" t="s">
        <v>171</v>
      </c>
      <c r="F116" s="1058"/>
      <c r="G116" s="1058"/>
      <c r="H116" s="864"/>
      <c r="I116" s="864"/>
      <c r="J116" s="864"/>
      <c r="K116" s="864"/>
      <c r="L116" s="864"/>
      <c r="M116" s="864"/>
      <c r="N116" s="852" t="s">
        <v>504</v>
      </c>
      <c r="O116" s="864"/>
      <c r="P116" s="864"/>
      <c r="Q116" s="864"/>
      <c r="R116" s="864"/>
      <c r="S116" s="864"/>
      <c r="T116" s="864"/>
      <c r="U116" s="864"/>
      <c r="V116" s="980" t="s">
        <v>479</v>
      </c>
      <c r="W116" s="980" t="s">
        <v>479</v>
      </c>
      <c r="X116" s="980" t="s">
        <v>479</v>
      </c>
      <c r="Y116" s="980" t="s">
        <v>479</v>
      </c>
      <c r="Z116" s="980" t="s">
        <v>504</v>
      </c>
      <c r="AA116" s="864"/>
      <c r="AB116" s="864"/>
      <c r="AC116" s="864"/>
      <c r="AD116" s="864"/>
      <c r="AE116" s="864"/>
      <c r="AF116" s="864"/>
      <c r="AG116" s="864"/>
      <c r="AH116" s="864"/>
      <c r="AI116" s="864"/>
      <c r="AJ116" s="864"/>
      <c r="AK116" s="864"/>
      <c r="AL116" s="864"/>
      <c r="AM116" s="864"/>
      <c r="AN116" s="864"/>
      <c r="AO116" s="864"/>
      <c r="AP116" s="864"/>
      <c r="AQ116" s="864"/>
      <c r="AR116" s="864"/>
      <c r="AS116" s="864"/>
      <c r="AT116" s="864"/>
      <c r="AU116" s="864"/>
      <c r="AV116" s="980" t="s">
        <v>504</v>
      </c>
      <c r="AW116" s="980" t="s">
        <v>504</v>
      </c>
      <c r="AX116" s="864"/>
      <c r="AY116" s="864"/>
      <c r="AZ116" s="864"/>
      <c r="BA116" s="852" t="s">
        <v>500</v>
      </c>
      <c r="BB116" s="980" t="s">
        <v>504</v>
      </c>
      <c r="BC116" s="980" t="s">
        <v>504</v>
      </c>
      <c r="BD116" s="980"/>
      <c r="BE116" s="864"/>
      <c r="BF116" s="864"/>
      <c r="BG116" s="864"/>
      <c r="BH116" s="864"/>
      <c r="BI116" s="864"/>
      <c r="BJ116" s="864"/>
      <c r="BK116" s="864"/>
      <c r="BL116" s="864"/>
      <c r="BM116" s="864"/>
      <c r="BN116" s="864"/>
      <c r="BO116" s="864"/>
      <c r="BP116" s="864"/>
      <c r="BQ116" s="864"/>
      <c r="BR116" s="864"/>
      <c r="BS116" s="864"/>
      <c r="BT116" s="980" t="s">
        <v>504</v>
      </c>
      <c r="BU116" s="980"/>
      <c r="BV116" s="980" t="s">
        <v>504</v>
      </c>
      <c r="BW116" s="980" t="s">
        <v>504</v>
      </c>
      <c r="BX116" s="864"/>
      <c r="BY116" s="864"/>
      <c r="BZ116" s="864"/>
      <c r="CA116" s="864"/>
      <c r="CB116" s="864"/>
      <c r="CC116" s="998"/>
      <c r="CD116" s="864"/>
      <c r="CE116" s="864"/>
      <c r="CF116" s="864"/>
      <c r="CG116" s="864"/>
      <c r="CH116" s="864"/>
      <c r="CI116" s="864"/>
      <c r="CJ116" s="864"/>
      <c r="CK116" s="980"/>
      <c r="CL116" s="980"/>
      <c r="CM116" s="864"/>
      <c r="CN116" s="864"/>
      <c r="CO116" s="864"/>
      <c r="CP116" s="864"/>
      <c r="CQ116" s="864"/>
      <c r="CR116" s="864"/>
      <c r="CS116" s="864"/>
      <c r="CT116" s="864"/>
      <c r="CU116" s="864"/>
      <c r="CV116" s="864"/>
      <c r="CW116" s="864"/>
      <c r="CX116" s="864"/>
      <c r="CY116" s="864"/>
      <c r="CZ116" s="864"/>
      <c r="DA116" s="864"/>
      <c r="DB116" s="864"/>
      <c r="DC116" s="864"/>
      <c r="DD116" s="864"/>
      <c r="DE116" s="864"/>
      <c r="DF116" s="980"/>
      <c r="DG116" s="864"/>
      <c r="DH116" s="980" t="s">
        <v>504</v>
      </c>
      <c r="DI116" s="980"/>
      <c r="DJ116" s="980"/>
      <c r="DK116" s="980" t="s">
        <v>504</v>
      </c>
      <c r="DL116" s="980" t="s">
        <v>504</v>
      </c>
      <c r="DM116" s="980" t="s">
        <v>504</v>
      </c>
      <c r="DN116" s="864"/>
      <c r="DO116" s="864"/>
      <c r="DP116" s="980" t="s">
        <v>504</v>
      </c>
      <c r="DQ116" s="864"/>
      <c r="DR116" s="864"/>
      <c r="DS116" s="864"/>
      <c r="DT116" s="864"/>
      <c r="DU116" s="864"/>
      <c r="DV116" s="864"/>
      <c r="DW116" s="864"/>
      <c r="DX116" s="864"/>
      <c r="DY116" s="864"/>
      <c r="DZ116" s="864"/>
      <c r="EA116" s="864"/>
      <c r="EB116" s="864"/>
      <c r="EC116" s="864"/>
      <c r="ED116" s="864"/>
      <c r="EE116" s="864"/>
      <c r="EF116" s="980" t="s">
        <v>504</v>
      </c>
      <c r="EG116" s="980" t="s">
        <v>504</v>
      </c>
      <c r="EH116" s="980" t="s">
        <v>504</v>
      </c>
      <c r="EI116" s="855" t="s">
        <v>504</v>
      </c>
      <c r="EJ116" s="999" t="s">
        <v>504</v>
      </c>
      <c r="EK116" s="999" t="s">
        <v>504</v>
      </c>
      <c r="EL116" s="999" t="s">
        <v>504</v>
      </c>
      <c r="EM116" s="999" t="s">
        <v>504</v>
      </c>
      <c r="EN116" s="999" t="s">
        <v>504</v>
      </c>
      <c r="EO116" s="999" t="s">
        <v>504</v>
      </c>
      <c r="EP116" s="999" t="s">
        <v>504</v>
      </c>
      <c r="EQ116" s="999" t="s">
        <v>504</v>
      </c>
      <c r="ER116" s="999"/>
      <c r="ES116" s="999" t="s">
        <v>504</v>
      </c>
      <c r="ET116" s="999" t="s">
        <v>504</v>
      </c>
      <c r="EU116" s="864"/>
      <c r="EV116" s="864"/>
      <c r="EW116" s="980" t="s">
        <v>504</v>
      </c>
      <c r="EX116" s="864"/>
      <c r="EY116" s="864"/>
      <c r="EZ116" s="864"/>
      <c r="FA116" s="864"/>
      <c r="FB116" s="864"/>
      <c r="FC116" s="864"/>
      <c r="FD116" s="864"/>
      <c r="FE116" s="980" t="s">
        <v>479</v>
      </c>
      <c r="FF116" s="864"/>
      <c r="FG116" s="864"/>
      <c r="FH116" s="864"/>
      <c r="FI116" s="864"/>
      <c r="FJ116" s="864"/>
      <c r="FK116" s="852" t="s">
        <v>504</v>
      </c>
      <c r="FL116" s="852" t="s">
        <v>504</v>
      </c>
      <c r="FM116" s="855" t="s">
        <v>500</v>
      </c>
      <c r="FN116" s="980"/>
      <c r="FO116" s="980"/>
      <c r="FP116" s="855" t="s">
        <v>504</v>
      </c>
      <c r="FQ116" s="980" t="s">
        <v>504</v>
      </c>
      <c r="FR116" s="864"/>
      <c r="FS116" s="864"/>
      <c r="FT116" s="864"/>
      <c r="FU116" s="864"/>
      <c r="FV116" s="864"/>
      <c r="FW116" s="864"/>
      <c r="FX116" s="864"/>
      <c r="FY116" s="864"/>
      <c r="FZ116" s="864"/>
      <c r="GA116" s="980" t="s">
        <v>504</v>
      </c>
      <c r="GB116" s="980" t="s">
        <v>504</v>
      </c>
      <c r="GC116" s="980"/>
      <c r="GD116" s="980" t="s">
        <v>504</v>
      </c>
      <c r="GE116" s="980"/>
      <c r="GF116" s="980"/>
      <c r="GG116" s="980" t="s">
        <v>504</v>
      </c>
      <c r="GH116" s="864"/>
      <c r="GI116" s="864"/>
      <c r="GJ116" s="864"/>
      <c r="GK116" s="864"/>
      <c r="GL116" s="864"/>
      <c r="GM116" s="864"/>
      <c r="GN116" s="864"/>
      <c r="GO116" s="1001" t="s">
        <v>504</v>
      </c>
      <c r="GP116" s="866" t="s">
        <v>504</v>
      </c>
      <c r="GQ116" s="1003" t="s">
        <v>504</v>
      </c>
      <c r="GR116" s="864"/>
      <c r="GS116" s="864"/>
      <c r="GT116" s="864"/>
      <c r="GU116" s="864"/>
      <c r="GV116" s="864"/>
      <c r="GW116" s="864"/>
      <c r="GX116" s="864"/>
      <c r="GY116" s="864"/>
      <c r="GZ116" s="864"/>
      <c r="HA116" s="864"/>
      <c r="HB116" s="864"/>
      <c r="HC116" s="864"/>
      <c r="HD116" s="864"/>
      <c r="HE116" s="980" t="s">
        <v>504</v>
      </c>
      <c r="HF116" s="980" t="s">
        <v>504</v>
      </c>
      <c r="HG116" s="864"/>
      <c r="HH116" s="858" t="s">
        <v>504</v>
      </c>
      <c r="HI116" s="980" t="s">
        <v>504</v>
      </c>
      <c r="HJ116" s="980" t="s">
        <v>504</v>
      </c>
      <c r="HK116" s="999" t="s">
        <v>504</v>
      </c>
      <c r="HL116" s="864"/>
      <c r="HM116" s="864"/>
      <c r="HN116" s="864"/>
      <c r="HO116" s="861" t="s">
        <v>504</v>
      </c>
      <c r="HP116" s="980" t="s">
        <v>504</v>
      </c>
      <c r="HQ116" s="980" t="s">
        <v>504</v>
      </c>
      <c r="HR116" s="998" t="s">
        <v>504</v>
      </c>
      <c r="HS116" s="980" t="s">
        <v>504</v>
      </c>
      <c r="HT116" s="980" t="s">
        <v>504</v>
      </c>
      <c r="HU116" s="980" t="s">
        <v>504</v>
      </c>
      <c r="HV116" s="852"/>
      <c r="HW116" s="980" t="s">
        <v>504</v>
      </c>
      <c r="HX116" s="980" t="s">
        <v>504</v>
      </c>
      <c r="HY116" s="980" t="s">
        <v>905</v>
      </c>
      <c r="HZ116" s="980" t="s">
        <v>504</v>
      </c>
      <c r="IA116" s="855" t="s">
        <v>504</v>
      </c>
      <c r="IB116" s="980" t="s">
        <v>504</v>
      </c>
      <c r="IC116" s="855" t="s">
        <v>504</v>
      </c>
      <c r="ID116" s="980" t="s">
        <v>504</v>
      </c>
      <c r="IE116" s="980" t="s">
        <v>504</v>
      </c>
      <c r="IF116" s="980" t="s">
        <v>504</v>
      </c>
      <c r="IG116" s="998" t="s">
        <v>504</v>
      </c>
      <c r="IH116" s="980" t="s">
        <v>504</v>
      </c>
      <c r="II116" s="980" t="s">
        <v>504</v>
      </c>
      <c r="IJ116" s="998" t="s">
        <v>504</v>
      </c>
      <c r="IK116" s="980" t="s">
        <v>504</v>
      </c>
      <c r="IL116" s="980" t="s">
        <v>504</v>
      </c>
      <c r="IM116" s="980" t="s">
        <v>500</v>
      </c>
      <c r="IN116" s="980" t="s">
        <v>504</v>
      </c>
      <c r="IO116" s="864"/>
      <c r="IP116" s="864"/>
      <c r="IQ116" s="864"/>
      <c r="IR116" s="998" t="s">
        <v>504</v>
      </c>
      <c r="IS116" s="980" t="s">
        <v>504</v>
      </c>
      <c r="IT116" s="980" t="s">
        <v>504</v>
      </c>
      <c r="IU116" s="980" t="s">
        <v>504</v>
      </c>
      <c r="IV116" s="980" t="s">
        <v>504</v>
      </c>
      <c r="IW116" s="980" t="s">
        <v>504</v>
      </c>
      <c r="IX116" s="999" t="s">
        <v>504</v>
      </c>
      <c r="IY116" s="855" t="s">
        <v>504</v>
      </c>
      <c r="IZ116" s="980" t="s">
        <v>504</v>
      </c>
      <c r="JA116" s="980">
        <v>0</v>
      </c>
      <c r="JB116" s="980"/>
      <c r="JC116" s="980" t="s">
        <v>504</v>
      </c>
      <c r="JD116" s="980" t="s">
        <v>504</v>
      </c>
      <c r="JE116" s="980" t="s">
        <v>504</v>
      </c>
      <c r="JF116" s="858" t="s">
        <v>504</v>
      </c>
      <c r="JG116" s="980" t="s">
        <v>479</v>
      </c>
      <c r="JH116" s="980"/>
      <c r="JI116" s="980" t="s">
        <v>471</v>
      </c>
      <c r="JJ116" s="980" t="s">
        <v>504</v>
      </c>
      <c r="JK116" s="980" t="s">
        <v>504</v>
      </c>
      <c r="JL116" s="980" t="s">
        <v>504</v>
      </c>
      <c r="JM116" s="980" t="s">
        <v>504</v>
      </c>
      <c r="JN116" s="980" t="s">
        <v>504</v>
      </c>
      <c r="JO116" s="980" t="s">
        <v>504</v>
      </c>
      <c r="JP116" s="980" t="s">
        <v>504</v>
      </c>
      <c r="JQ116" s="999" t="s">
        <v>504</v>
      </c>
      <c r="JR116" s="980" t="s">
        <v>504</v>
      </c>
      <c r="JS116" s="980" t="s">
        <v>504</v>
      </c>
      <c r="JT116" s="980"/>
      <c r="JU116" s="980" t="s">
        <v>504</v>
      </c>
      <c r="JV116" s="980" t="s">
        <v>504</v>
      </c>
      <c r="JW116" s="980" t="s">
        <v>504</v>
      </c>
      <c r="JX116" s="980"/>
      <c r="JY116" s="855" t="s">
        <v>504</v>
      </c>
      <c r="JZ116" s="980" t="s">
        <v>504</v>
      </c>
      <c r="KA116" s="980" t="s">
        <v>504</v>
      </c>
      <c r="KB116" s="980" t="s">
        <v>504</v>
      </c>
      <c r="KC116" s="980" t="s">
        <v>504</v>
      </c>
      <c r="KD116" s="980" t="s">
        <v>504</v>
      </c>
      <c r="KE116" s="862" t="s">
        <v>504</v>
      </c>
      <c r="KF116" s="862" t="s">
        <v>504</v>
      </c>
      <c r="KG116" s="862" t="s">
        <v>504</v>
      </c>
      <c r="KH116" s="862" t="s">
        <v>504</v>
      </c>
      <c r="KI116" s="862" t="s">
        <v>504</v>
      </c>
      <c r="KJ116" s="862" t="s">
        <v>504</v>
      </c>
      <c r="KK116" s="862" t="s">
        <v>504</v>
      </c>
      <c r="KL116" s="980" t="s">
        <v>504</v>
      </c>
      <c r="KM116" s="864"/>
      <c r="KN116" s="864"/>
      <c r="KO116" s="864"/>
      <c r="KP116" s="864"/>
      <c r="KQ116" s="864"/>
      <c r="KR116" s="980" t="s">
        <v>504</v>
      </c>
      <c r="KS116" s="864"/>
      <c r="KT116" s="980" t="s">
        <v>504</v>
      </c>
      <c r="KU116" s="864"/>
      <c r="KV116" s="980" t="s">
        <v>504</v>
      </c>
      <c r="KW116" s="980" t="s">
        <v>504</v>
      </c>
      <c r="KX116" s="980" t="s">
        <v>504</v>
      </c>
      <c r="KY116" s="858" t="s">
        <v>504</v>
      </c>
      <c r="KZ116" s="980" t="s">
        <v>504</v>
      </c>
      <c r="LA116" s="980" t="s">
        <v>504</v>
      </c>
      <c r="LB116" s="980" t="s">
        <v>504</v>
      </c>
      <c r="LC116" s="980" t="s">
        <v>504</v>
      </c>
      <c r="LD116" s="855" t="s">
        <v>504</v>
      </c>
      <c r="LE116" s="855" t="s">
        <v>504</v>
      </c>
      <c r="LF116" s="858" t="s">
        <v>500</v>
      </c>
      <c r="LG116" s="999" t="s">
        <v>504</v>
      </c>
      <c r="LH116" s="999" t="s">
        <v>504</v>
      </c>
      <c r="LI116" s="999" t="s">
        <v>504</v>
      </c>
      <c r="LJ116" s="999" t="s">
        <v>504</v>
      </c>
      <c r="LK116" s="999" t="s">
        <v>504</v>
      </c>
      <c r="LL116" s="999" t="s">
        <v>504</v>
      </c>
      <c r="LM116" s="999" t="s">
        <v>504</v>
      </c>
      <c r="LN116" s="999" t="s">
        <v>504</v>
      </c>
      <c r="LO116" s="999" t="s">
        <v>504</v>
      </c>
      <c r="LP116" s="999" t="s">
        <v>504</v>
      </c>
      <c r="LQ116" s="999"/>
      <c r="LR116" s="999" t="s">
        <v>504</v>
      </c>
      <c r="LS116" s="999" t="s">
        <v>504</v>
      </c>
      <c r="LT116" s="999" t="s">
        <v>504</v>
      </c>
      <c r="LU116" s="999" t="s">
        <v>504</v>
      </c>
      <c r="LV116" s="999" t="s">
        <v>504</v>
      </c>
      <c r="LW116" s="999" t="s">
        <v>504</v>
      </c>
      <c r="LX116" s="999" t="s">
        <v>504</v>
      </c>
      <c r="LY116" s="999" t="s">
        <v>504</v>
      </c>
    </row>
    <row r="117" spans="1:337" ht="78.75" x14ac:dyDescent="0.25">
      <c r="A117" s="1584"/>
      <c r="B117" s="1587"/>
      <c r="C117" s="1595"/>
      <c r="D117" s="1598"/>
      <c r="E117" s="840" t="s">
        <v>172</v>
      </c>
      <c r="F117" s="1058"/>
      <c r="G117" s="1058"/>
      <c r="H117" s="864"/>
      <c r="I117" s="864"/>
      <c r="J117" s="864"/>
      <c r="K117" s="864"/>
      <c r="L117" s="864"/>
      <c r="M117" s="864"/>
      <c r="N117" s="852"/>
      <c r="O117" s="864"/>
      <c r="P117" s="864"/>
      <c r="Q117" s="864"/>
      <c r="R117" s="864"/>
      <c r="S117" s="864"/>
      <c r="T117" s="864"/>
      <c r="U117" s="864"/>
      <c r="V117" s="980"/>
      <c r="W117" s="980"/>
      <c r="X117" s="980"/>
      <c r="Y117" s="980"/>
      <c r="Z117" s="980"/>
      <c r="AA117" s="864"/>
      <c r="AB117" s="864"/>
      <c r="AC117" s="864"/>
      <c r="AD117" s="864"/>
      <c r="AE117" s="864"/>
      <c r="AF117" s="864"/>
      <c r="AG117" s="864"/>
      <c r="AH117" s="864"/>
      <c r="AI117" s="864"/>
      <c r="AJ117" s="864"/>
      <c r="AK117" s="864"/>
      <c r="AL117" s="864"/>
      <c r="AM117" s="864"/>
      <c r="AN117" s="864"/>
      <c r="AO117" s="864"/>
      <c r="AP117" s="864"/>
      <c r="AQ117" s="864"/>
      <c r="AR117" s="864"/>
      <c r="AS117" s="864"/>
      <c r="AT117" s="864"/>
      <c r="AU117" s="864"/>
      <c r="AV117" s="980"/>
      <c r="AW117" s="980"/>
      <c r="AX117" s="864"/>
      <c r="AY117" s="864"/>
      <c r="AZ117" s="864"/>
      <c r="BA117" s="852" t="s">
        <v>2763</v>
      </c>
      <c r="BB117" s="980"/>
      <c r="BC117" s="980"/>
      <c r="BD117" s="980"/>
      <c r="BE117" s="864"/>
      <c r="BF117" s="864"/>
      <c r="BG117" s="864"/>
      <c r="BH117" s="864"/>
      <c r="BI117" s="864"/>
      <c r="BJ117" s="864"/>
      <c r="BK117" s="864"/>
      <c r="BL117" s="864"/>
      <c r="BM117" s="864"/>
      <c r="BN117" s="864"/>
      <c r="BO117" s="864"/>
      <c r="BP117" s="864"/>
      <c r="BQ117" s="864"/>
      <c r="BR117" s="864"/>
      <c r="BS117" s="864"/>
      <c r="BT117" s="980"/>
      <c r="BU117" s="980"/>
      <c r="BV117" s="980"/>
      <c r="BW117" s="980"/>
      <c r="BX117" s="864"/>
      <c r="BY117" s="864"/>
      <c r="BZ117" s="864"/>
      <c r="CA117" s="864"/>
      <c r="CB117" s="864"/>
      <c r="CC117" s="998"/>
      <c r="CD117" s="864"/>
      <c r="CE117" s="864"/>
      <c r="CF117" s="864"/>
      <c r="CG117" s="864"/>
      <c r="CH117" s="864"/>
      <c r="CI117" s="864"/>
      <c r="CJ117" s="864"/>
      <c r="CK117" s="980"/>
      <c r="CL117" s="980"/>
      <c r="CM117" s="864"/>
      <c r="CN117" s="864"/>
      <c r="CO117" s="864"/>
      <c r="CP117" s="864"/>
      <c r="CQ117" s="864"/>
      <c r="CR117" s="864"/>
      <c r="CS117" s="864"/>
      <c r="CT117" s="864"/>
      <c r="CU117" s="864"/>
      <c r="CV117" s="864"/>
      <c r="CW117" s="864"/>
      <c r="CX117" s="864"/>
      <c r="CY117" s="864"/>
      <c r="CZ117" s="864"/>
      <c r="DA117" s="864"/>
      <c r="DB117" s="864"/>
      <c r="DC117" s="864"/>
      <c r="DD117" s="864"/>
      <c r="DE117" s="864"/>
      <c r="DF117" s="980"/>
      <c r="DG117" s="864"/>
      <c r="DH117" s="980"/>
      <c r="DI117" s="980"/>
      <c r="DJ117" s="980"/>
      <c r="DK117" s="980" t="s">
        <v>504</v>
      </c>
      <c r="DL117" s="980"/>
      <c r="DM117" s="980"/>
      <c r="DN117" s="864"/>
      <c r="DO117" s="864"/>
      <c r="DP117" s="980"/>
      <c r="DQ117" s="864"/>
      <c r="DR117" s="864"/>
      <c r="DS117" s="864"/>
      <c r="DT117" s="864"/>
      <c r="DU117" s="864"/>
      <c r="DV117" s="864"/>
      <c r="DW117" s="864"/>
      <c r="DX117" s="864"/>
      <c r="DY117" s="864"/>
      <c r="DZ117" s="864"/>
      <c r="EA117" s="864"/>
      <c r="EB117" s="864"/>
      <c r="EC117" s="864"/>
      <c r="ED117" s="864"/>
      <c r="EE117" s="864"/>
      <c r="EF117" s="980"/>
      <c r="EG117" s="980"/>
      <c r="EH117" s="980"/>
      <c r="EI117" s="855"/>
      <c r="EJ117" s="999"/>
      <c r="EK117" s="999"/>
      <c r="EL117" s="999"/>
      <c r="EM117" s="853"/>
      <c r="EN117" s="999"/>
      <c r="EO117" s="999"/>
      <c r="EP117" s="999"/>
      <c r="EQ117" s="999"/>
      <c r="ER117" s="999"/>
      <c r="ES117" s="999"/>
      <c r="ET117" s="999"/>
      <c r="EU117" s="864"/>
      <c r="EV117" s="864"/>
      <c r="EW117" s="980"/>
      <c r="EX117" s="864"/>
      <c r="EY117" s="864"/>
      <c r="EZ117" s="864"/>
      <c r="FA117" s="864"/>
      <c r="FB117" s="864"/>
      <c r="FC117" s="864"/>
      <c r="FD117" s="864"/>
      <c r="FE117" s="980"/>
      <c r="FF117" s="864"/>
      <c r="FG117" s="864"/>
      <c r="FH117" s="864"/>
      <c r="FI117" s="864"/>
      <c r="FJ117" s="864"/>
      <c r="FK117" s="852"/>
      <c r="FL117" s="852"/>
      <c r="FM117" s="1063" t="s">
        <v>3277</v>
      </c>
      <c r="FN117" s="980"/>
      <c r="FO117" s="980"/>
      <c r="FP117" s="855"/>
      <c r="FQ117" s="980"/>
      <c r="FR117" s="864"/>
      <c r="FS117" s="864"/>
      <c r="FT117" s="864"/>
      <c r="FU117" s="864"/>
      <c r="FV117" s="864"/>
      <c r="FW117" s="864"/>
      <c r="FX117" s="864"/>
      <c r="FY117" s="864"/>
      <c r="FZ117" s="864"/>
      <c r="GA117" s="980"/>
      <c r="GB117" s="980"/>
      <c r="GC117" s="980"/>
      <c r="GD117" s="980"/>
      <c r="GE117" s="980"/>
      <c r="GF117" s="980"/>
      <c r="GG117" s="980"/>
      <c r="GH117" s="864"/>
      <c r="GI117" s="864"/>
      <c r="GJ117" s="864"/>
      <c r="GK117" s="864"/>
      <c r="GL117" s="864"/>
      <c r="GM117" s="864"/>
      <c r="GN117" s="864"/>
      <c r="GO117" s="1001"/>
      <c r="GP117" s="866"/>
      <c r="GQ117" s="867"/>
      <c r="GR117" s="864"/>
      <c r="GS117" s="864"/>
      <c r="GT117" s="864"/>
      <c r="GU117" s="864"/>
      <c r="GV117" s="864"/>
      <c r="GW117" s="864"/>
      <c r="GX117" s="864"/>
      <c r="GY117" s="864"/>
      <c r="GZ117" s="864"/>
      <c r="HA117" s="864"/>
      <c r="HB117" s="864"/>
      <c r="HC117" s="864"/>
      <c r="HD117" s="864"/>
      <c r="HE117" s="980"/>
      <c r="HF117" s="980"/>
      <c r="HG117" s="864"/>
      <c r="HH117" s="858"/>
      <c r="HI117" s="980"/>
      <c r="HJ117" s="980"/>
      <c r="HK117" s="999"/>
      <c r="HL117" s="864"/>
      <c r="HM117" s="864"/>
      <c r="HN117" s="864"/>
      <c r="HO117" s="1004"/>
      <c r="HP117" s="980"/>
      <c r="HQ117" s="980"/>
      <c r="HR117" s="998"/>
      <c r="HS117" s="980"/>
      <c r="HT117" s="980"/>
      <c r="HU117" s="980"/>
      <c r="HV117" s="1000"/>
      <c r="HW117" s="980"/>
      <c r="HX117" s="980"/>
      <c r="HY117" s="980"/>
      <c r="HZ117" s="980"/>
      <c r="IA117" s="980"/>
      <c r="IB117" s="980"/>
      <c r="IC117" s="980"/>
      <c r="ID117" s="980"/>
      <c r="IE117" s="980"/>
      <c r="IF117" s="980"/>
      <c r="IG117" s="998"/>
      <c r="IH117" s="980"/>
      <c r="II117" s="980"/>
      <c r="IJ117" s="998"/>
      <c r="IK117" s="980"/>
      <c r="IL117" s="980"/>
      <c r="IM117" s="980" t="s">
        <v>3794</v>
      </c>
      <c r="IN117" s="980"/>
      <c r="IO117" s="864"/>
      <c r="IP117" s="864"/>
      <c r="IQ117" s="864"/>
      <c r="IR117" s="998" t="s">
        <v>504</v>
      </c>
      <c r="IS117" s="980"/>
      <c r="IT117" s="980"/>
      <c r="IU117" s="980"/>
      <c r="IV117" s="980"/>
      <c r="IW117" s="980"/>
      <c r="IX117" s="999"/>
      <c r="IY117" s="980"/>
      <c r="IZ117" s="980"/>
      <c r="JA117" s="980"/>
      <c r="JB117" s="980"/>
      <c r="JC117" s="980"/>
      <c r="JD117" s="980"/>
      <c r="JE117" s="980"/>
      <c r="JF117" s="858"/>
      <c r="JG117" s="980"/>
      <c r="JH117" s="980"/>
      <c r="JI117" s="980" t="s">
        <v>4109</v>
      </c>
      <c r="JJ117" s="980"/>
      <c r="JK117" s="980"/>
      <c r="JL117" s="980"/>
      <c r="JM117" s="980"/>
      <c r="JN117" s="980"/>
      <c r="JO117" s="980"/>
      <c r="JP117" s="855"/>
      <c r="JQ117" s="999"/>
      <c r="JR117" s="980"/>
      <c r="JS117" s="980"/>
      <c r="JT117" s="980"/>
      <c r="JU117" s="980"/>
      <c r="JV117" s="980"/>
      <c r="JW117" s="980"/>
      <c r="JX117" s="980"/>
      <c r="JY117" s="980"/>
      <c r="JZ117" s="980"/>
      <c r="KA117" s="980"/>
      <c r="KB117" s="980"/>
      <c r="KC117" s="980"/>
      <c r="KD117" s="980"/>
      <c r="KE117" s="862" t="s">
        <v>504</v>
      </c>
      <c r="KF117" s="862" t="s">
        <v>504</v>
      </c>
      <c r="KG117" s="862" t="s">
        <v>504</v>
      </c>
      <c r="KH117" s="862" t="s">
        <v>504</v>
      </c>
      <c r="KI117" s="862" t="s">
        <v>504</v>
      </c>
      <c r="KJ117" s="862" t="s">
        <v>504</v>
      </c>
      <c r="KK117" s="862" t="s">
        <v>504</v>
      </c>
      <c r="KL117" s="980" t="s">
        <v>504</v>
      </c>
      <c r="KM117" s="864"/>
      <c r="KN117" s="864"/>
      <c r="KO117" s="864"/>
      <c r="KP117" s="864"/>
      <c r="KQ117" s="864"/>
      <c r="KR117" s="980"/>
      <c r="KS117" s="864"/>
      <c r="KT117" s="980"/>
      <c r="KU117" s="864"/>
      <c r="KV117" s="980"/>
      <c r="KW117" s="980"/>
      <c r="KX117" s="980"/>
      <c r="KY117" s="858"/>
      <c r="KZ117" s="980"/>
      <c r="LA117" s="980"/>
      <c r="LB117" s="980"/>
      <c r="LC117" s="980"/>
      <c r="LD117" s="855"/>
      <c r="LE117" s="855"/>
      <c r="LF117" s="858" t="s">
        <v>4586</v>
      </c>
      <c r="LG117" s="999"/>
      <c r="LH117" s="999"/>
      <c r="LI117" s="999"/>
      <c r="LJ117" s="999"/>
      <c r="LK117" s="999"/>
      <c r="LL117" s="999"/>
      <c r="LM117" s="999"/>
      <c r="LN117" s="999"/>
      <c r="LO117" s="999"/>
      <c r="LP117" s="999"/>
      <c r="LQ117" s="999"/>
      <c r="LR117" s="999"/>
      <c r="LS117" s="999"/>
      <c r="LT117" s="999"/>
      <c r="LU117" s="999"/>
      <c r="LV117" s="999"/>
      <c r="LW117" s="999"/>
      <c r="LX117" s="999"/>
      <c r="LY117" s="999"/>
    </row>
    <row r="118" spans="1:337" ht="16.5" thickBot="1" x14ac:dyDescent="0.3">
      <c r="A118" s="1584"/>
      <c r="B118" s="1587"/>
      <c r="C118" s="1596"/>
      <c r="D118" s="1599"/>
      <c r="E118" s="836" t="s">
        <v>174</v>
      </c>
      <c r="F118" s="1058"/>
      <c r="G118" s="1058"/>
      <c r="H118" s="864"/>
      <c r="I118" s="864"/>
      <c r="J118" s="864"/>
      <c r="K118" s="864"/>
      <c r="L118" s="864"/>
      <c r="M118" s="864"/>
      <c r="N118" s="852"/>
      <c r="O118" s="864"/>
      <c r="P118" s="864"/>
      <c r="Q118" s="864"/>
      <c r="R118" s="864"/>
      <c r="S118" s="864"/>
      <c r="T118" s="864"/>
      <c r="U118" s="864"/>
      <c r="V118" s="980"/>
      <c r="W118" s="980"/>
      <c r="X118" s="980"/>
      <c r="Y118" s="980"/>
      <c r="Z118" s="980"/>
      <c r="AA118" s="864"/>
      <c r="AB118" s="864"/>
      <c r="AC118" s="864"/>
      <c r="AD118" s="864"/>
      <c r="AE118" s="864"/>
      <c r="AF118" s="864"/>
      <c r="AG118" s="864"/>
      <c r="AH118" s="864"/>
      <c r="AI118" s="864"/>
      <c r="AJ118" s="864"/>
      <c r="AK118" s="864"/>
      <c r="AL118" s="864"/>
      <c r="AM118" s="864"/>
      <c r="AN118" s="864"/>
      <c r="AO118" s="864"/>
      <c r="AP118" s="864"/>
      <c r="AQ118" s="864"/>
      <c r="AR118" s="864"/>
      <c r="AS118" s="864"/>
      <c r="AT118" s="864"/>
      <c r="AU118" s="864"/>
      <c r="AV118" s="980"/>
      <c r="AW118" s="980"/>
      <c r="AX118" s="864"/>
      <c r="AY118" s="864"/>
      <c r="AZ118" s="864"/>
      <c r="BA118" s="852">
        <v>221</v>
      </c>
      <c r="BB118" s="980"/>
      <c r="BC118" s="980"/>
      <c r="BD118" s="980"/>
      <c r="BE118" s="864"/>
      <c r="BF118" s="864"/>
      <c r="BG118" s="864"/>
      <c r="BH118" s="864"/>
      <c r="BI118" s="864"/>
      <c r="BJ118" s="864"/>
      <c r="BK118" s="864"/>
      <c r="BL118" s="864"/>
      <c r="BM118" s="864"/>
      <c r="BN118" s="864"/>
      <c r="BO118" s="864"/>
      <c r="BP118" s="864"/>
      <c r="BQ118" s="864"/>
      <c r="BR118" s="864"/>
      <c r="BS118" s="864"/>
      <c r="BT118" s="980"/>
      <c r="BU118" s="980"/>
      <c r="BV118" s="980"/>
      <c r="BW118" s="980"/>
      <c r="BX118" s="864"/>
      <c r="BY118" s="864"/>
      <c r="BZ118" s="864"/>
      <c r="CA118" s="864"/>
      <c r="CB118" s="864"/>
      <c r="CC118" s="998"/>
      <c r="CD118" s="864"/>
      <c r="CE118" s="864"/>
      <c r="CF118" s="864"/>
      <c r="CG118" s="864"/>
      <c r="CH118" s="864"/>
      <c r="CI118" s="864"/>
      <c r="CJ118" s="864"/>
      <c r="CK118" s="980"/>
      <c r="CL118" s="980"/>
      <c r="CM118" s="864"/>
      <c r="CN118" s="864"/>
      <c r="CO118" s="864"/>
      <c r="CP118" s="864"/>
      <c r="CQ118" s="864"/>
      <c r="CR118" s="864"/>
      <c r="CS118" s="864"/>
      <c r="CT118" s="864"/>
      <c r="CU118" s="864"/>
      <c r="CV118" s="864"/>
      <c r="CW118" s="864"/>
      <c r="CX118" s="864"/>
      <c r="CY118" s="864"/>
      <c r="CZ118" s="864"/>
      <c r="DA118" s="864"/>
      <c r="DB118" s="864"/>
      <c r="DC118" s="864"/>
      <c r="DD118" s="864"/>
      <c r="DE118" s="864"/>
      <c r="DF118" s="980"/>
      <c r="DG118" s="864"/>
      <c r="DH118" s="980"/>
      <c r="DI118" s="980"/>
      <c r="DJ118" s="980"/>
      <c r="DK118" s="980" t="s">
        <v>504</v>
      </c>
      <c r="DL118" s="980"/>
      <c r="DM118" s="980"/>
      <c r="DN118" s="864"/>
      <c r="DO118" s="864"/>
      <c r="DP118" s="980"/>
      <c r="DQ118" s="864"/>
      <c r="DR118" s="864"/>
      <c r="DS118" s="864"/>
      <c r="DT118" s="864"/>
      <c r="DU118" s="864"/>
      <c r="DV118" s="864"/>
      <c r="DW118" s="864"/>
      <c r="DX118" s="864"/>
      <c r="DY118" s="864"/>
      <c r="DZ118" s="864"/>
      <c r="EA118" s="864"/>
      <c r="EB118" s="864"/>
      <c r="EC118" s="864"/>
      <c r="ED118" s="864"/>
      <c r="EE118" s="864"/>
      <c r="EF118" s="980"/>
      <c r="EG118" s="980"/>
      <c r="EH118" s="980"/>
      <c r="EI118" s="855"/>
      <c r="EJ118" s="999"/>
      <c r="EK118" s="999"/>
      <c r="EL118" s="999"/>
      <c r="EM118" s="853"/>
      <c r="EN118" s="999"/>
      <c r="EO118" s="999"/>
      <c r="EP118" s="999"/>
      <c r="EQ118" s="999"/>
      <c r="ER118" s="999"/>
      <c r="ES118" s="999"/>
      <c r="ET118" s="999"/>
      <c r="EU118" s="864"/>
      <c r="EV118" s="864"/>
      <c r="EW118" s="980"/>
      <c r="EX118" s="864"/>
      <c r="EY118" s="864"/>
      <c r="EZ118" s="864"/>
      <c r="FA118" s="864"/>
      <c r="FB118" s="864"/>
      <c r="FC118" s="864"/>
      <c r="FD118" s="864"/>
      <c r="FE118" s="980"/>
      <c r="FF118" s="864"/>
      <c r="FG118" s="864"/>
      <c r="FH118" s="864"/>
      <c r="FI118" s="864"/>
      <c r="FJ118" s="864"/>
      <c r="FK118" s="1000"/>
      <c r="FL118" s="1000"/>
      <c r="FM118" s="980">
        <v>12</v>
      </c>
      <c r="FN118" s="980"/>
      <c r="FO118" s="980"/>
      <c r="FP118" s="980"/>
      <c r="FQ118" s="980"/>
      <c r="FR118" s="864"/>
      <c r="FS118" s="864"/>
      <c r="FT118" s="864"/>
      <c r="FU118" s="864"/>
      <c r="FV118" s="864"/>
      <c r="FW118" s="864"/>
      <c r="FX118" s="864"/>
      <c r="FY118" s="864"/>
      <c r="FZ118" s="864"/>
      <c r="GA118" s="980"/>
      <c r="GB118" s="980"/>
      <c r="GC118" s="980" t="s">
        <v>504</v>
      </c>
      <c r="GD118" s="980"/>
      <c r="GE118" s="980"/>
      <c r="GF118" s="980"/>
      <c r="GG118" s="980"/>
      <c r="GH118" s="864"/>
      <c r="GI118" s="864"/>
      <c r="GJ118" s="864"/>
      <c r="GK118" s="864"/>
      <c r="GL118" s="864"/>
      <c r="GM118" s="864"/>
      <c r="GN118" s="864"/>
      <c r="GO118" s="1001"/>
      <c r="GP118" s="866"/>
      <c r="GQ118" s="867"/>
      <c r="GR118" s="864"/>
      <c r="GS118" s="864"/>
      <c r="GT118" s="864"/>
      <c r="GU118" s="864"/>
      <c r="GV118" s="864"/>
      <c r="GW118" s="864"/>
      <c r="GX118" s="864"/>
      <c r="GY118" s="864"/>
      <c r="GZ118" s="864"/>
      <c r="HA118" s="864"/>
      <c r="HB118" s="864"/>
      <c r="HC118" s="864"/>
      <c r="HD118" s="864"/>
      <c r="HE118" s="980"/>
      <c r="HF118" s="980"/>
      <c r="HG118" s="864"/>
      <c r="HH118" s="999"/>
      <c r="HI118" s="980"/>
      <c r="HJ118" s="980"/>
      <c r="HK118" s="999"/>
      <c r="HL118" s="864"/>
      <c r="HM118" s="864"/>
      <c r="HN118" s="864"/>
      <c r="HO118" s="1004"/>
      <c r="HP118" s="980"/>
      <c r="HQ118" s="980"/>
      <c r="HR118" s="998"/>
      <c r="HS118" s="980"/>
      <c r="HT118" s="980"/>
      <c r="HU118" s="980"/>
      <c r="HV118" s="852"/>
      <c r="HW118" s="980"/>
      <c r="HX118" s="980"/>
      <c r="HY118" s="980"/>
      <c r="HZ118" s="980"/>
      <c r="IA118" s="980"/>
      <c r="IB118" s="980"/>
      <c r="IC118" s="980"/>
      <c r="ID118" s="980"/>
      <c r="IE118" s="980"/>
      <c r="IF118" s="980"/>
      <c r="IG118" s="998"/>
      <c r="IH118" s="980"/>
      <c r="II118" s="980"/>
      <c r="IJ118" s="998"/>
      <c r="IK118" s="980"/>
      <c r="IL118" s="980"/>
      <c r="IM118" s="980">
        <v>15</v>
      </c>
      <c r="IN118" s="980"/>
      <c r="IO118" s="864"/>
      <c r="IP118" s="864"/>
      <c r="IQ118" s="864"/>
      <c r="IR118" s="998"/>
      <c r="IS118" s="980"/>
      <c r="IT118" s="980"/>
      <c r="IU118" s="980"/>
      <c r="IV118" s="980"/>
      <c r="IW118" s="980"/>
      <c r="IX118" s="999"/>
      <c r="IY118" s="980"/>
      <c r="IZ118" s="980"/>
      <c r="JA118" s="980" t="s">
        <v>504</v>
      </c>
      <c r="JB118" s="980"/>
      <c r="JC118" s="980"/>
      <c r="JD118" s="980"/>
      <c r="JE118" s="980"/>
      <c r="JF118" s="999"/>
      <c r="JG118" s="980"/>
      <c r="JH118" s="980"/>
      <c r="JI118" s="980">
        <v>35</v>
      </c>
      <c r="JJ118" s="980"/>
      <c r="JK118" s="980"/>
      <c r="JL118" s="980"/>
      <c r="JM118" s="980"/>
      <c r="JN118" s="980"/>
      <c r="JO118" s="980"/>
      <c r="JP118" s="855"/>
      <c r="JQ118" s="999"/>
      <c r="JR118" s="980"/>
      <c r="JS118" s="980"/>
      <c r="JT118" s="980"/>
      <c r="JU118" s="980"/>
      <c r="JV118" s="980"/>
      <c r="JW118" s="980"/>
      <c r="JX118" s="980"/>
      <c r="JY118" s="980"/>
      <c r="JZ118" s="980"/>
      <c r="KA118" s="980"/>
      <c r="KB118" s="980"/>
      <c r="KC118" s="980"/>
      <c r="KD118" s="980"/>
      <c r="KE118" s="998"/>
      <c r="KF118" s="998"/>
      <c r="KG118" s="998"/>
      <c r="KH118" s="998"/>
      <c r="KI118" s="998"/>
      <c r="KJ118" s="998"/>
      <c r="KK118" s="998"/>
      <c r="KL118" s="980"/>
      <c r="KM118" s="864"/>
      <c r="KN118" s="864"/>
      <c r="KO118" s="864"/>
      <c r="KP118" s="864"/>
      <c r="KQ118" s="864"/>
      <c r="KR118" s="980"/>
      <c r="KS118" s="864"/>
      <c r="KT118" s="980"/>
      <c r="KU118" s="864"/>
      <c r="KV118" s="980"/>
      <c r="KW118" s="980"/>
      <c r="KX118" s="980"/>
      <c r="KY118" s="858"/>
      <c r="KZ118" s="980"/>
      <c r="LA118" s="980"/>
      <c r="LB118" s="980"/>
      <c r="LC118" s="980"/>
      <c r="LD118" s="980"/>
      <c r="LE118" s="980"/>
      <c r="LF118" s="999"/>
      <c r="LG118" s="999"/>
      <c r="LH118" s="999"/>
      <c r="LI118" s="999"/>
      <c r="LJ118" s="999"/>
      <c r="LK118" s="999"/>
      <c r="LL118" s="999"/>
      <c r="LM118" s="999"/>
      <c r="LN118" s="999"/>
      <c r="LO118" s="999"/>
      <c r="LP118" s="999"/>
      <c r="LQ118" s="999"/>
      <c r="LR118" s="999"/>
      <c r="LS118" s="999"/>
      <c r="LT118" s="999"/>
      <c r="LU118" s="999"/>
      <c r="LV118" s="999"/>
      <c r="LW118" s="999"/>
      <c r="LX118" s="999"/>
      <c r="LY118" s="999"/>
    </row>
    <row r="119" spans="1:337" ht="15.75" customHeight="1" x14ac:dyDescent="0.25">
      <c r="A119" s="1584"/>
      <c r="B119" s="1587"/>
      <c r="C119" s="1594" t="s">
        <v>242</v>
      </c>
      <c r="D119" s="1597" t="s">
        <v>43</v>
      </c>
      <c r="E119" s="849" t="s">
        <v>171</v>
      </c>
      <c r="F119" s="853"/>
      <c r="G119" s="853"/>
      <c r="H119" s="864"/>
      <c r="I119" s="864"/>
      <c r="J119" s="864"/>
      <c r="K119" s="864"/>
      <c r="L119" s="864"/>
      <c r="M119" s="864"/>
      <c r="N119" s="852" t="s">
        <v>504</v>
      </c>
      <c r="O119" s="864"/>
      <c r="P119" s="864"/>
      <c r="Q119" s="864"/>
      <c r="R119" s="864"/>
      <c r="S119" s="864"/>
      <c r="T119" s="864"/>
      <c r="U119" s="864"/>
      <c r="V119" s="855" t="s">
        <v>479</v>
      </c>
      <c r="W119" s="855" t="s">
        <v>479</v>
      </c>
      <c r="X119" s="855" t="s">
        <v>479</v>
      </c>
      <c r="Y119" s="855" t="s">
        <v>479</v>
      </c>
      <c r="Z119" s="855" t="s">
        <v>504</v>
      </c>
      <c r="AA119" s="864"/>
      <c r="AB119" s="864"/>
      <c r="AC119" s="864"/>
      <c r="AD119" s="864"/>
      <c r="AE119" s="864"/>
      <c r="AF119" s="864"/>
      <c r="AG119" s="864"/>
      <c r="AH119" s="864"/>
      <c r="AI119" s="864"/>
      <c r="AJ119" s="864"/>
      <c r="AK119" s="864"/>
      <c r="AL119" s="864"/>
      <c r="AM119" s="864"/>
      <c r="AN119" s="864"/>
      <c r="AO119" s="864"/>
      <c r="AP119" s="864"/>
      <c r="AQ119" s="864"/>
      <c r="AR119" s="864"/>
      <c r="AS119" s="864"/>
      <c r="AT119" s="864"/>
      <c r="AU119" s="864"/>
      <c r="AV119" s="855" t="s">
        <v>504</v>
      </c>
      <c r="AW119" s="855" t="s">
        <v>504</v>
      </c>
      <c r="AX119" s="864"/>
      <c r="AY119" s="864"/>
      <c r="AZ119" s="864"/>
      <c r="BA119" s="852" t="s">
        <v>504</v>
      </c>
      <c r="BB119" s="980" t="s">
        <v>504</v>
      </c>
      <c r="BC119" s="855" t="s">
        <v>504</v>
      </c>
      <c r="BD119" s="980"/>
      <c r="BE119" s="864"/>
      <c r="BF119" s="864"/>
      <c r="BG119" s="864"/>
      <c r="BH119" s="864"/>
      <c r="BI119" s="864"/>
      <c r="BJ119" s="864"/>
      <c r="BK119" s="864"/>
      <c r="BL119" s="864"/>
      <c r="BM119" s="864"/>
      <c r="BN119" s="864"/>
      <c r="BO119" s="864"/>
      <c r="BP119" s="864"/>
      <c r="BQ119" s="864"/>
      <c r="BR119" s="864"/>
      <c r="BS119" s="864"/>
      <c r="BT119" s="855" t="s">
        <v>504</v>
      </c>
      <c r="BU119" s="855"/>
      <c r="BV119" s="855" t="s">
        <v>504</v>
      </c>
      <c r="BW119" s="855" t="s">
        <v>504</v>
      </c>
      <c r="BX119" s="864"/>
      <c r="BY119" s="864"/>
      <c r="BZ119" s="864"/>
      <c r="CA119" s="864"/>
      <c r="CB119" s="864"/>
      <c r="CC119" s="862"/>
      <c r="CD119" s="864"/>
      <c r="CE119" s="864"/>
      <c r="CF119" s="864"/>
      <c r="CG119" s="864"/>
      <c r="CH119" s="864"/>
      <c r="CI119" s="864"/>
      <c r="CJ119" s="864"/>
      <c r="CK119" s="855"/>
      <c r="CL119" s="855"/>
      <c r="CM119" s="864"/>
      <c r="CN119" s="864"/>
      <c r="CO119" s="864"/>
      <c r="CP119" s="864"/>
      <c r="CQ119" s="864"/>
      <c r="CR119" s="864"/>
      <c r="CS119" s="864"/>
      <c r="CT119" s="864"/>
      <c r="CU119" s="864"/>
      <c r="CV119" s="864"/>
      <c r="CW119" s="864"/>
      <c r="CX119" s="864"/>
      <c r="CY119" s="864"/>
      <c r="CZ119" s="864"/>
      <c r="DA119" s="864"/>
      <c r="DB119" s="864"/>
      <c r="DC119" s="864"/>
      <c r="DD119" s="864"/>
      <c r="DE119" s="864"/>
      <c r="DF119" s="855"/>
      <c r="DG119" s="864"/>
      <c r="DH119" s="855" t="s">
        <v>504</v>
      </c>
      <c r="DI119" s="855"/>
      <c r="DJ119" s="855"/>
      <c r="DK119" s="855" t="s">
        <v>504</v>
      </c>
      <c r="DL119" s="855" t="s">
        <v>504</v>
      </c>
      <c r="DM119" s="855" t="s">
        <v>504</v>
      </c>
      <c r="DN119" s="864"/>
      <c r="DO119" s="864"/>
      <c r="DP119" s="855" t="s">
        <v>504</v>
      </c>
      <c r="DQ119" s="864"/>
      <c r="DR119" s="864"/>
      <c r="DS119" s="864"/>
      <c r="DT119" s="864"/>
      <c r="DU119" s="864"/>
      <c r="DV119" s="864"/>
      <c r="DW119" s="864"/>
      <c r="DX119" s="864"/>
      <c r="DY119" s="864"/>
      <c r="DZ119" s="864"/>
      <c r="EA119" s="864"/>
      <c r="EB119" s="864"/>
      <c r="EC119" s="864"/>
      <c r="ED119" s="864"/>
      <c r="EE119" s="864"/>
      <c r="EF119" s="855" t="s">
        <v>504</v>
      </c>
      <c r="EG119" s="855" t="s">
        <v>504</v>
      </c>
      <c r="EH119" s="855" t="s">
        <v>504</v>
      </c>
      <c r="EI119" s="855" t="s">
        <v>504</v>
      </c>
      <c r="EJ119" s="858" t="s">
        <v>504</v>
      </c>
      <c r="EK119" s="858" t="s">
        <v>504</v>
      </c>
      <c r="EL119" s="999" t="s">
        <v>504</v>
      </c>
      <c r="EM119" s="999" t="s">
        <v>504</v>
      </c>
      <c r="EN119" s="858" t="s">
        <v>504</v>
      </c>
      <c r="EO119" s="858" t="s">
        <v>504</v>
      </c>
      <c r="EP119" s="858" t="s">
        <v>504</v>
      </c>
      <c r="EQ119" s="858" t="s">
        <v>504</v>
      </c>
      <c r="ER119" s="858"/>
      <c r="ES119" s="858" t="s">
        <v>504</v>
      </c>
      <c r="ET119" s="858" t="s">
        <v>504</v>
      </c>
      <c r="EU119" s="864"/>
      <c r="EV119" s="864"/>
      <c r="EW119" s="855" t="s">
        <v>504</v>
      </c>
      <c r="EX119" s="864"/>
      <c r="EY119" s="864"/>
      <c r="EZ119" s="864"/>
      <c r="FA119" s="864"/>
      <c r="FB119" s="864"/>
      <c r="FC119" s="864"/>
      <c r="FD119" s="864"/>
      <c r="FE119" s="980" t="s">
        <v>479</v>
      </c>
      <c r="FF119" s="864"/>
      <c r="FG119" s="864"/>
      <c r="FH119" s="864"/>
      <c r="FI119" s="864"/>
      <c r="FJ119" s="864"/>
      <c r="FK119" s="852" t="s">
        <v>504</v>
      </c>
      <c r="FL119" s="852" t="s">
        <v>504</v>
      </c>
      <c r="FM119" s="855" t="s">
        <v>504</v>
      </c>
      <c r="FN119" s="855"/>
      <c r="FO119" s="855"/>
      <c r="FP119" s="855" t="s">
        <v>504</v>
      </c>
      <c r="FQ119" s="855" t="s">
        <v>504</v>
      </c>
      <c r="FR119" s="864"/>
      <c r="FS119" s="864"/>
      <c r="FT119" s="864"/>
      <c r="FU119" s="864"/>
      <c r="FV119" s="864"/>
      <c r="FW119" s="864"/>
      <c r="FX119" s="864"/>
      <c r="FY119" s="864"/>
      <c r="FZ119" s="864"/>
      <c r="GA119" s="855" t="s">
        <v>504</v>
      </c>
      <c r="GB119" s="855" t="s">
        <v>504</v>
      </c>
      <c r="GC119" s="855" t="s">
        <v>504</v>
      </c>
      <c r="GD119" s="855" t="s">
        <v>504</v>
      </c>
      <c r="GE119" s="855"/>
      <c r="GF119" s="855"/>
      <c r="GG119" s="855" t="s">
        <v>504</v>
      </c>
      <c r="GH119" s="864"/>
      <c r="GI119" s="864"/>
      <c r="GJ119" s="864"/>
      <c r="GK119" s="864"/>
      <c r="GL119" s="864"/>
      <c r="GM119" s="864"/>
      <c r="GN119" s="864"/>
      <c r="GO119" s="859" t="s">
        <v>504</v>
      </c>
      <c r="GP119" s="866" t="s">
        <v>504</v>
      </c>
      <c r="GQ119" s="860" t="s">
        <v>504</v>
      </c>
      <c r="GR119" s="864"/>
      <c r="GS119" s="864"/>
      <c r="GT119" s="864"/>
      <c r="GU119" s="864"/>
      <c r="GV119" s="864"/>
      <c r="GW119" s="864"/>
      <c r="GX119" s="864"/>
      <c r="GY119" s="864"/>
      <c r="GZ119" s="864"/>
      <c r="HA119" s="864"/>
      <c r="HB119" s="864"/>
      <c r="HC119" s="864"/>
      <c r="HD119" s="864"/>
      <c r="HE119" s="855" t="s">
        <v>504</v>
      </c>
      <c r="HF119" s="855" t="s">
        <v>504</v>
      </c>
      <c r="HG119" s="864"/>
      <c r="HH119" s="858" t="s">
        <v>504</v>
      </c>
      <c r="HI119" s="855" t="s">
        <v>504</v>
      </c>
      <c r="HJ119" s="855" t="s">
        <v>504</v>
      </c>
      <c r="HK119" s="858" t="s">
        <v>504</v>
      </c>
      <c r="HL119" s="864"/>
      <c r="HM119" s="864"/>
      <c r="HN119" s="864"/>
      <c r="HO119" s="861" t="s">
        <v>504</v>
      </c>
      <c r="HP119" s="855" t="s">
        <v>504</v>
      </c>
      <c r="HQ119" s="855" t="s">
        <v>504</v>
      </c>
      <c r="HR119" s="862" t="s">
        <v>504</v>
      </c>
      <c r="HS119" s="855" t="s">
        <v>504</v>
      </c>
      <c r="HT119" s="855" t="s">
        <v>504</v>
      </c>
      <c r="HU119" s="855" t="s">
        <v>504</v>
      </c>
      <c r="HV119" s="852"/>
      <c r="HW119" s="855" t="s">
        <v>504</v>
      </c>
      <c r="HX119" s="855" t="s">
        <v>504</v>
      </c>
      <c r="HY119" s="855" t="s">
        <v>504</v>
      </c>
      <c r="HZ119" s="855" t="s">
        <v>504</v>
      </c>
      <c r="IA119" s="855" t="s">
        <v>500</v>
      </c>
      <c r="IB119" s="855" t="s">
        <v>504</v>
      </c>
      <c r="IC119" s="855" t="s">
        <v>504</v>
      </c>
      <c r="ID119" s="855" t="s">
        <v>504</v>
      </c>
      <c r="IE119" s="855" t="s">
        <v>504</v>
      </c>
      <c r="IF119" s="855" t="s">
        <v>504</v>
      </c>
      <c r="IG119" s="862" t="s">
        <v>504</v>
      </c>
      <c r="IH119" s="855" t="s">
        <v>504</v>
      </c>
      <c r="II119" s="855" t="s">
        <v>504</v>
      </c>
      <c r="IJ119" s="862" t="s">
        <v>504</v>
      </c>
      <c r="IK119" s="855" t="s">
        <v>504</v>
      </c>
      <c r="IL119" s="855" t="s">
        <v>504</v>
      </c>
      <c r="IM119" s="855" t="s">
        <v>504</v>
      </c>
      <c r="IN119" s="855" t="s">
        <v>504</v>
      </c>
      <c r="IO119" s="864"/>
      <c r="IP119" s="864"/>
      <c r="IQ119" s="864"/>
      <c r="IR119" s="862" t="s">
        <v>504</v>
      </c>
      <c r="IS119" s="855" t="s">
        <v>504</v>
      </c>
      <c r="IT119" s="855" t="s">
        <v>504</v>
      </c>
      <c r="IU119" s="855" t="s">
        <v>504</v>
      </c>
      <c r="IV119" s="855" t="s">
        <v>504</v>
      </c>
      <c r="IW119" s="855" t="s">
        <v>504</v>
      </c>
      <c r="IX119" s="858" t="s">
        <v>504</v>
      </c>
      <c r="IY119" s="855" t="s">
        <v>504</v>
      </c>
      <c r="IZ119" s="855" t="s">
        <v>504</v>
      </c>
      <c r="JA119" s="855" t="s">
        <v>504</v>
      </c>
      <c r="JB119" s="855"/>
      <c r="JC119" s="855" t="s">
        <v>504</v>
      </c>
      <c r="JD119" s="855" t="s">
        <v>504</v>
      </c>
      <c r="JE119" s="855" t="s">
        <v>504</v>
      </c>
      <c r="JF119" s="858" t="s">
        <v>504</v>
      </c>
      <c r="JG119" s="855" t="s">
        <v>479</v>
      </c>
      <c r="JH119" s="855"/>
      <c r="JI119" s="855" t="s">
        <v>479</v>
      </c>
      <c r="JJ119" s="855" t="s">
        <v>504</v>
      </c>
      <c r="JK119" s="855" t="s">
        <v>504</v>
      </c>
      <c r="JL119" s="855" t="s">
        <v>504</v>
      </c>
      <c r="JM119" s="855" t="s">
        <v>504</v>
      </c>
      <c r="JN119" s="855" t="s">
        <v>504</v>
      </c>
      <c r="JO119" s="855" t="s">
        <v>504</v>
      </c>
      <c r="JP119" s="980" t="s">
        <v>504</v>
      </c>
      <c r="JQ119" s="858" t="s">
        <v>504</v>
      </c>
      <c r="JR119" s="855" t="s">
        <v>504</v>
      </c>
      <c r="JS119" s="855" t="s">
        <v>504</v>
      </c>
      <c r="JT119" s="855" t="s">
        <v>504</v>
      </c>
      <c r="JU119" s="855" t="s">
        <v>504</v>
      </c>
      <c r="JV119" s="855" t="s">
        <v>504</v>
      </c>
      <c r="JW119" s="855" t="s">
        <v>504</v>
      </c>
      <c r="JX119" s="855"/>
      <c r="JY119" s="855" t="s">
        <v>504</v>
      </c>
      <c r="JZ119" s="855" t="s">
        <v>504</v>
      </c>
      <c r="KA119" s="855" t="s">
        <v>504</v>
      </c>
      <c r="KB119" s="855" t="s">
        <v>504</v>
      </c>
      <c r="KC119" s="855" t="s">
        <v>504</v>
      </c>
      <c r="KD119" s="855" t="s">
        <v>504</v>
      </c>
      <c r="KE119" s="862" t="s">
        <v>504</v>
      </c>
      <c r="KF119" s="862" t="s">
        <v>504</v>
      </c>
      <c r="KG119" s="862" t="s">
        <v>504</v>
      </c>
      <c r="KH119" s="862" t="s">
        <v>504</v>
      </c>
      <c r="KI119" s="862" t="s">
        <v>504</v>
      </c>
      <c r="KJ119" s="862" t="s">
        <v>504</v>
      </c>
      <c r="KK119" s="862" t="s">
        <v>504</v>
      </c>
      <c r="KL119" s="855" t="s">
        <v>504</v>
      </c>
      <c r="KM119" s="864"/>
      <c r="KN119" s="864"/>
      <c r="KO119" s="864"/>
      <c r="KP119" s="864"/>
      <c r="KQ119" s="864"/>
      <c r="KR119" s="855" t="s">
        <v>504</v>
      </c>
      <c r="KS119" s="864"/>
      <c r="KT119" s="855" t="s">
        <v>504</v>
      </c>
      <c r="KU119" s="864"/>
      <c r="KV119" s="855" t="s">
        <v>504</v>
      </c>
      <c r="KW119" s="855" t="s">
        <v>504</v>
      </c>
      <c r="KX119" s="855" t="s">
        <v>504</v>
      </c>
      <c r="KY119" s="858" t="s">
        <v>504</v>
      </c>
      <c r="KZ119" s="855" t="s">
        <v>504</v>
      </c>
      <c r="LA119" s="855" t="s">
        <v>504</v>
      </c>
      <c r="LB119" s="855" t="s">
        <v>504</v>
      </c>
      <c r="LC119" s="855" t="s">
        <v>504</v>
      </c>
      <c r="LD119" s="855" t="s">
        <v>504</v>
      </c>
      <c r="LE119" s="855" t="s">
        <v>504</v>
      </c>
      <c r="LF119" s="858" t="s">
        <v>504</v>
      </c>
      <c r="LG119" s="858" t="s">
        <v>504</v>
      </c>
      <c r="LH119" s="858" t="s">
        <v>504</v>
      </c>
      <c r="LI119" s="858"/>
      <c r="LJ119" s="858" t="s">
        <v>504</v>
      </c>
      <c r="LK119" s="858" t="s">
        <v>504</v>
      </c>
      <c r="LL119" s="858" t="s">
        <v>504</v>
      </c>
      <c r="LM119" s="858" t="s">
        <v>504</v>
      </c>
      <c r="LN119" s="858" t="s">
        <v>504</v>
      </c>
      <c r="LO119" s="858" t="s">
        <v>504</v>
      </c>
      <c r="LP119" s="858" t="s">
        <v>504</v>
      </c>
      <c r="LQ119" s="858"/>
      <c r="LR119" s="858" t="s">
        <v>504</v>
      </c>
      <c r="LS119" s="858" t="s">
        <v>504</v>
      </c>
      <c r="LT119" s="858" t="s">
        <v>504</v>
      </c>
      <c r="LU119" s="858" t="s">
        <v>504</v>
      </c>
      <c r="LV119" s="858" t="s">
        <v>504</v>
      </c>
      <c r="LW119" s="858" t="s">
        <v>504</v>
      </c>
      <c r="LX119" s="858" t="s">
        <v>504</v>
      </c>
      <c r="LY119" s="858" t="s">
        <v>504</v>
      </c>
    </row>
    <row r="120" spans="1:337" x14ac:dyDescent="0.25">
      <c r="A120" s="1584"/>
      <c r="B120" s="1587"/>
      <c r="C120" s="1600"/>
      <c r="D120" s="1598"/>
      <c r="E120" s="847" t="s">
        <v>172</v>
      </c>
      <c r="F120" s="853"/>
      <c r="G120" s="853"/>
      <c r="H120" s="864"/>
      <c r="I120" s="864"/>
      <c r="J120" s="864"/>
      <c r="K120" s="864"/>
      <c r="L120" s="864"/>
      <c r="M120" s="864"/>
      <c r="N120" s="852"/>
      <c r="O120" s="864"/>
      <c r="P120" s="864"/>
      <c r="Q120" s="864"/>
      <c r="R120" s="864"/>
      <c r="S120" s="864"/>
      <c r="T120" s="864"/>
      <c r="U120" s="864"/>
      <c r="V120" s="855"/>
      <c r="W120" s="855"/>
      <c r="X120" s="855"/>
      <c r="Y120" s="855"/>
      <c r="Z120" s="855"/>
      <c r="AA120" s="864"/>
      <c r="AB120" s="864"/>
      <c r="AC120" s="864"/>
      <c r="AD120" s="864"/>
      <c r="AE120" s="864"/>
      <c r="AF120" s="864"/>
      <c r="AG120" s="864"/>
      <c r="AH120" s="864"/>
      <c r="AI120" s="864"/>
      <c r="AJ120" s="864"/>
      <c r="AK120" s="864"/>
      <c r="AL120" s="864"/>
      <c r="AM120" s="864"/>
      <c r="AN120" s="864"/>
      <c r="AO120" s="864"/>
      <c r="AP120" s="864"/>
      <c r="AQ120" s="864"/>
      <c r="AR120" s="864"/>
      <c r="AS120" s="864"/>
      <c r="AT120" s="864"/>
      <c r="AU120" s="864"/>
      <c r="AV120" s="855"/>
      <c r="AW120" s="855"/>
      <c r="AX120" s="864"/>
      <c r="AY120" s="864"/>
      <c r="AZ120" s="864"/>
      <c r="BA120" s="852"/>
      <c r="BB120" s="855"/>
      <c r="BC120" s="855"/>
      <c r="BD120" s="855"/>
      <c r="BE120" s="864"/>
      <c r="BF120" s="864"/>
      <c r="BG120" s="864"/>
      <c r="BH120" s="864"/>
      <c r="BI120" s="864"/>
      <c r="BJ120" s="864"/>
      <c r="BK120" s="864"/>
      <c r="BL120" s="864"/>
      <c r="BM120" s="864"/>
      <c r="BN120" s="864"/>
      <c r="BO120" s="864"/>
      <c r="BP120" s="864"/>
      <c r="BQ120" s="864"/>
      <c r="BR120" s="864"/>
      <c r="BS120" s="864"/>
      <c r="BT120" s="855"/>
      <c r="BU120" s="855"/>
      <c r="BV120" s="855"/>
      <c r="BW120" s="855"/>
      <c r="BX120" s="864"/>
      <c r="BY120" s="864"/>
      <c r="BZ120" s="864"/>
      <c r="CA120" s="864"/>
      <c r="CB120" s="864"/>
      <c r="CC120" s="862"/>
      <c r="CD120" s="864"/>
      <c r="CE120" s="864"/>
      <c r="CF120" s="864"/>
      <c r="CG120" s="864"/>
      <c r="CH120" s="864"/>
      <c r="CI120" s="864"/>
      <c r="CJ120" s="864"/>
      <c r="CK120" s="855"/>
      <c r="CL120" s="855"/>
      <c r="CM120" s="864"/>
      <c r="CN120" s="864"/>
      <c r="CO120" s="864"/>
      <c r="CP120" s="864"/>
      <c r="CQ120" s="864"/>
      <c r="CR120" s="864"/>
      <c r="CS120" s="864"/>
      <c r="CT120" s="864"/>
      <c r="CU120" s="864"/>
      <c r="CV120" s="864"/>
      <c r="CW120" s="864"/>
      <c r="CX120" s="864"/>
      <c r="CY120" s="864"/>
      <c r="CZ120" s="864"/>
      <c r="DA120" s="864"/>
      <c r="DB120" s="864"/>
      <c r="DC120" s="864"/>
      <c r="DD120" s="864"/>
      <c r="DE120" s="864"/>
      <c r="DF120" s="855"/>
      <c r="DG120" s="864"/>
      <c r="DH120" s="855"/>
      <c r="DI120" s="855"/>
      <c r="DJ120" s="855"/>
      <c r="DK120" s="855" t="s">
        <v>504</v>
      </c>
      <c r="DL120" s="855"/>
      <c r="DM120" s="855"/>
      <c r="DN120" s="864"/>
      <c r="DO120" s="864"/>
      <c r="DP120" s="855"/>
      <c r="DQ120" s="864"/>
      <c r="DR120" s="864"/>
      <c r="DS120" s="864"/>
      <c r="DT120" s="864"/>
      <c r="DU120" s="864"/>
      <c r="DV120" s="864"/>
      <c r="DW120" s="864"/>
      <c r="DX120" s="864"/>
      <c r="DY120" s="864"/>
      <c r="DZ120" s="864"/>
      <c r="EA120" s="864"/>
      <c r="EB120" s="864"/>
      <c r="EC120" s="864"/>
      <c r="ED120" s="864"/>
      <c r="EE120" s="864"/>
      <c r="EF120" s="855"/>
      <c r="EG120" s="855"/>
      <c r="EH120" s="855"/>
      <c r="EI120" s="855"/>
      <c r="EJ120" s="858"/>
      <c r="EK120" s="858"/>
      <c r="EL120" s="999"/>
      <c r="EM120" s="853"/>
      <c r="EN120" s="858"/>
      <c r="EO120" s="858"/>
      <c r="EP120" s="858"/>
      <c r="EQ120" s="858"/>
      <c r="ER120" s="858"/>
      <c r="ES120" s="858"/>
      <c r="ET120" s="858"/>
      <c r="EU120" s="864"/>
      <c r="EV120" s="864"/>
      <c r="EW120" s="855"/>
      <c r="EX120" s="864"/>
      <c r="EY120" s="864"/>
      <c r="EZ120" s="864"/>
      <c r="FA120" s="864"/>
      <c r="FB120" s="864"/>
      <c r="FC120" s="864"/>
      <c r="FD120" s="864"/>
      <c r="FE120" s="855"/>
      <c r="FF120" s="864"/>
      <c r="FG120" s="864"/>
      <c r="FH120" s="864"/>
      <c r="FI120" s="864"/>
      <c r="FJ120" s="864"/>
      <c r="FK120" s="852"/>
      <c r="FL120" s="852"/>
      <c r="FM120" s="855"/>
      <c r="FN120" s="855"/>
      <c r="FO120" s="855"/>
      <c r="FP120" s="855"/>
      <c r="FQ120" s="855"/>
      <c r="FR120" s="864"/>
      <c r="FS120" s="864"/>
      <c r="FT120" s="864"/>
      <c r="FU120" s="864"/>
      <c r="FV120" s="864"/>
      <c r="FW120" s="864"/>
      <c r="FX120" s="864"/>
      <c r="FY120" s="864"/>
      <c r="FZ120" s="864"/>
      <c r="GA120" s="855"/>
      <c r="GB120" s="855"/>
      <c r="GC120" s="855"/>
      <c r="GD120" s="855"/>
      <c r="GE120" s="855"/>
      <c r="GF120" s="855"/>
      <c r="GG120" s="855"/>
      <c r="GH120" s="864"/>
      <c r="GI120" s="864"/>
      <c r="GJ120" s="864"/>
      <c r="GK120" s="864"/>
      <c r="GL120" s="864"/>
      <c r="GM120" s="864"/>
      <c r="GN120" s="864"/>
      <c r="GO120" s="859"/>
      <c r="GP120" s="866"/>
      <c r="GQ120" s="867"/>
      <c r="GR120" s="864"/>
      <c r="GS120" s="864"/>
      <c r="GT120" s="864"/>
      <c r="GU120" s="864"/>
      <c r="GV120" s="864"/>
      <c r="GW120" s="864"/>
      <c r="GX120" s="864"/>
      <c r="GY120" s="864"/>
      <c r="GZ120" s="864"/>
      <c r="HA120" s="864"/>
      <c r="HB120" s="864"/>
      <c r="HC120" s="864"/>
      <c r="HD120" s="864"/>
      <c r="HE120" s="855"/>
      <c r="HF120" s="855"/>
      <c r="HG120" s="864"/>
      <c r="HH120" s="858"/>
      <c r="HI120" s="855"/>
      <c r="HJ120" s="855"/>
      <c r="HK120" s="858"/>
      <c r="HL120" s="864"/>
      <c r="HM120" s="864"/>
      <c r="HN120" s="864"/>
      <c r="HO120" s="861"/>
      <c r="HP120" s="855"/>
      <c r="HQ120" s="855"/>
      <c r="HR120" s="862"/>
      <c r="HS120" s="855"/>
      <c r="HT120" s="855"/>
      <c r="HU120" s="855"/>
      <c r="HV120" s="1000"/>
      <c r="HW120" s="855"/>
      <c r="HX120" s="855"/>
      <c r="HY120" s="855"/>
      <c r="HZ120" s="855"/>
      <c r="IA120" s="855" t="s">
        <v>935</v>
      </c>
      <c r="IB120" s="855"/>
      <c r="IC120" s="855"/>
      <c r="ID120" s="855"/>
      <c r="IE120" s="855"/>
      <c r="IF120" s="855"/>
      <c r="IG120" s="862"/>
      <c r="IH120" s="855"/>
      <c r="II120" s="855"/>
      <c r="IJ120" s="862"/>
      <c r="IK120" s="855"/>
      <c r="IL120" s="855"/>
      <c r="IM120" s="855"/>
      <c r="IN120" s="855"/>
      <c r="IO120" s="864"/>
      <c r="IP120" s="864"/>
      <c r="IQ120" s="864"/>
      <c r="IR120" s="862" t="s">
        <v>504</v>
      </c>
      <c r="IS120" s="855"/>
      <c r="IT120" s="855"/>
      <c r="IU120" s="855"/>
      <c r="IV120" s="855"/>
      <c r="IW120" s="855"/>
      <c r="IX120" s="858"/>
      <c r="IY120" s="855"/>
      <c r="IZ120" s="855"/>
      <c r="JA120" s="855"/>
      <c r="JB120" s="855"/>
      <c r="JC120" s="855"/>
      <c r="JD120" s="855"/>
      <c r="JE120" s="855"/>
      <c r="JF120" s="858"/>
      <c r="JG120" s="855"/>
      <c r="JH120" s="855"/>
      <c r="JI120" s="855"/>
      <c r="JJ120" s="855"/>
      <c r="JK120" s="855"/>
      <c r="JL120" s="855"/>
      <c r="JM120" s="855"/>
      <c r="JN120" s="855"/>
      <c r="JO120" s="855"/>
      <c r="JP120" s="855"/>
      <c r="JQ120" s="858"/>
      <c r="JR120" s="855"/>
      <c r="JS120" s="855"/>
      <c r="JT120" s="855"/>
      <c r="JU120" s="855"/>
      <c r="JV120" s="855"/>
      <c r="JW120" s="855"/>
      <c r="JX120" s="855"/>
      <c r="JY120" s="855"/>
      <c r="JZ120" s="855"/>
      <c r="KA120" s="855"/>
      <c r="KB120" s="855"/>
      <c r="KC120" s="855"/>
      <c r="KD120" s="855"/>
      <c r="KE120" s="862" t="s">
        <v>504</v>
      </c>
      <c r="KF120" s="862" t="s">
        <v>504</v>
      </c>
      <c r="KG120" s="862" t="s">
        <v>504</v>
      </c>
      <c r="KH120" s="862" t="s">
        <v>504</v>
      </c>
      <c r="KI120" s="862" t="s">
        <v>504</v>
      </c>
      <c r="KJ120" s="862" t="s">
        <v>504</v>
      </c>
      <c r="KK120" s="862" t="s">
        <v>504</v>
      </c>
      <c r="KL120" s="855" t="s">
        <v>504</v>
      </c>
      <c r="KM120" s="864"/>
      <c r="KN120" s="864"/>
      <c r="KO120" s="864"/>
      <c r="KP120" s="864"/>
      <c r="KQ120" s="864"/>
      <c r="KR120" s="855"/>
      <c r="KS120" s="864"/>
      <c r="KT120" s="855"/>
      <c r="KU120" s="864"/>
      <c r="KV120" s="855"/>
      <c r="KW120" s="855"/>
      <c r="KX120" s="855"/>
      <c r="KY120" s="858"/>
      <c r="KZ120" s="855"/>
      <c r="LA120" s="855"/>
      <c r="LB120" s="855"/>
      <c r="LC120" s="855"/>
      <c r="LD120" s="855"/>
      <c r="LE120" s="855"/>
      <c r="LF120" s="858"/>
      <c r="LG120" s="858"/>
      <c r="LH120" s="858"/>
      <c r="LI120" s="858"/>
      <c r="LJ120" s="858"/>
      <c r="LK120" s="858"/>
      <c r="LL120" s="858"/>
      <c r="LM120" s="858"/>
      <c r="LN120" s="858"/>
      <c r="LO120" s="858"/>
      <c r="LP120" s="858"/>
      <c r="LQ120" s="858"/>
      <c r="LR120" s="858"/>
      <c r="LS120" s="858"/>
      <c r="LT120" s="858"/>
      <c r="LU120" s="858"/>
      <c r="LV120" s="858"/>
      <c r="LW120" s="858"/>
      <c r="LX120" s="858"/>
      <c r="LY120" s="858"/>
    </row>
    <row r="121" spans="1:337" ht="16.5" thickBot="1" x14ac:dyDescent="0.3">
      <c r="A121" s="1584"/>
      <c r="B121" s="1587"/>
      <c r="C121" s="1603"/>
      <c r="D121" s="1599"/>
      <c r="E121" s="850" t="s">
        <v>174</v>
      </c>
      <c r="F121" s="853"/>
      <c r="G121" s="853"/>
      <c r="H121" s="864"/>
      <c r="I121" s="864"/>
      <c r="J121" s="864"/>
      <c r="K121" s="864"/>
      <c r="L121" s="864"/>
      <c r="M121" s="864"/>
      <c r="N121" s="852"/>
      <c r="O121" s="864"/>
      <c r="P121" s="864"/>
      <c r="Q121" s="864"/>
      <c r="R121" s="864"/>
      <c r="S121" s="864"/>
      <c r="T121" s="864"/>
      <c r="U121" s="864"/>
      <c r="V121" s="980"/>
      <c r="W121" s="980"/>
      <c r="X121" s="980"/>
      <c r="Y121" s="980"/>
      <c r="Z121" s="980"/>
      <c r="AA121" s="864"/>
      <c r="AB121" s="864"/>
      <c r="AC121" s="864"/>
      <c r="AD121" s="864"/>
      <c r="AE121" s="864"/>
      <c r="AF121" s="864"/>
      <c r="AG121" s="864"/>
      <c r="AH121" s="864"/>
      <c r="AI121" s="864"/>
      <c r="AJ121" s="864"/>
      <c r="AK121" s="864"/>
      <c r="AL121" s="864"/>
      <c r="AM121" s="864"/>
      <c r="AN121" s="864"/>
      <c r="AO121" s="864"/>
      <c r="AP121" s="864"/>
      <c r="AQ121" s="864"/>
      <c r="AR121" s="864"/>
      <c r="AS121" s="864"/>
      <c r="AT121" s="864"/>
      <c r="AU121" s="864"/>
      <c r="AV121" s="980"/>
      <c r="AW121" s="980"/>
      <c r="AX121" s="864"/>
      <c r="AY121" s="864"/>
      <c r="AZ121" s="864"/>
      <c r="BA121" s="852"/>
      <c r="BB121" s="855"/>
      <c r="BC121" s="980"/>
      <c r="BD121" s="855"/>
      <c r="BE121" s="864"/>
      <c r="BF121" s="864"/>
      <c r="BG121" s="864"/>
      <c r="BH121" s="864"/>
      <c r="BI121" s="864"/>
      <c r="BJ121" s="864"/>
      <c r="BK121" s="864"/>
      <c r="BL121" s="864"/>
      <c r="BM121" s="864"/>
      <c r="BN121" s="864"/>
      <c r="BO121" s="864"/>
      <c r="BP121" s="864"/>
      <c r="BQ121" s="864"/>
      <c r="BR121" s="864"/>
      <c r="BS121" s="864"/>
      <c r="BT121" s="980"/>
      <c r="BU121" s="980"/>
      <c r="BV121" s="980"/>
      <c r="BW121" s="980"/>
      <c r="BX121" s="864"/>
      <c r="BY121" s="864"/>
      <c r="BZ121" s="864"/>
      <c r="CA121" s="864"/>
      <c r="CB121" s="864"/>
      <c r="CC121" s="998"/>
      <c r="CD121" s="864"/>
      <c r="CE121" s="864"/>
      <c r="CF121" s="864"/>
      <c r="CG121" s="864"/>
      <c r="CH121" s="864"/>
      <c r="CI121" s="864"/>
      <c r="CJ121" s="864"/>
      <c r="CK121" s="980"/>
      <c r="CL121" s="980"/>
      <c r="CM121" s="864"/>
      <c r="CN121" s="864"/>
      <c r="CO121" s="864"/>
      <c r="CP121" s="864"/>
      <c r="CQ121" s="864"/>
      <c r="CR121" s="864"/>
      <c r="CS121" s="864"/>
      <c r="CT121" s="864"/>
      <c r="CU121" s="864"/>
      <c r="CV121" s="864"/>
      <c r="CW121" s="864"/>
      <c r="CX121" s="864"/>
      <c r="CY121" s="864"/>
      <c r="CZ121" s="864"/>
      <c r="DA121" s="864"/>
      <c r="DB121" s="864"/>
      <c r="DC121" s="864"/>
      <c r="DD121" s="864"/>
      <c r="DE121" s="864"/>
      <c r="DF121" s="980"/>
      <c r="DG121" s="864"/>
      <c r="DH121" s="980"/>
      <c r="DI121" s="980"/>
      <c r="DJ121" s="980"/>
      <c r="DK121" s="980" t="s">
        <v>504</v>
      </c>
      <c r="DL121" s="980"/>
      <c r="DM121" s="980"/>
      <c r="DN121" s="864"/>
      <c r="DO121" s="864"/>
      <c r="DP121" s="980"/>
      <c r="DQ121" s="864"/>
      <c r="DR121" s="864"/>
      <c r="DS121" s="864"/>
      <c r="DT121" s="864"/>
      <c r="DU121" s="864"/>
      <c r="DV121" s="864"/>
      <c r="DW121" s="864"/>
      <c r="DX121" s="864"/>
      <c r="DY121" s="864"/>
      <c r="DZ121" s="864"/>
      <c r="EA121" s="864"/>
      <c r="EB121" s="864"/>
      <c r="EC121" s="864"/>
      <c r="ED121" s="864"/>
      <c r="EE121" s="864"/>
      <c r="EF121" s="980"/>
      <c r="EG121" s="980"/>
      <c r="EH121" s="980"/>
      <c r="EI121" s="855"/>
      <c r="EJ121" s="999"/>
      <c r="EK121" s="999"/>
      <c r="EL121" s="999"/>
      <c r="EM121" s="853"/>
      <c r="EN121" s="999"/>
      <c r="EO121" s="999"/>
      <c r="EP121" s="999"/>
      <c r="EQ121" s="999"/>
      <c r="ER121" s="999"/>
      <c r="ES121" s="999"/>
      <c r="ET121" s="999"/>
      <c r="EU121" s="864"/>
      <c r="EV121" s="864"/>
      <c r="EW121" s="980"/>
      <c r="EX121" s="864"/>
      <c r="EY121" s="864"/>
      <c r="EZ121" s="864"/>
      <c r="FA121" s="864"/>
      <c r="FB121" s="864"/>
      <c r="FC121" s="864"/>
      <c r="FD121" s="864"/>
      <c r="FE121" s="980"/>
      <c r="FF121" s="864"/>
      <c r="FG121" s="864"/>
      <c r="FH121" s="864"/>
      <c r="FI121" s="864"/>
      <c r="FJ121" s="864"/>
      <c r="FK121" s="1000"/>
      <c r="FL121" s="1000"/>
      <c r="FM121" s="980"/>
      <c r="FN121" s="980"/>
      <c r="FO121" s="980"/>
      <c r="FP121" s="980"/>
      <c r="FQ121" s="980"/>
      <c r="FR121" s="864"/>
      <c r="FS121" s="864"/>
      <c r="FT121" s="864"/>
      <c r="FU121" s="864"/>
      <c r="FV121" s="864"/>
      <c r="FW121" s="864"/>
      <c r="FX121" s="864"/>
      <c r="FY121" s="864"/>
      <c r="FZ121" s="864"/>
      <c r="GA121" s="980"/>
      <c r="GB121" s="980"/>
      <c r="GC121" s="980"/>
      <c r="GD121" s="980"/>
      <c r="GE121" s="980"/>
      <c r="GF121" s="980"/>
      <c r="GG121" s="980"/>
      <c r="GH121" s="864"/>
      <c r="GI121" s="864"/>
      <c r="GJ121" s="864"/>
      <c r="GK121" s="864"/>
      <c r="GL121" s="864"/>
      <c r="GM121" s="864"/>
      <c r="GN121" s="864"/>
      <c r="GO121" s="1001"/>
      <c r="GP121" s="866"/>
      <c r="GQ121" s="867"/>
      <c r="GR121" s="864"/>
      <c r="GS121" s="864"/>
      <c r="GT121" s="864"/>
      <c r="GU121" s="864"/>
      <c r="GV121" s="864"/>
      <c r="GW121" s="864"/>
      <c r="GX121" s="864"/>
      <c r="GY121" s="864"/>
      <c r="GZ121" s="864"/>
      <c r="HA121" s="864"/>
      <c r="HB121" s="864"/>
      <c r="HC121" s="864"/>
      <c r="HD121" s="864"/>
      <c r="HE121" s="980"/>
      <c r="HF121" s="980"/>
      <c r="HG121" s="864"/>
      <c r="HH121" s="999"/>
      <c r="HI121" s="980"/>
      <c r="HJ121" s="980"/>
      <c r="HK121" s="999"/>
      <c r="HL121" s="864"/>
      <c r="HM121" s="864"/>
      <c r="HN121" s="864"/>
      <c r="HO121" s="1004"/>
      <c r="HP121" s="980"/>
      <c r="HQ121" s="980"/>
      <c r="HR121" s="998"/>
      <c r="HS121" s="980"/>
      <c r="HT121" s="980"/>
      <c r="HU121" s="980"/>
      <c r="HV121" s="852"/>
      <c r="HW121" s="980"/>
      <c r="HX121" s="980"/>
      <c r="HY121" s="980"/>
      <c r="HZ121" s="980"/>
      <c r="IA121" s="980">
        <v>11</v>
      </c>
      <c r="IB121" s="980"/>
      <c r="IC121" s="980"/>
      <c r="ID121" s="980"/>
      <c r="IE121" s="980"/>
      <c r="IF121" s="980"/>
      <c r="IG121" s="998"/>
      <c r="IH121" s="980"/>
      <c r="II121" s="980"/>
      <c r="IJ121" s="998"/>
      <c r="IK121" s="980"/>
      <c r="IL121" s="980"/>
      <c r="IM121" s="980"/>
      <c r="IN121" s="980"/>
      <c r="IO121" s="864"/>
      <c r="IP121" s="864"/>
      <c r="IQ121" s="864"/>
      <c r="IR121" s="998"/>
      <c r="IS121" s="980"/>
      <c r="IT121" s="980"/>
      <c r="IU121" s="980"/>
      <c r="IV121" s="980"/>
      <c r="IW121" s="980"/>
      <c r="IX121" s="999"/>
      <c r="IY121" s="980"/>
      <c r="IZ121" s="980"/>
      <c r="JA121" s="980">
        <v>0</v>
      </c>
      <c r="JB121" s="980"/>
      <c r="JC121" s="980"/>
      <c r="JD121" s="980"/>
      <c r="JE121" s="980"/>
      <c r="JF121" s="999"/>
      <c r="JG121" s="980"/>
      <c r="JH121" s="980"/>
      <c r="JI121" s="980"/>
      <c r="JJ121" s="980"/>
      <c r="JK121" s="980"/>
      <c r="JL121" s="980"/>
      <c r="JM121" s="980"/>
      <c r="JN121" s="980"/>
      <c r="JO121" s="980"/>
      <c r="JP121" s="855"/>
      <c r="JQ121" s="999"/>
      <c r="JR121" s="980"/>
      <c r="JS121" s="980"/>
      <c r="JT121" s="980"/>
      <c r="JU121" s="980"/>
      <c r="JV121" s="980"/>
      <c r="JW121" s="980"/>
      <c r="JX121" s="980"/>
      <c r="JY121" s="980"/>
      <c r="JZ121" s="980"/>
      <c r="KA121" s="980"/>
      <c r="KB121" s="980"/>
      <c r="KC121" s="980"/>
      <c r="KD121" s="980"/>
      <c r="KE121" s="998"/>
      <c r="KF121" s="998"/>
      <c r="KG121" s="998"/>
      <c r="KH121" s="998"/>
      <c r="KI121" s="998"/>
      <c r="KJ121" s="998"/>
      <c r="KK121" s="998"/>
      <c r="KL121" s="980"/>
      <c r="KM121" s="864"/>
      <c r="KN121" s="864"/>
      <c r="KO121" s="864"/>
      <c r="KP121" s="864"/>
      <c r="KQ121" s="864"/>
      <c r="KR121" s="980"/>
      <c r="KS121" s="864"/>
      <c r="KT121" s="980"/>
      <c r="KU121" s="864"/>
      <c r="KV121" s="980"/>
      <c r="KW121" s="980"/>
      <c r="KX121" s="980"/>
      <c r="KY121" s="858"/>
      <c r="KZ121" s="980"/>
      <c r="LA121" s="980"/>
      <c r="LB121" s="980"/>
      <c r="LC121" s="980"/>
      <c r="LD121" s="980"/>
      <c r="LE121" s="980"/>
      <c r="LF121" s="999"/>
      <c r="LG121" s="999"/>
      <c r="LH121" s="999"/>
      <c r="LI121" s="999"/>
      <c r="LJ121" s="999"/>
      <c r="LK121" s="999"/>
      <c r="LL121" s="999"/>
      <c r="LM121" s="999"/>
      <c r="LN121" s="999"/>
      <c r="LO121" s="999"/>
      <c r="LP121" s="999"/>
      <c r="LQ121" s="999"/>
      <c r="LR121" s="999"/>
      <c r="LS121" s="999"/>
      <c r="LT121" s="999"/>
      <c r="LU121" s="999"/>
      <c r="LV121" s="999"/>
      <c r="LW121" s="999"/>
      <c r="LX121" s="999"/>
      <c r="LY121" s="999"/>
    </row>
    <row r="122" spans="1:337" x14ac:dyDescent="0.25">
      <c r="A122" s="1584"/>
      <c r="B122" s="1587"/>
      <c r="C122" s="1594" t="s">
        <v>243</v>
      </c>
      <c r="D122" s="1597" t="s">
        <v>239</v>
      </c>
      <c r="E122" s="849" t="s">
        <v>171</v>
      </c>
      <c r="F122" s="853"/>
      <c r="G122" s="853"/>
      <c r="H122" s="864"/>
      <c r="I122" s="864"/>
      <c r="J122" s="864"/>
      <c r="K122" s="864"/>
      <c r="L122" s="864"/>
      <c r="M122" s="864"/>
      <c r="N122" s="852" t="s">
        <v>504</v>
      </c>
      <c r="O122" s="864"/>
      <c r="P122" s="864"/>
      <c r="Q122" s="864"/>
      <c r="R122" s="864"/>
      <c r="S122" s="864"/>
      <c r="T122" s="864"/>
      <c r="U122" s="864"/>
      <c r="V122" s="855" t="s">
        <v>479</v>
      </c>
      <c r="W122" s="855" t="s">
        <v>479</v>
      </c>
      <c r="X122" s="855" t="s">
        <v>479</v>
      </c>
      <c r="Y122" s="855" t="s">
        <v>479</v>
      </c>
      <c r="Z122" s="855" t="s">
        <v>504</v>
      </c>
      <c r="AA122" s="864"/>
      <c r="AB122" s="864"/>
      <c r="AC122" s="864"/>
      <c r="AD122" s="864"/>
      <c r="AE122" s="864"/>
      <c r="AF122" s="864"/>
      <c r="AG122" s="864"/>
      <c r="AH122" s="864"/>
      <c r="AI122" s="864"/>
      <c r="AJ122" s="864"/>
      <c r="AK122" s="864"/>
      <c r="AL122" s="864"/>
      <c r="AM122" s="864"/>
      <c r="AN122" s="864"/>
      <c r="AO122" s="864"/>
      <c r="AP122" s="864"/>
      <c r="AQ122" s="864"/>
      <c r="AR122" s="864"/>
      <c r="AS122" s="864"/>
      <c r="AT122" s="864"/>
      <c r="AU122" s="864"/>
      <c r="AV122" s="855" t="s">
        <v>504</v>
      </c>
      <c r="AW122" s="855" t="s">
        <v>504</v>
      </c>
      <c r="AX122" s="864"/>
      <c r="AY122" s="864"/>
      <c r="AZ122" s="864"/>
      <c r="BA122" s="852" t="s">
        <v>504</v>
      </c>
      <c r="BB122" s="980" t="s">
        <v>504</v>
      </c>
      <c r="BC122" s="855" t="s">
        <v>504</v>
      </c>
      <c r="BD122" s="980"/>
      <c r="BE122" s="864"/>
      <c r="BF122" s="864"/>
      <c r="BG122" s="864"/>
      <c r="BH122" s="864"/>
      <c r="BI122" s="864"/>
      <c r="BJ122" s="864"/>
      <c r="BK122" s="864"/>
      <c r="BL122" s="864"/>
      <c r="BM122" s="864"/>
      <c r="BN122" s="864"/>
      <c r="BO122" s="864"/>
      <c r="BP122" s="864"/>
      <c r="BQ122" s="864"/>
      <c r="BR122" s="864"/>
      <c r="BS122" s="864"/>
      <c r="BT122" s="855" t="s">
        <v>504</v>
      </c>
      <c r="BU122" s="855"/>
      <c r="BV122" s="855" t="s">
        <v>504</v>
      </c>
      <c r="BW122" s="855" t="s">
        <v>504</v>
      </c>
      <c r="BX122" s="864"/>
      <c r="BY122" s="864"/>
      <c r="BZ122" s="864"/>
      <c r="CA122" s="864"/>
      <c r="CB122" s="864"/>
      <c r="CC122" s="862"/>
      <c r="CD122" s="864"/>
      <c r="CE122" s="864"/>
      <c r="CF122" s="864"/>
      <c r="CG122" s="864"/>
      <c r="CH122" s="864"/>
      <c r="CI122" s="864"/>
      <c r="CJ122" s="864"/>
      <c r="CK122" s="855"/>
      <c r="CL122" s="855"/>
      <c r="CM122" s="864"/>
      <c r="CN122" s="864"/>
      <c r="CO122" s="864"/>
      <c r="CP122" s="864"/>
      <c r="CQ122" s="864"/>
      <c r="CR122" s="864"/>
      <c r="CS122" s="864"/>
      <c r="CT122" s="864"/>
      <c r="CU122" s="864"/>
      <c r="CV122" s="864"/>
      <c r="CW122" s="864"/>
      <c r="CX122" s="864"/>
      <c r="CY122" s="864"/>
      <c r="CZ122" s="864"/>
      <c r="DA122" s="864"/>
      <c r="DB122" s="864"/>
      <c r="DC122" s="864"/>
      <c r="DD122" s="864"/>
      <c r="DE122" s="864"/>
      <c r="DF122" s="855"/>
      <c r="DG122" s="864"/>
      <c r="DH122" s="855" t="s">
        <v>504</v>
      </c>
      <c r="DI122" s="855"/>
      <c r="DJ122" s="855" t="s">
        <v>500</v>
      </c>
      <c r="DK122" s="855" t="s">
        <v>504</v>
      </c>
      <c r="DL122" s="855" t="s">
        <v>504</v>
      </c>
      <c r="DM122" s="855" t="s">
        <v>504</v>
      </c>
      <c r="DN122" s="864"/>
      <c r="DO122" s="864"/>
      <c r="DP122" s="855" t="s">
        <v>504</v>
      </c>
      <c r="DQ122" s="864"/>
      <c r="DR122" s="864"/>
      <c r="DS122" s="864"/>
      <c r="DT122" s="864"/>
      <c r="DU122" s="864"/>
      <c r="DV122" s="864"/>
      <c r="DW122" s="864"/>
      <c r="DX122" s="864"/>
      <c r="DY122" s="864"/>
      <c r="DZ122" s="864"/>
      <c r="EA122" s="864"/>
      <c r="EB122" s="864"/>
      <c r="EC122" s="864"/>
      <c r="ED122" s="864"/>
      <c r="EE122" s="864"/>
      <c r="EF122" s="855" t="s">
        <v>504</v>
      </c>
      <c r="EG122" s="855" t="s">
        <v>504</v>
      </c>
      <c r="EH122" s="855" t="s">
        <v>504</v>
      </c>
      <c r="EI122" s="855" t="s">
        <v>504</v>
      </c>
      <c r="EJ122" s="858" t="s">
        <v>504</v>
      </c>
      <c r="EK122" s="858" t="s">
        <v>504</v>
      </c>
      <c r="EL122" s="999" t="s">
        <v>504</v>
      </c>
      <c r="EM122" s="999" t="s">
        <v>504</v>
      </c>
      <c r="EN122" s="858" t="s">
        <v>504</v>
      </c>
      <c r="EO122" s="858" t="s">
        <v>504</v>
      </c>
      <c r="EP122" s="858" t="s">
        <v>504</v>
      </c>
      <c r="EQ122" s="858" t="s">
        <v>504</v>
      </c>
      <c r="ER122" s="858"/>
      <c r="ES122" s="858" t="s">
        <v>504</v>
      </c>
      <c r="ET122" s="858" t="s">
        <v>504</v>
      </c>
      <c r="EU122" s="864"/>
      <c r="EV122" s="864"/>
      <c r="EW122" s="855" t="s">
        <v>504</v>
      </c>
      <c r="EX122" s="864"/>
      <c r="EY122" s="864"/>
      <c r="EZ122" s="864"/>
      <c r="FA122" s="864"/>
      <c r="FB122" s="864"/>
      <c r="FC122" s="864"/>
      <c r="FD122" s="864"/>
      <c r="FE122" s="980" t="s">
        <v>479</v>
      </c>
      <c r="FF122" s="864"/>
      <c r="FG122" s="864"/>
      <c r="FH122" s="864"/>
      <c r="FI122" s="864"/>
      <c r="FJ122" s="864"/>
      <c r="FK122" s="852" t="s">
        <v>504</v>
      </c>
      <c r="FL122" s="852" t="s">
        <v>504</v>
      </c>
      <c r="FM122" s="855" t="s">
        <v>504</v>
      </c>
      <c r="FN122" s="855"/>
      <c r="FO122" s="855"/>
      <c r="FP122" s="855" t="s">
        <v>504</v>
      </c>
      <c r="FQ122" s="855" t="s">
        <v>504</v>
      </c>
      <c r="FR122" s="864"/>
      <c r="FS122" s="864"/>
      <c r="FT122" s="864"/>
      <c r="FU122" s="864"/>
      <c r="FV122" s="864"/>
      <c r="FW122" s="864"/>
      <c r="FX122" s="864"/>
      <c r="FY122" s="864"/>
      <c r="FZ122" s="864"/>
      <c r="GA122" s="855" t="s">
        <v>504</v>
      </c>
      <c r="GB122" s="855" t="s">
        <v>504</v>
      </c>
      <c r="GC122" s="855" t="s">
        <v>504</v>
      </c>
      <c r="GD122" s="855" t="s">
        <v>504</v>
      </c>
      <c r="GE122" s="855"/>
      <c r="GF122" s="855"/>
      <c r="GG122" s="855" t="s">
        <v>504</v>
      </c>
      <c r="GH122" s="864"/>
      <c r="GI122" s="864"/>
      <c r="GJ122" s="864"/>
      <c r="GK122" s="864"/>
      <c r="GL122" s="864"/>
      <c r="GM122" s="864"/>
      <c r="GN122" s="864"/>
      <c r="GO122" s="859" t="s">
        <v>504</v>
      </c>
      <c r="GP122" s="866" t="s">
        <v>504</v>
      </c>
      <c r="GQ122" s="860" t="s">
        <v>504</v>
      </c>
      <c r="GR122" s="864"/>
      <c r="GS122" s="864"/>
      <c r="GT122" s="864"/>
      <c r="GU122" s="864"/>
      <c r="GV122" s="864"/>
      <c r="GW122" s="864"/>
      <c r="GX122" s="864"/>
      <c r="GY122" s="864"/>
      <c r="GZ122" s="864"/>
      <c r="HA122" s="864"/>
      <c r="HB122" s="864"/>
      <c r="HC122" s="864"/>
      <c r="HD122" s="864"/>
      <c r="HE122" s="855" t="s">
        <v>504</v>
      </c>
      <c r="HF122" s="855" t="s">
        <v>504</v>
      </c>
      <c r="HG122" s="864"/>
      <c r="HH122" s="858" t="s">
        <v>504</v>
      </c>
      <c r="HI122" s="855" t="s">
        <v>504</v>
      </c>
      <c r="HJ122" s="855" t="s">
        <v>504</v>
      </c>
      <c r="HK122" s="858" t="s">
        <v>504</v>
      </c>
      <c r="HL122" s="864"/>
      <c r="HM122" s="864"/>
      <c r="HN122" s="864"/>
      <c r="HO122" s="861" t="s">
        <v>500</v>
      </c>
      <c r="HP122" s="852" t="s">
        <v>500</v>
      </c>
      <c r="HQ122" s="855" t="s">
        <v>504</v>
      </c>
      <c r="HR122" s="862" t="s">
        <v>504</v>
      </c>
      <c r="HS122" s="855" t="s">
        <v>504</v>
      </c>
      <c r="HT122" s="855" t="s">
        <v>504</v>
      </c>
      <c r="HU122" s="855" t="s">
        <v>504</v>
      </c>
      <c r="HV122" s="852" t="s">
        <v>500</v>
      </c>
      <c r="HW122" s="855" t="s">
        <v>504</v>
      </c>
      <c r="HX122" s="855" t="s">
        <v>500</v>
      </c>
      <c r="HY122" s="855" t="s">
        <v>504</v>
      </c>
      <c r="HZ122" s="852" t="s">
        <v>500</v>
      </c>
      <c r="IA122" s="855" t="s">
        <v>504</v>
      </c>
      <c r="IB122" s="855" t="s">
        <v>500</v>
      </c>
      <c r="IC122" s="855" t="s">
        <v>504</v>
      </c>
      <c r="ID122" s="855" t="s">
        <v>504</v>
      </c>
      <c r="IE122" s="852" t="s">
        <v>500</v>
      </c>
      <c r="IF122" s="855" t="s">
        <v>504</v>
      </c>
      <c r="IG122" s="862" t="s">
        <v>500</v>
      </c>
      <c r="IH122" s="855" t="s">
        <v>656</v>
      </c>
      <c r="II122" s="855" t="s">
        <v>500</v>
      </c>
      <c r="IJ122" s="862" t="s">
        <v>500</v>
      </c>
      <c r="IK122" s="855" t="s">
        <v>504</v>
      </c>
      <c r="IL122" s="855" t="s">
        <v>500</v>
      </c>
      <c r="IM122" s="855"/>
      <c r="IN122" s="855" t="s">
        <v>504</v>
      </c>
      <c r="IO122" s="864"/>
      <c r="IP122" s="864"/>
      <c r="IQ122" s="864"/>
      <c r="IR122" s="862" t="s">
        <v>504</v>
      </c>
      <c r="IS122" s="855" t="s">
        <v>504</v>
      </c>
      <c r="IT122" s="855" t="s">
        <v>504</v>
      </c>
      <c r="IU122" s="855" t="s">
        <v>504</v>
      </c>
      <c r="IV122" s="855" t="s">
        <v>504</v>
      </c>
      <c r="IW122" s="855" t="s">
        <v>504</v>
      </c>
      <c r="IX122" s="858" t="s">
        <v>504</v>
      </c>
      <c r="IY122" s="855" t="s">
        <v>504</v>
      </c>
      <c r="IZ122" s="855" t="s">
        <v>504</v>
      </c>
      <c r="JA122" s="855" t="s">
        <v>504</v>
      </c>
      <c r="JB122" s="855"/>
      <c r="JC122" s="855" t="s">
        <v>504</v>
      </c>
      <c r="JD122" s="855" t="s">
        <v>504</v>
      </c>
      <c r="JE122" s="855" t="s">
        <v>504</v>
      </c>
      <c r="JF122" s="858" t="s">
        <v>504</v>
      </c>
      <c r="JG122" s="855" t="s">
        <v>479</v>
      </c>
      <c r="JH122" s="855"/>
      <c r="JI122" s="855" t="s">
        <v>479</v>
      </c>
      <c r="JJ122" s="855" t="s">
        <v>504</v>
      </c>
      <c r="JK122" s="855" t="s">
        <v>504</v>
      </c>
      <c r="JL122" s="855" t="s">
        <v>504</v>
      </c>
      <c r="JM122" s="855" t="s">
        <v>504</v>
      </c>
      <c r="JN122" s="855" t="s">
        <v>504</v>
      </c>
      <c r="JO122" s="855" t="s">
        <v>504</v>
      </c>
      <c r="JP122" s="980" t="s">
        <v>504</v>
      </c>
      <c r="JQ122" s="858" t="s">
        <v>504</v>
      </c>
      <c r="JR122" s="855" t="s">
        <v>504</v>
      </c>
      <c r="JS122" s="855" t="s">
        <v>504</v>
      </c>
      <c r="JT122" s="855" t="s">
        <v>504</v>
      </c>
      <c r="JU122" s="855" t="s">
        <v>504</v>
      </c>
      <c r="JV122" s="855" t="s">
        <v>504</v>
      </c>
      <c r="JW122" s="855" t="s">
        <v>500</v>
      </c>
      <c r="JX122" s="855"/>
      <c r="JY122" s="855" t="s">
        <v>504</v>
      </c>
      <c r="JZ122" s="855" t="s">
        <v>504</v>
      </c>
      <c r="KA122" s="855" t="s">
        <v>504</v>
      </c>
      <c r="KB122" s="855" t="s">
        <v>504</v>
      </c>
      <c r="KC122" s="855" t="s">
        <v>504</v>
      </c>
      <c r="KD122" s="855" t="s">
        <v>504</v>
      </c>
      <c r="KE122" s="862" t="s">
        <v>504</v>
      </c>
      <c r="KF122" s="862" t="s">
        <v>504</v>
      </c>
      <c r="KG122" s="862" t="s">
        <v>504</v>
      </c>
      <c r="KH122" s="862" t="s">
        <v>504</v>
      </c>
      <c r="KI122" s="862" t="s">
        <v>504</v>
      </c>
      <c r="KJ122" s="862" t="s">
        <v>504</v>
      </c>
      <c r="KK122" s="862" t="s">
        <v>504</v>
      </c>
      <c r="KL122" s="855" t="s">
        <v>504</v>
      </c>
      <c r="KM122" s="864"/>
      <c r="KN122" s="864"/>
      <c r="KO122" s="864"/>
      <c r="KP122" s="864"/>
      <c r="KQ122" s="864"/>
      <c r="KR122" s="855" t="s">
        <v>504</v>
      </c>
      <c r="KS122" s="864"/>
      <c r="KT122" s="855" t="s">
        <v>504</v>
      </c>
      <c r="KU122" s="864"/>
      <c r="KV122" s="855" t="s">
        <v>504</v>
      </c>
      <c r="KW122" s="855" t="s">
        <v>504</v>
      </c>
      <c r="KX122" s="855" t="s">
        <v>504</v>
      </c>
      <c r="KY122" s="858" t="s">
        <v>504</v>
      </c>
      <c r="KZ122" s="855" t="s">
        <v>504</v>
      </c>
      <c r="LA122" s="855" t="s">
        <v>504</v>
      </c>
      <c r="LB122" s="855" t="s">
        <v>504</v>
      </c>
      <c r="LC122" s="855" t="s">
        <v>504</v>
      </c>
      <c r="LD122" s="855" t="s">
        <v>504</v>
      </c>
      <c r="LE122" s="855" t="s">
        <v>504</v>
      </c>
      <c r="LF122" s="858" t="s">
        <v>504</v>
      </c>
      <c r="LG122" s="858" t="s">
        <v>504</v>
      </c>
      <c r="LH122" s="858" t="s">
        <v>504</v>
      </c>
      <c r="LI122" s="858" t="s">
        <v>504</v>
      </c>
      <c r="LJ122" s="858" t="s">
        <v>504</v>
      </c>
      <c r="LK122" s="858" t="s">
        <v>504</v>
      </c>
      <c r="LL122" s="858" t="s">
        <v>504</v>
      </c>
      <c r="LM122" s="858" t="s">
        <v>504</v>
      </c>
      <c r="LN122" s="858" t="s">
        <v>504</v>
      </c>
      <c r="LO122" s="858" t="s">
        <v>504</v>
      </c>
      <c r="LP122" s="858" t="s">
        <v>504</v>
      </c>
      <c r="LQ122" s="858"/>
      <c r="LR122" s="858" t="s">
        <v>504</v>
      </c>
      <c r="LS122" s="858" t="s">
        <v>504</v>
      </c>
      <c r="LT122" s="858" t="s">
        <v>504</v>
      </c>
      <c r="LU122" s="858"/>
      <c r="LV122" s="858"/>
      <c r="LW122" s="858"/>
      <c r="LX122" s="858" t="s">
        <v>504</v>
      </c>
      <c r="LY122" s="858" t="s">
        <v>504</v>
      </c>
    </row>
    <row r="123" spans="1:337" ht="409.5" x14ac:dyDescent="0.25">
      <c r="A123" s="1584"/>
      <c r="B123" s="1587"/>
      <c r="C123" s="1600"/>
      <c r="D123" s="1598"/>
      <c r="E123" s="847" t="s">
        <v>172</v>
      </c>
      <c r="F123" s="853"/>
      <c r="G123" s="853"/>
      <c r="H123" s="864"/>
      <c r="I123" s="864"/>
      <c r="J123" s="864"/>
      <c r="K123" s="864"/>
      <c r="L123" s="864"/>
      <c r="M123" s="864"/>
      <c r="N123" s="852"/>
      <c r="O123" s="864"/>
      <c r="P123" s="864"/>
      <c r="Q123" s="864"/>
      <c r="R123" s="864"/>
      <c r="S123" s="864"/>
      <c r="T123" s="864"/>
      <c r="U123" s="864"/>
      <c r="V123" s="855"/>
      <c r="W123" s="855"/>
      <c r="X123" s="855"/>
      <c r="Y123" s="855"/>
      <c r="Z123" s="855"/>
      <c r="AA123" s="864"/>
      <c r="AB123" s="864"/>
      <c r="AC123" s="864"/>
      <c r="AD123" s="864"/>
      <c r="AE123" s="864"/>
      <c r="AF123" s="864"/>
      <c r="AG123" s="864"/>
      <c r="AH123" s="864"/>
      <c r="AI123" s="864"/>
      <c r="AJ123" s="864"/>
      <c r="AK123" s="864"/>
      <c r="AL123" s="864"/>
      <c r="AM123" s="864"/>
      <c r="AN123" s="864"/>
      <c r="AO123" s="864"/>
      <c r="AP123" s="864"/>
      <c r="AQ123" s="864"/>
      <c r="AR123" s="864"/>
      <c r="AS123" s="864"/>
      <c r="AT123" s="864"/>
      <c r="AU123" s="864"/>
      <c r="AV123" s="855"/>
      <c r="AW123" s="855"/>
      <c r="AX123" s="864"/>
      <c r="AY123" s="864"/>
      <c r="AZ123" s="864"/>
      <c r="BA123" s="852"/>
      <c r="BB123" s="855"/>
      <c r="BC123" s="855"/>
      <c r="BD123" s="855"/>
      <c r="BE123" s="864"/>
      <c r="BF123" s="864"/>
      <c r="BG123" s="864"/>
      <c r="BH123" s="864"/>
      <c r="BI123" s="864"/>
      <c r="BJ123" s="864"/>
      <c r="BK123" s="864"/>
      <c r="BL123" s="864"/>
      <c r="BM123" s="864"/>
      <c r="BN123" s="864"/>
      <c r="BO123" s="864"/>
      <c r="BP123" s="864"/>
      <c r="BQ123" s="864"/>
      <c r="BR123" s="864"/>
      <c r="BS123" s="864"/>
      <c r="BT123" s="855"/>
      <c r="BU123" s="855"/>
      <c r="BV123" s="855"/>
      <c r="BW123" s="855"/>
      <c r="BX123" s="864"/>
      <c r="BY123" s="864"/>
      <c r="BZ123" s="864"/>
      <c r="CA123" s="864"/>
      <c r="CB123" s="864"/>
      <c r="CC123" s="862"/>
      <c r="CD123" s="864"/>
      <c r="CE123" s="864"/>
      <c r="CF123" s="864"/>
      <c r="CG123" s="864"/>
      <c r="CH123" s="864"/>
      <c r="CI123" s="864"/>
      <c r="CJ123" s="864"/>
      <c r="CK123" s="855"/>
      <c r="CL123" s="855"/>
      <c r="CM123" s="864"/>
      <c r="CN123" s="864"/>
      <c r="CO123" s="864"/>
      <c r="CP123" s="864"/>
      <c r="CQ123" s="864"/>
      <c r="CR123" s="864"/>
      <c r="CS123" s="864"/>
      <c r="CT123" s="864"/>
      <c r="CU123" s="864"/>
      <c r="CV123" s="864"/>
      <c r="CW123" s="864"/>
      <c r="CX123" s="864"/>
      <c r="CY123" s="864"/>
      <c r="CZ123" s="864"/>
      <c r="DA123" s="864"/>
      <c r="DB123" s="864"/>
      <c r="DC123" s="864"/>
      <c r="DD123" s="864"/>
      <c r="DE123" s="864"/>
      <c r="DF123" s="855"/>
      <c r="DG123" s="864"/>
      <c r="DH123" s="855"/>
      <c r="DI123" s="855"/>
      <c r="DJ123" s="911" t="s">
        <v>2950</v>
      </c>
      <c r="DK123" s="855" t="s">
        <v>504</v>
      </c>
      <c r="DL123" s="855"/>
      <c r="DM123" s="855"/>
      <c r="DN123" s="864"/>
      <c r="DO123" s="864"/>
      <c r="DP123" s="855"/>
      <c r="DQ123" s="864"/>
      <c r="DR123" s="864"/>
      <c r="DS123" s="864"/>
      <c r="DT123" s="864"/>
      <c r="DU123" s="864"/>
      <c r="DV123" s="864"/>
      <c r="DW123" s="864"/>
      <c r="DX123" s="864"/>
      <c r="DY123" s="864"/>
      <c r="DZ123" s="864"/>
      <c r="EA123" s="864"/>
      <c r="EB123" s="864"/>
      <c r="EC123" s="864"/>
      <c r="ED123" s="864"/>
      <c r="EE123" s="864"/>
      <c r="EF123" s="855"/>
      <c r="EG123" s="855"/>
      <c r="EH123" s="855"/>
      <c r="EI123" s="855"/>
      <c r="EJ123" s="858"/>
      <c r="EK123" s="858"/>
      <c r="EL123" s="999"/>
      <c r="EM123" s="853"/>
      <c r="EN123" s="858"/>
      <c r="EO123" s="858"/>
      <c r="EP123" s="858"/>
      <c r="EQ123" s="858"/>
      <c r="ER123" s="858"/>
      <c r="ES123" s="858"/>
      <c r="ET123" s="858"/>
      <c r="EU123" s="864"/>
      <c r="EV123" s="864"/>
      <c r="EW123" s="855"/>
      <c r="EX123" s="864"/>
      <c r="EY123" s="864"/>
      <c r="EZ123" s="864"/>
      <c r="FA123" s="864"/>
      <c r="FB123" s="864"/>
      <c r="FC123" s="864"/>
      <c r="FD123" s="864"/>
      <c r="FE123" s="855"/>
      <c r="FF123" s="864"/>
      <c r="FG123" s="864"/>
      <c r="FH123" s="864"/>
      <c r="FI123" s="864"/>
      <c r="FJ123" s="864"/>
      <c r="FK123" s="852"/>
      <c r="FL123" s="852"/>
      <c r="FM123" s="1064"/>
      <c r="FN123" s="855"/>
      <c r="FO123" s="855"/>
      <c r="FP123" s="855"/>
      <c r="FQ123" s="855"/>
      <c r="FR123" s="864"/>
      <c r="FS123" s="864"/>
      <c r="FT123" s="864"/>
      <c r="FU123" s="864"/>
      <c r="FV123" s="864"/>
      <c r="FW123" s="864"/>
      <c r="FX123" s="864"/>
      <c r="FY123" s="864"/>
      <c r="FZ123" s="864"/>
      <c r="GA123" s="855"/>
      <c r="GB123" s="855"/>
      <c r="GC123" s="855"/>
      <c r="GD123" s="855"/>
      <c r="GE123" s="855"/>
      <c r="GF123" s="855"/>
      <c r="GG123" s="855"/>
      <c r="GH123" s="864"/>
      <c r="GI123" s="864"/>
      <c r="GJ123" s="864"/>
      <c r="GK123" s="864"/>
      <c r="GL123" s="864"/>
      <c r="GM123" s="864"/>
      <c r="GN123" s="864"/>
      <c r="GO123" s="859"/>
      <c r="GP123" s="866"/>
      <c r="GQ123" s="867"/>
      <c r="GR123" s="864"/>
      <c r="GS123" s="864"/>
      <c r="GT123" s="864"/>
      <c r="GU123" s="864"/>
      <c r="GV123" s="864"/>
      <c r="GW123" s="864"/>
      <c r="GX123" s="864"/>
      <c r="GY123" s="864"/>
      <c r="GZ123" s="864"/>
      <c r="HA123" s="864"/>
      <c r="HB123" s="864"/>
      <c r="HC123" s="864"/>
      <c r="HD123" s="864"/>
      <c r="HE123" s="855"/>
      <c r="HF123" s="855"/>
      <c r="HG123" s="864"/>
      <c r="HH123" s="858"/>
      <c r="HI123" s="855"/>
      <c r="HJ123" s="855"/>
      <c r="HK123" s="858"/>
      <c r="HL123" s="864"/>
      <c r="HM123" s="864"/>
      <c r="HN123" s="864"/>
      <c r="HO123" s="861" t="s">
        <v>935</v>
      </c>
      <c r="HP123" s="852" t="s">
        <v>3566</v>
      </c>
      <c r="HQ123" s="855"/>
      <c r="HR123" s="862"/>
      <c r="HS123" s="855"/>
      <c r="HT123" s="855"/>
      <c r="HU123" s="855"/>
      <c r="HV123" s="852" t="s">
        <v>3615</v>
      </c>
      <c r="HW123" s="855"/>
      <c r="HX123" s="855" t="s">
        <v>3633</v>
      </c>
      <c r="HY123" s="855"/>
      <c r="HZ123" s="852" t="s">
        <v>3651</v>
      </c>
      <c r="IA123" s="855"/>
      <c r="IB123" s="855" t="s">
        <v>1348</v>
      </c>
      <c r="IC123" s="855"/>
      <c r="ID123" s="855"/>
      <c r="IE123" s="852" t="s">
        <v>3710</v>
      </c>
      <c r="IF123" s="855"/>
      <c r="IG123" s="862" t="s">
        <v>3728</v>
      </c>
      <c r="IH123" s="852" t="s">
        <v>3738</v>
      </c>
      <c r="II123" s="852" t="s">
        <v>3752</v>
      </c>
      <c r="IJ123" s="857" t="s">
        <v>3752</v>
      </c>
      <c r="IK123" s="855"/>
      <c r="IL123" s="852" t="s">
        <v>3782</v>
      </c>
      <c r="IM123" s="855"/>
      <c r="IN123" s="855"/>
      <c r="IO123" s="864"/>
      <c r="IP123" s="864"/>
      <c r="IQ123" s="864"/>
      <c r="IR123" s="862" t="s">
        <v>504</v>
      </c>
      <c r="IS123" s="855"/>
      <c r="IT123" s="855"/>
      <c r="IU123" s="855"/>
      <c r="IV123" s="855" t="s">
        <v>465</v>
      </c>
      <c r="IW123" s="855"/>
      <c r="IX123" s="858"/>
      <c r="IY123" s="855"/>
      <c r="IZ123" s="855"/>
      <c r="JA123" s="855"/>
      <c r="JB123" s="855"/>
      <c r="JC123" s="855"/>
      <c r="JD123" s="855"/>
      <c r="JE123" s="855"/>
      <c r="JF123" s="858"/>
      <c r="JG123" s="855"/>
      <c r="JH123" s="855"/>
      <c r="JI123" s="855"/>
      <c r="JJ123" s="855"/>
      <c r="JK123" s="907"/>
      <c r="JL123" s="855"/>
      <c r="JM123" s="855"/>
      <c r="JN123" s="855"/>
      <c r="JO123" s="855"/>
      <c r="JP123" s="855"/>
      <c r="JQ123" s="858"/>
      <c r="JR123" s="855"/>
      <c r="JS123" s="855"/>
      <c r="JT123" s="855"/>
      <c r="JU123" s="855"/>
      <c r="JV123" s="855"/>
      <c r="JW123" s="855"/>
      <c r="JX123" s="855"/>
      <c r="JY123" s="855"/>
      <c r="JZ123" s="855"/>
      <c r="KA123" s="855"/>
      <c r="KB123" s="855"/>
      <c r="KC123" s="855"/>
      <c r="KD123" s="855"/>
      <c r="KE123" s="862" t="s">
        <v>504</v>
      </c>
      <c r="KF123" s="862" t="s">
        <v>504</v>
      </c>
      <c r="KG123" s="862" t="s">
        <v>504</v>
      </c>
      <c r="KH123" s="862" t="s">
        <v>504</v>
      </c>
      <c r="KI123" s="862" t="s">
        <v>504</v>
      </c>
      <c r="KJ123" s="862" t="s">
        <v>504</v>
      </c>
      <c r="KK123" s="862" t="s">
        <v>504</v>
      </c>
      <c r="KL123" s="855" t="s">
        <v>504</v>
      </c>
      <c r="KM123" s="864"/>
      <c r="KN123" s="864"/>
      <c r="KO123" s="864"/>
      <c r="KP123" s="864"/>
      <c r="KQ123" s="864"/>
      <c r="KR123" s="855"/>
      <c r="KS123" s="864"/>
      <c r="KT123" s="855"/>
      <c r="KU123" s="864"/>
      <c r="KV123" s="855"/>
      <c r="KW123" s="855"/>
      <c r="KX123" s="855"/>
      <c r="KY123" s="858"/>
      <c r="KZ123" s="855"/>
      <c r="LA123" s="855"/>
      <c r="LB123" s="855"/>
      <c r="LC123" s="855"/>
      <c r="LD123" s="855"/>
      <c r="LE123" s="855"/>
      <c r="LF123" s="858"/>
      <c r="LG123" s="858"/>
      <c r="LH123" s="858"/>
      <c r="LI123" s="858"/>
      <c r="LJ123" s="858"/>
      <c r="LK123" s="858"/>
      <c r="LL123" s="858"/>
      <c r="LM123" s="858"/>
      <c r="LN123" s="858"/>
      <c r="LO123" s="858"/>
      <c r="LP123" s="858"/>
      <c r="LQ123" s="858"/>
      <c r="LR123" s="923"/>
      <c r="LS123" s="923"/>
      <c r="LT123" s="923"/>
      <c r="LU123" s="858"/>
      <c r="LV123" s="858"/>
      <c r="LW123" s="858"/>
      <c r="LX123" s="858"/>
      <c r="LY123" s="858"/>
    </row>
    <row r="124" spans="1:337" ht="63.75" thickBot="1" x14ac:dyDescent="0.3">
      <c r="A124" s="1584"/>
      <c r="B124" s="1587"/>
      <c r="C124" s="1603"/>
      <c r="D124" s="1599"/>
      <c r="E124" s="850" t="s">
        <v>174</v>
      </c>
      <c r="F124" s="853"/>
      <c r="G124" s="853"/>
      <c r="H124" s="864"/>
      <c r="I124" s="864"/>
      <c r="J124" s="864"/>
      <c r="K124" s="864"/>
      <c r="L124" s="864"/>
      <c r="M124" s="864"/>
      <c r="N124" s="852"/>
      <c r="O124" s="864"/>
      <c r="P124" s="864"/>
      <c r="Q124" s="864"/>
      <c r="R124" s="864"/>
      <c r="S124" s="864"/>
      <c r="T124" s="864"/>
      <c r="U124" s="864"/>
      <c r="V124" s="980"/>
      <c r="W124" s="980"/>
      <c r="X124" s="980"/>
      <c r="Y124" s="980"/>
      <c r="Z124" s="980"/>
      <c r="AA124" s="864"/>
      <c r="AB124" s="864"/>
      <c r="AC124" s="864"/>
      <c r="AD124" s="864"/>
      <c r="AE124" s="864"/>
      <c r="AF124" s="864"/>
      <c r="AG124" s="864"/>
      <c r="AH124" s="864"/>
      <c r="AI124" s="864"/>
      <c r="AJ124" s="864"/>
      <c r="AK124" s="864"/>
      <c r="AL124" s="864"/>
      <c r="AM124" s="864"/>
      <c r="AN124" s="864"/>
      <c r="AO124" s="864"/>
      <c r="AP124" s="864"/>
      <c r="AQ124" s="864"/>
      <c r="AR124" s="864"/>
      <c r="AS124" s="864"/>
      <c r="AT124" s="864"/>
      <c r="AU124" s="864"/>
      <c r="AV124" s="980"/>
      <c r="AW124" s="980"/>
      <c r="AX124" s="864"/>
      <c r="AY124" s="864"/>
      <c r="AZ124" s="864"/>
      <c r="BA124" s="852"/>
      <c r="BB124" s="855"/>
      <c r="BC124" s="980"/>
      <c r="BD124" s="855"/>
      <c r="BE124" s="864"/>
      <c r="BF124" s="864"/>
      <c r="BG124" s="864"/>
      <c r="BH124" s="864"/>
      <c r="BI124" s="864"/>
      <c r="BJ124" s="864"/>
      <c r="BK124" s="864"/>
      <c r="BL124" s="864"/>
      <c r="BM124" s="864"/>
      <c r="BN124" s="864"/>
      <c r="BO124" s="864"/>
      <c r="BP124" s="864"/>
      <c r="BQ124" s="864"/>
      <c r="BR124" s="864"/>
      <c r="BS124" s="864"/>
      <c r="BT124" s="980"/>
      <c r="BU124" s="980"/>
      <c r="BV124" s="980"/>
      <c r="BW124" s="980"/>
      <c r="BX124" s="864"/>
      <c r="BY124" s="864"/>
      <c r="BZ124" s="864"/>
      <c r="CA124" s="864"/>
      <c r="CB124" s="864"/>
      <c r="CC124" s="998"/>
      <c r="CD124" s="864"/>
      <c r="CE124" s="864"/>
      <c r="CF124" s="864"/>
      <c r="CG124" s="864"/>
      <c r="CH124" s="864"/>
      <c r="CI124" s="864"/>
      <c r="CJ124" s="864"/>
      <c r="CK124" s="980"/>
      <c r="CL124" s="980"/>
      <c r="CM124" s="864"/>
      <c r="CN124" s="864"/>
      <c r="CO124" s="864"/>
      <c r="CP124" s="864"/>
      <c r="CQ124" s="864"/>
      <c r="CR124" s="864"/>
      <c r="CS124" s="864"/>
      <c r="CT124" s="864"/>
      <c r="CU124" s="864"/>
      <c r="CV124" s="864"/>
      <c r="CW124" s="864"/>
      <c r="CX124" s="864"/>
      <c r="CY124" s="864"/>
      <c r="CZ124" s="864"/>
      <c r="DA124" s="864"/>
      <c r="DB124" s="864"/>
      <c r="DC124" s="864"/>
      <c r="DD124" s="864"/>
      <c r="DE124" s="864"/>
      <c r="DF124" s="980"/>
      <c r="DG124" s="864"/>
      <c r="DH124" s="980"/>
      <c r="DI124" s="980"/>
      <c r="DJ124" s="980">
        <v>5</v>
      </c>
      <c r="DK124" s="980" t="s">
        <v>504</v>
      </c>
      <c r="DL124" s="980"/>
      <c r="DM124" s="980"/>
      <c r="DN124" s="864"/>
      <c r="DO124" s="864"/>
      <c r="DP124" s="980"/>
      <c r="DQ124" s="864"/>
      <c r="DR124" s="864"/>
      <c r="DS124" s="864"/>
      <c r="DT124" s="864"/>
      <c r="DU124" s="864"/>
      <c r="DV124" s="864"/>
      <c r="DW124" s="864"/>
      <c r="DX124" s="864"/>
      <c r="DY124" s="864"/>
      <c r="DZ124" s="864"/>
      <c r="EA124" s="864"/>
      <c r="EB124" s="864"/>
      <c r="EC124" s="864"/>
      <c r="ED124" s="864"/>
      <c r="EE124" s="864"/>
      <c r="EF124" s="980"/>
      <c r="EG124" s="980"/>
      <c r="EH124" s="980"/>
      <c r="EI124" s="855"/>
      <c r="EJ124" s="999"/>
      <c r="EK124" s="999"/>
      <c r="EL124" s="999"/>
      <c r="EM124" s="853"/>
      <c r="EN124" s="999"/>
      <c r="EO124" s="999"/>
      <c r="EP124" s="999"/>
      <c r="EQ124" s="999"/>
      <c r="ER124" s="999"/>
      <c r="ES124" s="999"/>
      <c r="ET124" s="999"/>
      <c r="EU124" s="864"/>
      <c r="EV124" s="864"/>
      <c r="EW124" s="980"/>
      <c r="EX124" s="864"/>
      <c r="EY124" s="864"/>
      <c r="EZ124" s="864"/>
      <c r="FA124" s="864"/>
      <c r="FB124" s="864"/>
      <c r="FC124" s="864"/>
      <c r="FD124" s="864"/>
      <c r="FE124" s="980"/>
      <c r="FF124" s="864"/>
      <c r="FG124" s="864"/>
      <c r="FH124" s="864"/>
      <c r="FI124" s="864"/>
      <c r="FJ124" s="864"/>
      <c r="FK124" s="1000"/>
      <c r="FL124" s="1000"/>
      <c r="FM124" s="980"/>
      <c r="FN124" s="980"/>
      <c r="FO124" s="980"/>
      <c r="FP124" s="980"/>
      <c r="FQ124" s="980"/>
      <c r="FR124" s="864"/>
      <c r="FS124" s="864"/>
      <c r="FT124" s="864"/>
      <c r="FU124" s="864"/>
      <c r="FV124" s="864"/>
      <c r="FW124" s="864"/>
      <c r="FX124" s="864"/>
      <c r="FY124" s="864"/>
      <c r="FZ124" s="864"/>
      <c r="GA124" s="980"/>
      <c r="GB124" s="980"/>
      <c r="GC124" s="980"/>
      <c r="GD124" s="980"/>
      <c r="GE124" s="980"/>
      <c r="GF124" s="980"/>
      <c r="GG124" s="980"/>
      <c r="GH124" s="864"/>
      <c r="GI124" s="864"/>
      <c r="GJ124" s="864"/>
      <c r="GK124" s="864"/>
      <c r="GL124" s="864"/>
      <c r="GM124" s="864"/>
      <c r="GN124" s="864"/>
      <c r="GO124" s="1001"/>
      <c r="GP124" s="866"/>
      <c r="GQ124" s="867"/>
      <c r="GR124" s="864"/>
      <c r="GS124" s="864"/>
      <c r="GT124" s="864"/>
      <c r="GU124" s="864"/>
      <c r="GV124" s="864"/>
      <c r="GW124" s="864"/>
      <c r="GX124" s="864"/>
      <c r="GY124" s="864"/>
      <c r="GZ124" s="864"/>
      <c r="HA124" s="864"/>
      <c r="HB124" s="864"/>
      <c r="HC124" s="864"/>
      <c r="HD124" s="864"/>
      <c r="HE124" s="980"/>
      <c r="HF124" s="980"/>
      <c r="HG124" s="864"/>
      <c r="HH124" s="999"/>
      <c r="HI124" s="980"/>
      <c r="HJ124" s="980"/>
      <c r="HK124" s="999"/>
      <c r="HL124" s="864"/>
      <c r="HM124" s="864"/>
      <c r="HN124" s="864"/>
      <c r="HO124" s="1004">
        <v>112</v>
      </c>
      <c r="HP124" s="1000">
        <v>12</v>
      </c>
      <c r="HQ124" s="980"/>
      <c r="HR124" s="998"/>
      <c r="HS124" s="980"/>
      <c r="HT124" s="980"/>
      <c r="HU124" s="980"/>
      <c r="HV124" s="852">
        <v>5</v>
      </c>
      <c r="HW124" s="980"/>
      <c r="HX124" s="980">
        <v>5</v>
      </c>
      <c r="HY124" s="980"/>
      <c r="HZ124" s="1000">
        <v>45</v>
      </c>
      <c r="IA124" s="980"/>
      <c r="IB124" s="980">
        <v>5</v>
      </c>
      <c r="IC124" s="980"/>
      <c r="ID124" s="980"/>
      <c r="IE124" s="1000" t="s">
        <v>3711</v>
      </c>
      <c r="IF124" s="980"/>
      <c r="IG124" s="998">
        <v>20</v>
      </c>
      <c r="IH124" s="980">
        <v>2</v>
      </c>
      <c r="II124" s="980">
        <v>7</v>
      </c>
      <c r="IJ124" s="998">
        <v>5</v>
      </c>
      <c r="IK124" s="980"/>
      <c r="IL124" s="980">
        <v>15</v>
      </c>
      <c r="IM124" s="980"/>
      <c r="IN124" s="980"/>
      <c r="IO124" s="864"/>
      <c r="IP124" s="864"/>
      <c r="IQ124" s="864"/>
      <c r="IR124" s="998"/>
      <c r="IS124" s="980"/>
      <c r="IT124" s="980"/>
      <c r="IU124" s="980"/>
      <c r="IV124" s="980" t="s">
        <v>465</v>
      </c>
      <c r="IW124" s="980"/>
      <c r="IX124" s="999"/>
      <c r="IY124" s="980"/>
      <c r="IZ124" s="980"/>
      <c r="JA124" s="980">
        <v>0</v>
      </c>
      <c r="JB124" s="980" t="s">
        <v>465</v>
      </c>
      <c r="JC124" s="980"/>
      <c r="JD124" s="980"/>
      <c r="JE124" s="980"/>
      <c r="JF124" s="999"/>
      <c r="JG124" s="980"/>
      <c r="JH124" s="980"/>
      <c r="JI124" s="980"/>
      <c r="JJ124" s="980"/>
      <c r="JK124" s="980"/>
      <c r="JL124" s="980"/>
      <c r="JM124" s="980"/>
      <c r="JN124" s="980"/>
      <c r="JO124" s="980"/>
      <c r="JP124" s="855"/>
      <c r="JQ124" s="999"/>
      <c r="JR124" s="980"/>
      <c r="JS124" s="980"/>
      <c r="JT124" s="980"/>
      <c r="JU124" s="980"/>
      <c r="JV124" s="980"/>
      <c r="JW124" s="980">
        <v>69</v>
      </c>
      <c r="JX124" s="980"/>
      <c r="JY124" s="980"/>
      <c r="JZ124" s="980"/>
      <c r="KA124" s="980"/>
      <c r="KB124" s="980"/>
      <c r="KC124" s="980"/>
      <c r="KD124" s="980"/>
      <c r="KE124" s="998"/>
      <c r="KF124" s="998"/>
      <c r="KG124" s="998"/>
      <c r="KH124" s="998"/>
      <c r="KI124" s="998"/>
      <c r="KJ124" s="998"/>
      <c r="KK124" s="998"/>
      <c r="KL124" s="980"/>
      <c r="KM124" s="864"/>
      <c r="KN124" s="864"/>
      <c r="KO124" s="864"/>
      <c r="KP124" s="864"/>
      <c r="KQ124" s="864"/>
      <c r="KR124" s="980"/>
      <c r="KS124" s="864"/>
      <c r="KT124" s="980"/>
      <c r="KU124" s="864"/>
      <c r="KV124" s="980"/>
      <c r="KW124" s="980"/>
      <c r="KX124" s="980"/>
      <c r="KY124" s="858"/>
      <c r="KZ124" s="980"/>
      <c r="LA124" s="980"/>
      <c r="LB124" s="980"/>
      <c r="LC124" s="980"/>
      <c r="LD124" s="980"/>
      <c r="LE124" s="980"/>
      <c r="LF124" s="999"/>
      <c r="LG124" s="999"/>
      <c r="LH124" s="999"/>
      <c r="LI124" s="999"/>
      <c r="LJ124" s="999"/>
      <c r="LK124" s="999"/>
      <c r="LL124" s="999"/>
      <c r="LM124" s="999"/>
      <c r="LN124" s="999"/>
      <c r="LO124" s="999"/>
      <c r="LP124" s="999"/>
      <c r="LQ124" s="999"/>
      <c r="LR124" s="999"/>
      <c r="LS124" s="999"/>
      <c r="LT124" s="999"/>
      <c r="LU124" s="999"/>
      <c r="LV124" s="999"/>
      <c r="LW124" s="999"/>
      <c r="LX124" s="999"/>
      <c r="LY124" s="999"/>
    </row>
    <row r="125" spans="1:337" x14ac:dyDescent="0.25">
      <c r="A125" s="1584"/>
      <c r="B125" s="1587"/>
      <c r="C125" s="1594" t="s">
        <v>244</v>
      </c>
      <c r="D125" s="1597" t="s">
        <v>44</v>
      </c>
      <c r="E125" s="849" t="s">
        <v>171</v>
      </c>
      <c r="F125" s="853"/>
      <c r="G125" s="853"/>
      <c r="H125" s="864"/>
      <c r="I125" s="864"/>
      <c r="J125" s="864"/>
      <c r="K125" s="864"/>
      <c r="L125" s="864"/>
      <c r="M125" s="864"/>
      <c r="N125" s="852" t="s">
        <v>504</v>
      </c>
      <c r="O125" s="864"/>
      <c r="P125" s="864"/>
      <c r="Q125" s="864"/>
      <c r="R125" s="864"/>
      <c r="S125" s="864"/>
      <c r="T125" s="864"/>
      <c r="U125" s="864"/>
      <c r="V125" s="855" t="s">
        <v>479</v>
      </c>
      <c r="W125" s="855" t="s">
        <v>479</v>
      </c>
      <c r="X125" s="855" t="s">
        <v>479</v>
      </c>
      <c r="Y125" s="855" t="s">
        <v>479</v>
      </c>
      <c r="Z125" s="855" t="s">
        <v>500</v>
      </c>
      <c r="AA125" s="864"/>
      <c r="AB125" s="864"/>
      <c r="AC125" s="864"/>
      <c r="AD125" s="864"/>
      <c r="AE125" s="864"/>
      <c r="AF125" s="864"/>
      <c r="AG125" s="864"/>
      <c r="AH125" s="864"/>
      <c r="AI125" s="864"/>
      <c r="AJ125" s="864"/>
      <c r="AK125" s="864"/>
      <c r="AL125" s="864"/>
      <c r="AM125" s="864"/>
      <c r="AN125" s="864"/>
      <c r="AO125" s="864"/>
      <c r="AP125" s="864"/>
      <c r="AQ125" s="864"/>
      <c r="AR125" s="864"/>
      <c r="AS125" s="864"/>
      <c r="AT125" s="864"/>
      <c r="AU125" s="864"/>
      <c r="AV125" s="855" t="s">
        <v>504</v>
      </c>
      <c r="AW125" s="855" t="s">
        <v>500</v>
      </c>
      <c r="AX125" s="864"/>
      <c r="AY125" s="864"/>
      <c r="AZ125" s="864"/>
      <c r="BA125" s="852" t="s">
        <v>504</v>
      </c>
      <c r="BB125" s="980" t="s">
        <v>504</v>
      </c>
      <c r="BC125" s="855" t="s">
        <v>500</v>
      </c>
      <c r="BD125" s="980"/>
      <c r="BE125" s="864"/>
      <c r="BF125" s="864"/>
      <c r="BG125" s="864"/>
      <c r="BH125" s="864"/>
      <c r="BI125" s="864"/>
      <c r="BJ125" s="864"/>
      <c r="BK125" s="864"/>
      <c r="BL125" s="864"/>
      <c r="BM125" s="864"/>
      <c r="BN125" s="864"/>
      <c r="BO125" s="864"/>
      <c r="BP125" s="864"/>
      <c r="BQ125" s="864"/>
      <c r="BR125" s="864"/>
      <c r="BS125" s="864"/>
      <c r="BT125" s="855" t="s">
        <v>500</v>
      </c>
      <c r="BU125" s="855"/>
      <c r="BV125" s="855" t="s">
        <v>500</v>
      </c>
      <c r="BW125" s="855" t="s">
        <v>500</v>
      </c>
      <c r="BX125" s="864"/>
      <c r="BY125" s="864"/>
      <c r="BZ125" s="864"/>
      <c r="CA125" s="864"/>
      <c r="CB125" s="864"/>
      <c r="CC125" s="862"/>
      <c r="CD125" s="864"/>
      <c r="CE125" s="864"/>
      <c r="CF125" s="864"/>
      <c r="CG125" s="864"/>
      <c r="CH125" s="864"/>
      <c r="CI125" s="864"/>
      <c r="CJ125" s="864"/>
      <c r="CK125" s="855"/>
      <c r="CL125" s="855"/>
      <c r="CM125" s="864"/>
      <c r="CN125" s="864"/>
      <c r="CO125" s="864"/>
      <c r="CP125" s="864"/>
      <c r="CQ125" s="864"/>
      <c r="CR125" s="864"/>
      <c r="CS125" s="864"/>
      <c r="CT125" s="864"/>
      <c r="CU125" s="864"/>
      <c r="CV125" s="864"/>
      <c r="CW125" s="864"/>
      <c r="CX125" s="864"/>
      <c r="CY125" s="864"/>
      <c r="CZ125" s="864"/>
      <c r="DA125" s="864"/>
      <c r="DB125" s="864"/>
      <c r="DC125" s="864"/>
      <c r="DD125" s="864"/>
      <c r="DE125" s="864"/>
      <c r="DF125" s="855"/>
      <c r="DG125" s="864"/>
      <c r="DH125" s="855" t="s">
        <v>500</v>
      </c>
      <c r="DI125" s="855"/>
      <c r="DJ125" s="855"/>
      <c r="DK125" s="855" t="s">
        <v>504</v>
      </c>
      <c r="DL125" s="855" t="s">
        <v>504</v>
      </c>
      <c r="DM125" s="855" t="s">
        <v>504</v>
      </c>
      <c r="DN125" s="864"/>
      <c r="DO125" s="864"/>
      <c r="DP125" s="855" t="s">
        <v>504</v>
      </c>
      <c r="DQ125" s="864"/>
      <c r="DR125" s="864"/>
      <c r="DS125" s="864"/>
      <c r="DT125" s="864"/>
      <c r="DU125" s="864"/>
      <c r="DV125" s="864"/>
      <c r="DW125" s="864"/>
      <c r="DX125" s="864"/>
      <c r="DY125" s="864"/>
      <c r="DZ125" s="864"/>
      <c r="EA125" s="864"/>
      <c r="EB125" s="864"/>
      <c r="EC125" s="864"/>
      <c r="ED125" s="864"/>
      <c r="EE125" s="864"/>
      <c r="EF125" s="855" t="s">
        <v>504</v>
      </c>
      <c r="EG125" s="855" t="s">
        <v>504</v>
      </c>
      <c r="EH125" s="855" t="s">
        <v>504</v>
      </c>
      <c r="EI125" s="855" t="s">
        <v>504</v>
      </c>
      <c r="EJ125" s="858" t="s">
        <v>500</v>
      </c>
      <c r="EK125" s="858" t="s">
        <v>504</v>
      </c>
      <c r="EL125" s="999" t="s">
        <v>504</v>
      </c>
      <c r="EM125" s="999" t="s">
        <v>504</v>
      </c>
      <c r="EN125" s="858" t="s">
        <v>504</v>
      </c>
      <c r="EO125" s="858" t="s">
        <v>504</v>
      </c>
      <c r="EP125" s="858" t="s">
        <v>504</v>
      </c>
      <c r="EQ125" s="858" t="s">
        <v>500</v>
      </c>
      <c r="ER125" s="858"/>
      <c r="ES125" s="858" t="s">
        <v>504</v>
      </c>
      <c r="ET125" s="858" t="s">
        <v>504</v>
      </c>
      <c r="EU125" s="864"/>
      <c r="EV125" s="864"/>
      <c r="EW125" s="855" t="s">
        <v>504</v>
      </c>
      <c r="EX125" s="864"/>
      <c r="EY125" s="864"/>
      <c r="EZ125" s="864"/>
      <c r="FA125" s="864"/>
      <c r="FB125" s="864"/>
      <c r="FC125" s="864"/>
      <c r="FD125" s="864"/>
      <c r="FE125" s="855" t="s">
        <v>471</v>
      </c>
      <c r="FF125" s="864"/>
      <c r="FG125" s="864"/>
      <c r="FH125" s="864"/>
      <c r="FI125" s="864"/>
      <c r="FJ125" s="864"/>
      <c r="FK125" s="852" t="s">
        <v>504</v>
      </c>
      <c r="FL125" s="852" t="s">
        <v>500</v>
      </c>
      <c r="FM125" s="855" t="s">
        <v>500</v>
      </c>
      <c r="FN125" s="855"/>
      <c r="FO125" s="855"/>
      <c r="FP125" s="855" t="s">
        <v>504</v>
      </c>
      <c r="FQ125" s="855" t="s">
        <v>656</v>
      </c>
      <c r="FR125" s="864"/>
      <c r="FS125" s="864"/>
      <c r="FT125" s="864"/>
      <c r="FU125" s="864"/>
      <c r="FV125" s="864"/>
      <c r="FW125" s="864"/>
      <c r="FX125" s="864"/>
      <c r="FY125" s="864"/>
      <c r="FZ125" s="864"/>
      <c r="GA125" s="855" t="s">
        <v>504</v>
      </c>
      <c r="GB125" s="855" t="s">
        <v>504</v>
      </c>
      <c r="GC125" s="855" t="s">
        <v>504</v>
      </c>
      <c r="GD125" s="855"/>
      <c r="GE125" s="855"/>
      <c r="GF125" s="855"/>
      <c r="GG125" s="855" t="s">
        <v>500</v>
      </c>
      <c r="GH125" s="864"/>
      <c r="GI125" s="864"/>
      <c r="GJ125" s="864"/>
      <c r="GK125" s="864"/>
      <c r="GL125" s="864"/>
      <c r="GM125" s="864"/>
      <c r="GN125" s="864"/>
      <c r="GO125" s="859" t="s">
        <v>500</v>
      </c>
      <c r="GP125" s="866" t="s">
        <v>504</v>
      </c>
      <c r="GQ125" s="1003" t="s">
        <v>500</v>
      </c>
      <c r="GR125" s="864"/>
      <c r="GS125" s="864"/>
      <c r="GT125" s="864"/>
      <c r="GU125" s="864"/>
      <c r="GV125" s="864"/>
      <c r="GW125" s="864"/>
      <c r="GX125" s="864"/>
      <c r="GY125" s="864"/>
      <c r="GZ125" s="864"/>
      <c r="HA125" s="864"/>
      <c r="HB125" s="864"/>
      <c r="HC125" s="864"/>
      <c r="HD125" s="864"/>
      <c r="HE125" s="855" t="s">
        <v>504</v>
      </c>
      <c r="HF125" s="855" t="s">
        <v>504</v>
      </c>
      <c r="HG125" s="864"/>
      <c r="HH125" s="853" t="s">
        <v>500</v>
      </c>
      <c r="HI125" s="855" t="s">
        <v>504</v>
      </c>
      <c r="HJ125" s="855" t="s">
        <v>500</v>
      </c>
      <c r="HK125" s="858" t="s">
        <v>504</v>
      </c>
      <c r="HL125" s="864"/>
      <c r="HM125" s="864"/>
      <c r="HN125" s="864"/>
      <c r="HO125" s="861" t="s">
        <v>504</v>
      </c>
      <c r="HP125" s="855" t="s">
        <v>504</v>
      </c>
      <c r="HQ125" s="855" t="s">
        <v>504</v>
      </c>
      <c r="HR125" s="862" t="s">
        <v>504</v>
      </c>
      <c r="HS125" s="855" t="s">
        <v>504</v>
      </c>
      <c r="HT125" s="855" t="s">
        <v>504</v>
      </c>
      <c r="HU125" s="855" t="s">
        <v>504</v>
      </c>
      <c r="HV125" s="1065" t="s">
        <v>504</v>
      </c>
      <c r="HW125" s="855" t="s">
        <v>504</v>
      </c>
      <c r="HX125" s="855" t="s">
        <v>504</v>
      </c>
      <c r="HY125" s="855" t="s">
        <v>504</v>
      </c>
      <c r="HZ125" s="855" t="s">
        <v>504</v>
      </c>
      <c r="IA125" s="855" t="s">
        <v>504</v>
      </c>
      <c r="IB125" s="855" t="s">
        <v>504</v>
      </c>
      <c r="IC125" s="855" t="s">
        <v>656</v>
      </c>
      <c r="ID125" s="855" t="s">
        <v>504</v>
      </c>
      <c r="IE125" s="855" t="s">
        <v>504</v>
      </c>
      <c r="IF125" s="855" t="s">
        <v>504</v>
      </c>
      <c r="IG125" s="862" t="s">
        <v>504</v>
      </c>
      <c r="IH125" s="855" t="s">
        <v>656</v>
      </c>
      <c r="II125" s="855" t="s">
        <v>504</v>
      </c>
      <c r="IJ125" s="862" t="s">
        <v>504</v>
      </c>
      <c r="IK125" s="855" t="s">
        <v>504</v>
      </c>
      <c r="IL125" s="980" t="s">
        <v>504</v>
      </c>
      <c r="IM125" s="855" t="s">
        <v>500</v>
      </c>
      <c r="IN125" s="855" t="s">
        <v>500</v>
      </c>
      <c r="IO125" s="864"/>
      <c r="IP125" s="864"/>
      <c r="IQ125" s="864"/>
      <c r="IR125" s="862" t="s">
        <v>504</v>
      </c>
      <c r="IS125" s="855" t="s">
        <v>504</v>
      </c>
      <c r="IT125" s="855" t="s">
        <v>500</v>
      </c>
      <c r="IU125" s="855" t="s">
        <v>504</v>
      </c>
      <c r="IV125" s="855" t="s">
        <v>504</v>
      </c>
      <c r="IW125" s="855" t="s">
        <v>504</v>
      </c>
      <c r="IX125" s="858" t="s">
        <v>504</v>
      </c>
      <c r="IY125" s="855" t="s">
        <v>504</v>
      </c>
      <c r="IZ125" s="855" t="s">
        <v>504</v>
      </c>
      <c r="JA125" s="855" t="s">
        <v>504</v>
      </c>
      <c r="JB125" s="855" t="s">
        <v>465</v>
      </c>
      <c r="JC125" s="855" t="s">
        <v>504</v>
      </c>
      <c r="JD125" s="855" t="s">
        <v>500</v>
      </c>
      <c r="JE125" s="855" t="s">
        <v>504</v>
      </c>
      <c r="JF125" s="858" t="s">
        <v>504</v>
      </c>
      <c r="JG125" s="855" t="s">
        <v>471</v>
      </c>
      <c r="JH125" s="855" t="s">
        <v>500</v>
      </c>
      <c r="JI125" s="855" t="s">
        <v>479</v>
      </c>
      <c r="JJ125" s="855" t="s">
        <v>504</v>
      </c>
      <c r="JK125" s="855" t="s">
        <v>500</v>
      </c>
      <c r="JL125" s="855" t="s">
        <v>504</v>
      </c>
      <c r="JM125" s="855" t="s">
        <v>504</v>
      </c>
      <c r="JN125" s="855" t="s">
        <v>504</v>
      </c>
      <c r="JO125" s="855" t="s">
        <v>905</v>
      </c>
      <c r="JP125" s="980" t="s">
        <v>504</v>
      </c>
      <c r="JQ125" s="858" t="s">
        <v>504</v>
      </c>
      <c r="JR125" s="855" t="s">
        <v>504</v>
      </c>
      <c r="JS125" s="855" t="s">
        <v>504</v>
      </c>
      <c r="JT125" s="855" t="s">
        <v>500</v>
      </c>
      <c r="JU125" s="855" t="s">
        <v>504</v>
      </c>
      <c r="JV125" s="855" t="s">
        <v>504</v>
      </c>
      <c r="JW125" s="855" t="s">
        <v>500</v>
      </c>
      <c r="JX125" s="855" t="s">
        <v>500</v>
      </c>
      <c r="JY125" s="855" t="s">
        <v>504</v>
      </c>
      <c r="JZ125" s="855" t="s">
        <v>500</v>
      </c>
      <c r="KA125" s="855" t="s">
        <v>500</v>
      </c>
      <c r="KB125" s="855" t="s">
        <v>504</v>
      </c>
      <c r="KC125" s="855" t="s">
        <v>504</v>
      </c>
      <c r="KD125" s="855" t="s">
        <v>500</v>
      </c>
      <c r="KE125" s="862" t="s">
        <v>504</v>
      </c>
      <c r="KF125" s="862" t="s">
        <v>504</v>
      </c>
      <c r="KG125" s="862" t="s">
        <v>504</v>
      </c>
      <c r="KH125" s="862" t="s">
        <v>504</v>
      </c>
      <c r="KI125" s="862" t="s">
        <v>504</v>
      </c>
      <c r="KJ125" s="862" t="s">
        <v>504</v>
      </c>
      <c r="KK125" s="862" t="s">
        <v>504</v>
      </c>
      <c r="KL125" s="855" t="s">
        <v>504</v>
      </c>
      <c r="KM125" s="864"/>
      <c r="KN125" s="864"/>
      <c r="KO125" s="864"/>
      <c r="KP125" s="864"/>
      <c r="KQ125" s="864"/>
      <c r="KR125" s="852" t="s">
        <v>656</v>
      </c>
      <c r="KS125" s="864"/>
      <c r="KT125" s="855" t="s">
        <v>504</v>
      </c>
      <c r="KU125" s="864"/>
      <c r="KV125" s="855" t="s">
        <v>656</v>
      </c>
      <c r="KW125" s="855" t="s">
        <v>504</v>
      </c>
      <c r="KX125" s="855" t="s">
        <v>504</v>
      </c>
      <c r="KY125" s="858" t="s">
        <v>504</v>
      </c>
      <c r="KZ125" s="855" t="s">
        <v>504</v>
      </c>
      <c r="LA125" s="852" t="s">
        <v>500</v>
      </c>
      <c r="LB125" s="855" t="s">
        <v>500</v>
      </c>
      <c r="LC125" s="855" t="s">
        <v>500</v>
      </c>
      <c r="LD125" s="855" t="s">
        <v>504</v>
      </c>
      <c r="LE125" s="855" t="s">
        <v>504</v>
      </c>
      <c r="LF125" s="858" t="s">
        <v>500</v>
      </c>
      <c r="LG125" s="858" t="s">
        <v>500</v>
      </c>
      <c r="LH125" s="858" t="s">
        <v>500</v>
      </c>
      <c r="LI125" s="858" t="s">
        <v>500</v>
      </c>
      <c r="LJ125" s="858" t="s">
        <v>500</v>
      </c>
      <c r="LK125" s="858" t="s">
        <v>500</v>
      </c>
      <c r="LL125" s="858" t="s">
        <v>500</v>
      </c>
      <c r="LM125" s="858" t="s">
        <v>500</v>
      </c>
      <c r="LN125" s="858" t="s">
        <v>504</v>
      </c>
      <c r="LO125" s="858"/>
      <c r="LP125" s="858" t="s">
        <v>504</v>
      </c>
      <c r="LQ125" s="858"/>
      <c r="LR125" s="858" t="s">
        <v>500</v>
      </c>
      <c r="LS125" s="858" t="s">
        <v>500</v>
      </c>
      <c r="LT125" s="858" t="s">
        <v>500</v>
      </c>
      <c r="LU125" s="858" t="s">
        <v>500</v>
      </c>
      <c r="LV125" s="909" t="s">
        <v>500</v>
      </c>
      <c r="LW125" s="858" t="s">
        <v>504</v>
      </c>
      <c r="LX125" s="858" t="s">
        <v>500</v>
      </c>
      <c r="LY125" s="858" t="s">
        <v>500</v>
      </c>
    </row>
    <row r="126" spans="1:337" ht="409.5" x14ac:dyDescent="0.25">
      <c r="A126" s="1584"/>
      <c r="B126" s="1587"/>
      <c r="C126" s="1600"/>
      <c r="D126" s="1598"/>
      <c r="E126" s="847" t="s">
        <v>172</v>
      </c>
      <c r="F126" s="853"/>
      <c r="G126" s="853"/>
      <c r="H126" s="864"/>
      <c r="I126" s="864"/>
      <c r="J126" s="864"/>
      <c r="K126" s="864"/>
      <c r="L126" s="864"/>
      <c r="M126" s="864"/>
      <c r="N126" s="852"/>
      <c r="O126" s="864"/>
      <c r="P126" s="864"/>
      <c r="Q126" s="864"/>
      <c r="R126" s="864"/>
      <c r="S126" s="864"/>
      <c r="T126" s="864"/>
      <c r="U126" s="864"/>
      <c r="V126" s="855"/>
      <c r="W126" s="855"/>
      <c r="X126" s="855"/>
      <c r="Y126" s="855"/>
      <c r="Z126" s="855" t="s">
        <v>2725</v>
      </c>
      <c r="AA126" s="864"/>
      <c r="AB126" s="864"/>
      <c r="AC126" s="864"/>
      <c r="AD126" s="864"/>
      <c r="AE126" s="864"/>
      <c r="AF126" s="864"/>
      <c r="AG126" s="864"/>
      <c r="AH126" s="864"/>
      <c r="AI126" s="864"/>
      <c r="AJ126" s="864"/>
      <c r="AK126" s="864"/>
      <c r="AL126" s="864"/>
      <c r="AM126" s="864"/>
      <c r="AN126" s="864"/>
      <c r="AO126" s="864"/>
      <c r="AP126" s="864"/>
      <c r="AQ126" s="864"/>
      <c r="AR126" s="864"/>
      <c r="AS126" s="864"/>
      <c r="AT126" s="864"/>
      <c r="AU126" s="864"/>
      <c r="AV126" s="855"/>
      <c r="AW126" s="855" t="s">
        <v>2752</v>
      </c>
      <c r="AX126" s="864"/>
      <c r="AY126" s="864"/>
      <c r="AZ126" s="864"/>
      <c r="BA126" s="852"/>
      <c r="BB126" s="855"/>
      <c r="BC126" s="855"/>
      <c r="BD126" s="855"/>
      <c r="BE126" s="864"/>
      <c r="BF126" s="864"/>
      <c r="BG126" s="864"/>
      <c r="BH126" s="864"/>
      <c r="BI126" s="864"/>
      <c r="BJ126" s="864"/>
      <c r="BK126" s="864"/>
      <c r="BL126" s="864"/>
      <c r="BM126" s="864"/>
      <c r="BN126" s="864"/>
      <c r="BO126" s="864"/>
      <c r="BP126" s="864"/>
      <c r="BQ126" s="864"/>
      <c r="BR126" s="864"/>
      <c r="BS126" s="864"/>
      <c r="BT126" s="855" t="s">
        <v>2823</v>
      </c>
      <c r="BU126" s="855"/>
      <c r="BV126" s="855" t="s">
        <v>2845</v>
      </c>
      <c r="BW126" s="855" t="s">
        <v>2862</v>
      </c>
      <c r="BX126" s="864"/>
      <c r="BY126" s="864"/>
      <c r="BZ126" s="864"/>
      <c r="CA126" s="864"/>
      <c r="CB126" s="864"/>
      <c r="CC126" s="862"/>
      <c r="CD126" s="864"/>
      <c r="CE126" s="864"/>
      <c r="CF126" s="864"/>
      <c r="CG126" s="864"/>
      <c r="CH126" s="864"/>
      <c r="CI126" s="864"/>
      <c r="CJ126" s="864"/>
      <c r="CK126" s="855"/>
      <c r="CL126" s="855"/>
      <c r="CM126" s="864"/>
      <c r="CN126" s="864"/>
      <c r="CO126" s="864"/>
      <c r="CP126" s="864"/>
      <c r="CQ126" s="864"/>
      <c r="CR126" s="864"/>
      <c r="CS126" s="864"/>
      <c r="CT126" s="864"/>
      <c r="CU126" s="864"/>
      <c r="CV126" s="864"/>
      <c r="CW126" s="864"/>
      <c r="CX126" s="864"/>
      <c r="CY126" s="864"/>
      <c r="CZ126" s="864"/>
      <c r="DA126" s="864"/>
      <c r="DB126" s="864"/>
      <c r="DC126" s="864"/>
      <c r="DD126" s="864"/>
      <c r="DE126" s="864"/>
      <c r="DF126" s="855"/>
      <c r="DG126" s="864"/>
      <c r="DH126" s="855" t="s">
        <v>2929</v>
      </c>
      <c r="DI126" s="855"/>
      <c r="DJ126" s="855"/>
      <c r="DK126" s="855" t="s">
        <v>504</v>
      </c>
      <c r="DL126" s="855"/>
      <c r="DM126" s="1066"/>
      <c r="DN126" s="864"/>
      <c r="DO126" s="864"/>
      <c r="DP126" s="855"/>
      <c r="DQ126" s="864"/>
      <c r="DR126" s="864"/>
      <c r="DS126" s="864"/>
      <c r="DT126" s="864"/>
      <c r="DU126" s="864"/>
      <c r="DV126" s="864"/>
      <c r="DW126" s="864"/>
      <c r="DX126" s="864"/>
      <c r="DY126" s="864"/>
      <c r="DZ126" s="864"/>
      <c r="EA126" s="864"/>
      <c r="EB126" s="864"/>
      <c r="EC126" s="864"/>
      <c r="ED126" s="864"/>
      <c r="EE126" s="864"/>
      <c r="EF126" s="855"/>
      <c r="EG126" s="855"/>
      <c r="EH126" s="855"/>
      <c r="EI126" s="855"/>
      <c r="EJ126" s="858" t="s">
        <v>3064</v>
      </c>
      <c r="EK126" s="858"/>
      <c r="EL126" s="999"/>
      <c r="EM126" s="853"/>
      <c r="EN126" s="858"/>
      <c r="EO126" s="858"/>
      <c r="EP126" s="858"/>
      <c r="EQ126" s="918" t="s">
        <v>3148</v>
      </c>
      <c r="ER126" s="858"/>
      <c r="ES126" s="858"/>
      <c r="ET126" s="858"/>
      <c r="EU126" s="864"/>
      <c r="EV126" s="864"/>
      <c r="EW126" s="855"/>
      <c r="EX126" s="864"/>
      <c r="EY126" s="864"/>
      <c r="EZ126" s="864"/>
      <c r="FA126" s="864"/>
      <c r="FB126" s="864"/>
      <c r="FC126" s="864"/>
      <c r="FD126" s="864"/>
      <c r="FE126" s="855" t="s">
        <v>3222</v>
      </c>
      <c r="FF126" s="864"/>
      <c r="FG126" s="864"/>
      <c r="FH126" s="864"/>
      <c r="FI126" s="864"/>
      <c r="FJ126" s="864"/>
      <c r="FK126" s="852"/>
      <c r="FL126" s="852" t="s">
        <v>3258</v>
      </c>
      <c r="FM126" s="1063" t="s">
        <v>3277</v>
      </c>
      <c r="FN126" s="855"/>
      <c r="FO126" s="855"/>
      <c r="FP126" s="855"/>
      <c r="FQ126" s="855" t="s">
        <v>2477</v>
      </c>
      <c r="FR126" s="864"/>
      <c r="FS126" s="864"/>
      <c r="FT126" s="864"/>
      <c r="FU126" s="864"/>
      <c r="FV126" s="864"/>
      <c r="FW126" s="864"/>
      <c r="FX126" s="864"/>
      <c r="FY126" s="864"/>
      <c r="FZ126" s="864"/>
      <c r="GA126" s="855"/>
      <c r="GB126" s="855"/>
      <c r="GC126" s="855"/>
      <c r="GD126" s="855" t="s">
        <v>3386</v>
      </c>
      <c r="GE126" s="855"/>
      <c r="GF126" s="855"/>
      <c r="GG126" s="855" t="s">
        <v>1348</v>
      </c>
      <c r="GH126" s="864"/>
      <c r="GI126" s="864"/>
      <c r="GJ126" s="864"/>
      <c r="GK126" s="864"/>
      <c r="GL126" s="864"/>
      <c r="GM126" s="864"/>
      <c r="GN126" s="864"/>
      <c r="GO126" s="859" t="s">
        <v>3433</v>
      </c>
      <c r="GP126" s="866"/>
      <c r="GQ126" s="1003" t="s">
        <v>3454</v>
      </c>
      <c r="GR126" s="864"/>
      <c r="GS126" s="864"/>
      <c r="GT126" s="864"/>
      <c r="GU126" s="864"/>
      <c r="GV126" s="864"/>
      <c r="GW126" s="864"/>
      <c r="GX126" s="864"/>
      <c r="GY126" s="864"/>
      <c r="GZ126" s="864"/>
      <c r="HA126" s="864"/>
      <c r="HB126" s="864"/>
      <c r="HC126" s="864"/>
      <c r="HD126" s="864"/>
      <c r="HE126" s="855"/>
      <c r="HF126" s="855"/>
      <c r="HG126" s="864"/>
      <c r="HH126" s="853" t="s">
        <v>3502</v>
      </c>
      <c r="HI126" s="855"/>
      <c r="HJ126" s="915" t="s">
        <v>3536</v>
      </c>
      <c r="HK126" s="858"/>
      <c r="HL126" s="864"/>
      <c r="HM126" s="864"/>
      <c r="HN126" s="864"/>
      <c r="HO126" s="861"/>
      <c r="HP126" s="855"/>
      <c r="HQ126" s="855"/>
      <c r="HR126" s="862"/>
      <c r="HS126" s="855"/>
      <c r="HT126" s="855"/>
      <c r="HU126" s="855"/>
      <c r="HV126" s="907"/>
      <c r="HW126" s="855"/>
      <c r="HX126" s="855"/>
      <c r="HY126" s="855"/>
      <c r="HZ126" s="855"/>
      <c r="IA126" s="855"/>
      <c r="IB126" s="855"/>
      <c r="IC126" s="855" t="s">
        <v>3685</v>
      </c>
      <c r="ID126" s="855"/>
      <c r="IE126" s="855"/>
      <c r="IF126" s="855"/>
      <c r="IG126" s="862"/>
      <c r="IH126" s="852" t="s">
        <v>3738</v>
      </c>
      <c r="II126" s="855" t="s">
        <v>465</v>
      </c>
      <c r="IJ126" s="862"/>
      <c r="IK126" s="855"/>
      <c r="IL126" s="980"/>
      <c r="IM126" s="907" t="s">
        <v>3795</v>
      </c>
      <c r="IN126" s="855" t="s">
        <v>935</v>
      </c>
      <c r="IO126" s="864"/>
      <c r="IP126" s="864"/>
      <c r="IQ126" s="864"/>
      <c r="IR126" s="1055" t="s">
        <v>504</v>
      </c>
      <c r="IS126" s="855"/>
      <c r="IT126" s="855" t="s">
        <v>3853</v>
      </c>
      <c r="IU126" s="855"/>
      <c r="IV126" s="855" t="s">
        <v>465</v>
      </c>
      <c r="IW126" s="855"/>
      <c r="IX126" s="858"/>
      <c r="IY126" s="855"/>
      <c r="IZ126" s="855"/>
      <c r="JA126" s="855"/>
      <c r="JB126" s="852" t="s">
        <v>465</v>
      </c>
      <c r="JC126" s="855"/>
      <c r="JD126" s="855" t="s">
        <v>4018</v>
      </c>
      <c r="JE126" s="855"/>
      <c r="JF126" s="858"/>
      <c r="JG126" s="855" t="s">
        <v>4072</v>
      </c>
      <c r="JH126" s="855" t="s">
        <v>4088</v>
      </c>
      <c r="JI126" s="855"/>
      <c r="JJ126" s="855"/>
      <c r="JK126" s="907" t="s">
        <v>4137</v>
      </c>
      <c r="JL126" s="855"/>
      <c r="JM126" s="855"/>
      <c r="JN126" s="855"/>
      <c r="JO126" s="855"/>
      <c r="JP126" s="855" t="s">
        <v>702</v>
      </c>
      <c r="JQ126" s="858"/>
      <c r="JR126" s="855"/>
      <c r="JS126" s="855"/>
      <c r="JT126" s="855" t="s">
        <v>4210</v>
      </c>
      <c r="JU126" s="910"/>
      <c r="JV126" s="855"/>
      <c r="JW126" s="910" t="s">
        <v>4237</v>
      </c>
      <c r="JX126" s="910" t="s">
        <v>4250</v>
      </c>
      <c r="JY126" s="855"/>
      <c r="JZ126" s="910" t="s">
        <v>4268</v>
      </c>
      <c r="KA126" s="910" t="s">
        <v>4277</v>
      </c>
      <c r="KB126" s="855"/>
      <c r="KC126" s="855"/>
      <c r="KD126" s="855" t="s">
        <v>4306</v>
      </c>
      <c r="KE126" s="862" t="s">
        <v>504</v>
      </c>
      <c r="KF126" s="862" t="s">
        <v>504</v>
      </c>
      <c r="KG126" s="862" t="s">
        <v>504</v>
      </c>
      <c r="KH126" s="862" t="s">
        <v>504</v>
      </c>
      <c r="KI126" s="862" t="s">
        <v>504</v>
      </c>
      <c r="KJ126" s="862" t="s">
        <v>504</v>
      </c>
      <c r="KK126" s="862" t="s">
        <v>504</v>
      </c>
      <c r="KL126" s="855" t="s">
        <v>504</v>
      </c>
      <c r="KM126" s="864"/>
      <c r="KN126" s="864"/>
      <c r="KO126" s="864"/>
      <c r="KP126" s="864"/>
      <c r="KQ126" s="864"/>
      <c r="KR126" s="852" t="s">
        <v>2836</v>
      </c>
      <c r="KS126" s="864"/>
      <c r="KT126" s="855"/>
      <c r="KU126" s="864"/>
      <c r="KV126" s="932" t="s">
        <v>4422</v>
      </c>
      <c r="KW126" s="855"/>
      <c r="KX126" s="855"/>
      <c r="KY126" s="858"/>
      <c r="KZ126" s="855"/>
      <c r="LA126" s="852" t="s">
        <v>4531</v>
      </c>
      <c r="LB126" s="855" t="s">
        <v>4550</v>
      </c>
      <c r="LC126" s="855" t="s">
        <v>4550</v>
      </c>
      <c r="LD126" s="855"/>
      <c r="LE126" s="855"/>
      <c r="LF126" s="938" t="s">
        <v>4587</v>
      </c>
      <c r="LG126" s="858" t="s">
        <v>4604</v>
      </c>
      <c r="LH126" s="858" t="s">
        <v>4614</v>
      </c>
      <c r="LI126" s="858" t="s">
        <v>4614</v>
      </c>
      <c r="LJ126" s="858" t="s">
        <v>4636</v>
      </c>
      <c r="LK126" s="858" t="s">
        <v>4614</v>
      </c>
      <c r="LL126" s="858" t="s">
        <v>4614</v>
      </c>
      <c r="LM126" s="858" t="s">
        <v>4664</v>
      </c>
      <c r="LN126" s="858"/>
      <c r="LO126" s="923"/>
      <c r="LP126" s="858"/>
      <c r="LQ126" s="858"/>
      <c r="LR126" s="923" t="s">
        <v>4740</v>
      </c>
      <c r="LS126" s="923" t="s">
        <v>4753</v>
      </c>
      <c r="LT126" s="923" t="s">
        <v>4762</v>
      </c>
      <c r="LU126" s="923" t="s">
        <v>4773</v>
      </c>
      <c r="LV126" s="1067" t="s">
        <v>4788</v>
      </c>
      <c r="LW126" s="923"/>
      <c r="LX126" s="923" t="s">
        <v>4809</v>
      </c>
      <c r="LY126" s="1056" t="s">
        <v>2929</v>
      </c>
    </row>
    <row r="127" spans="1:337" ht="16.5" thickBot="1" x14ac:dyDescent="0.3">
      <c r="A127" s="1584"/>
      <c r="B127" s="1587"/>
      <c r="C127" s="1603"/>
      <c r="D127" s="1599"/>
      <c r="E127" s="850" t="s">
        <v>174</v>
      </c>
      <c r="F127" s="853"/>
      <c r="G127" s="853"/>
      <c r="H127" s="864"/>
      <c r="I127" s="864"/>
      <c r="J127" s="864"/>
      <c r="K127" s="864"/>
      <c r="L127" s="864"/>
      <c r="M127" s="864"/>
      <c r="N127" s="852"/>
      <c r="O127" s="864"/>
      <c r="P127" s="864"/>
      <c r="Q127" s="864"/>
      <c r="R127" s="864"/>
      <c r="S127" s="864"/>
      <c r="T127" s="864"/>
      <c r="U127" s="864"/>
      <c r="V127" s="980"/>
      <c r="W127" s="980"/>
      <c r="X127" s="980"/>
      <c r="Y127" s="980"/>
      <c r="Z127" s="980">
        <v>5</v>
      </c>
      <c r="AA127" s="864"/>
      <c r="AB127" s="864"/>
      <c r="AC127" s="864"/>
      <c r="AD127" s="864"/>
      <c r="AE127" s="864"/>
      <c r="AF127" s="864"/>
      <c r="AG127" s="864"/>
      <c r="AH127" s="864"/>
      <c r="AI127" s="864"/>
      <c r="AJ127" s="864"/>
      <c r="AK127" s="864"/>
      <c r="AL127" s="864"/>
      <c r="AM127" s="864"/>
      <c r="AN127" s="864"/>
      <c r="AO127" s="864"/>
      <c r="AP127" s="864"/>
      <c r="AQ127" s="864"/>
      <c r="AR127" s="864"/>
      <c r="AS127" s="864"/>
      <c r="AT127" s="864"/>
      <c r="AU127" s="864"/>
      <c r="AV127" s="980"/>
      <c r="AW127" s="980">
        <v>8</v>
      </c>
      <c r="AX127" s="864"/>
      <c r="AY127" s="864"/>
      <c r="AZ127" s="864"/>
      <c r="BA127" s="852"/>
      <c r="BB127" s="855"/>
      <c r="BC127" s="980">
        <v>5</v>
      </c>
      <c r="BD127" s="855"/>
      <c r="BE127" s="864"/>
      <c r="BF127" s="864"/>
      <c r="BG127" s="864"/>
      <c r="BH127" s="864"/>
      <c r="BI127" s="864"/>
      <c r="BJ127" s="864"/>
      <c r="BK127" s="864"/>
      <c r="BL127" s="864"/>
      <c r="BM127" s="864"/>
      <c r="BN127" s="864"/>
      <c r="BO127" s="864"/>
      <c r="BP127" s="864"/>
      <c r="BQ127" s="864"/>
      <c r="BR127" s="864"/>
      <c r="BS127" s="864"/>
      <c r="BT127" s="980">
        <v>12</v>
      </c>
      <c r="BU127" s="980"/>
      <c r="BV127" s="980">
        <v>7</v>
      </c>
      <c r="BW127" s="980">
        <v>6</v>
      </c>
      <c r="BX127" s="864"/>
      <c r="BY127" s="864"/>
      <c r="BZ127" s="864"/>
      <c r="CA127" s="864"/>
      <c r="CB127" s="864"/>
      <c r="CC127" s="998"/>
      <c r="CD127" s="864"/>
      <c r="CE127" s="864"/>
      <c r="CF127" s="864"/>
      <c r="CG127" s="864"/>
      <c r="CH127" s="864"/>
      <c r="CI127" s="864"/>
      <c r="CJ127" s="864"/>
      <c r="CK127" s="980"/>
      <c r="CL127" s="980"/>
      <c r="CM127" s="864"/>
      <c r="CN127" s="864"/>
      <c r="CO127" s="864"/>
      <c r="CP127" s="864"/>
      <c r="CQ127" s="864"/>
      <c r="CR127" s="864"/>
      <c r="CS127" s="864"/>
      <c r="CT127" s="864"/>
      <c r="CU127" s="864"/>
      <c r="CV127" s="864"/>
      <c r="CW127" s="864"/>
      <c r="CX127" s="864"/>
      <c r="CY127" s="864"/>
      <c r="CZ127" s="864"/>
      <c r="DA127" s="864"/>
      <c r="DB127" s="864"/>
      <c r="DC127" s="864"/>
      <c r="DD127" s="864"/>
      <c r="DE127" s="864"/>
      <c r="DF127" s="980"/>
      <c r="DG127" s="864"/>
      <c r="DH127" s="980"/>
      <c r="DI127" s="980"/>
      <c r="DJ127" s="980"/>
      <c r="DK127" s="980" t="s">
        <v>504</v>
      </c>
      <c r="DL127" s="980"/>
      <c r="DM127" s="980"/>
      <c r="DN127" s="864"/>
      <c r="DO127" s="864"/>
      <c r="DP127" s="980"/>
      <c r="DQ127" s="864"/>
      <c r="DR127" s="864"/>
      <c r="DS127" s="864"/>
      <c r="DT127" s="864"/>
      <c r="DU127" s="864"/>
      <c r="DV127" s="864"/>
      <c r="DW127" s="864"/>
      <c r="DX127" s="864"/>
      <c r="DY127" s="864"/>
      <c r="DZ127" s="864"/>
      <c r="EA127" s="864"/>
      <c r="EB127" s="864"/>
      <c r="EC127" s="864"/>
      <c r="ED127" s="864"/>
      <c r="EE127" s="864"/>
      <c r="EF127" s="980"/>
      <c r="EG127" s="980"/>
      <c r="EH127" s="980"/>
      <c r="EI127" s="855"/>
      <c r="EJ127" s="999">
        <v>9</v>
      </c>
      <c r="EK127" s="999"/>
      <c r="EL127" s="999"/>
      <c r="EM127" s="853"/>
      <c r="EN127" s="999"/>
      <c r="EO127" s="999"/>
      <c r="EP127" s="999"/>
      <c r="EQ127" s="999">
        <v>8</v>
      </c>
      <c r="ER127" s="999"/>
      <c r="ES127" s="999"/>
      <c r="ET127" s="999"/>
      <c r="EU127" s="864"/>
      <c r="EV127" s="864"/>
      <c r="EW127" s="980"/>
      <c r="EX127" s="864"/>
      <c r="EY127" s="864"/>
      <c r="EZ127" s="864"/>
      <c r="FA127" s="864"/>
      <c r="FB127" s="864"/>
      <c r="FC127" s="864"/>
      <c r="FD127" s="864"/>
      <c r="FE127" s="980">
        <v>5</v>
      </c>
      <c r="FF127" s="864"/>
      <c r="FG127" s="864"/>
      <c r="FH127" s="864"/>
      <c r="FI127" s="864"/>
      <c r="FJ127" s="864"/>
      <c r="FK127" s="1000"/>
      <c r="FL127" s="1000"/>
      <c r="FM127" s="980">
        <v>12</v>
      </c>
      <c r="FN127" s="980"/>
      <c r="FO127" s="980"/>
      <c r="FP127" s="980"/>
      <c r="FQ127" s="980">
        <v>9</v>
      </c>
      <c r="FR127" s="864"/>
      <c r="FS127" s="864"/>
      <c r="FT127" s="864"/>
      <c r="FU127" s="864"/>
      <c r="FV127" s="864"/>
      <c r="FW127" s="864"/>
      <c r="FX127" s="864"/>
      <c r="FY127" s="864"/>
      <c r="FZ127" s="864"/>
      <c r="GA127" s="980"/>
      <c r="GB127" s="980"/>
      <c r="GC127" s="980"/>
      <c r="GD127" s="980"/>
      <c r="GE127" s="980"/>
      <c r="GF127" s="980"/>
      <c r="GG127" s="980">
        <v>78</v>
      </c>
      <c r="GH127" s="864"/>
      <c r="GI127" s="864"/>
      <c r="GJ127" s="864"/>
      <c r="GK127" s="864"/>
      <c r="GL127" s="864"/>
      <c r="GM127" s="864"/>
      <c r="GN127" s="864"/>
      <c r="GO127" s="1001">
        <v>38</v>
      </c>
      <c r="GP127" s="866"/>
      <c r="GQ127" s="1003">
        <v>30</v>
      </c>
      <c r="GR127" s="864"/>
      <c r="GS127" s="864"/>
      <c r="GT127" s="864"/>
      <c r="GU127" s="864"/>
      <c r="GV127" s="864"/>
      <c r="GW127" s="864"/>
      <c r="GX127" s="864"/>
      <c r="GY127" s="864"/>
      <c r="GZ127" s="864"/>
      <c r="HA127" s="864"/>
      <c r="HB127" s="864"/>
      <c r="HC127" s="864"/>
      <c r="HD127" s="864"/>
      <c r="HE127" s="980"/>
      <c r="HF127" s="980"/>
      <c r="HG127" s="864"/>
      <c r="HH127" s="1052">
        <v>8</v>
      </c>
      <c r="HI127" s="980"/>
      <c r="HJ127" s="980">
        <v>6</v>
      </c>
      <c r="HK127" s="999"/>
      <c r="HL127" s="864"/>
      <c r="HM127" s="864"/>
      <c r="HN127" s="864"/>
      <c r="HO127" s="1004"/>
      <c r="HP127" s="980"/>
      <c r="HQ127" s="980"/>
      <c r="HR127" s="998"/>
      <c r="HS127" s="980"/>
      <c r="HT127" s="980"/>
      <c r="HU127" s="980"/>
      <c r="HV127" s="852"/>
      <c r="HW127" s="980"/>
      <c r="HX127" s="980"/>
      <c r="HY127" s="980"/>
      <c r="HZ127" s="980"/>
      <c r="IA127" s="980"/>
      <c r="IB127" s="980"/>
      <c r="IC127" s="980">
        <v>8</v>
      </c>
      <c r="ID127" s="980"/>
      <c r="IE127" s="980"/>
      <c r="IF127" s="980"/>
      <c r="IG127" s="998"/>
      <c r="IH127" s="980">
        <v>5</v>
      </c>
      <c r="II127" s="980" t="s">
        <v>465</v>
      </c>
      <c r="IJ127" s="998"/>
      <c r="IK127" s="980"/>
      <c r="IL127" s="980"/>
      <c r="IM127" s="980">
        <v>7</v>
      </c>
      <c r="IN127" s="980">
        <v>7</v>
      </c>
      <c r="IO127" s="864"/>
      <c r="IP127" s="864"/>
      <c r="IQ127" s="864"/>
      <c r="IR127" s="998"/>
      <c r="IS127" s="980"/>
      <c r="IT127" s="980"/>
      <c r="IU127" s="980"/>
      <c r="IV127" s="980" t="s">
        <v>465</v>
      </c>
      <c r="IW127" s="980"/>
      <c r="IX127" s="999"/>
      <c r="IY127" s="980"/>
      <c r="IZ127" s="980"/>
      <c r="JA127" s="980"/>
      <c r="JB127" s="980" t="s">
        <v>465</v>
      </c>
      <c r="JC127" s="980"/>
      <c r="JD127" s="980">
        <v>11</v>
      </c>
      <c r="JE127" s="980"/>
      <c r="JF127" s="999"/>
      <c r="JG127" s="980">
        <v>10</v>
      </c>
      <c r="JH127" s="980"/>
      <c r="JI127" s="980"/>
      <c r="JJ127" s="980"/>
      <c r="JK127" s="980">
        <v>8</v>
      </c>
      <c r="JL127" s="980"/>
      <c r="JM127" s="980"/>
      <c r="JN127" s="980"/>
      <c r="JO127" s="980"/>
      <c r="JP127" s="855" t="s">
        <v>702</v>
      </c>
      <c r="JQ127" s="999"/>
      <c r="JR127" s="980"/>
      <c r="JS127" s="980"/>
      <c r="JT127" s="980">
        <v>5</v>
      </c>
      <c r="JU127" s="980"/>
      <c r="JV127" s="980"/>
      <c r="JW127" s="980">
        <v>6</v>
      </c>
      <c r="JX127" s="980">
        <v>5</v>
      </c>
      <c r="JY127" s="980"/>
      <c r="JZ127" s="980">
        <v>20</v>
      </c>
      <c r="KA127" s="980">
        <v>14</v>
      </c>
      <c r="KB127" s="980"/>
      <c r="KC127" s="980"/>
      <c r="KD127" s="980">
        <v>40</v>
      </c>
      <c r="KE127" s="998">
        <v>0</v>
      </c>
      <c r="KF127" s="998"/>
      <c r="KG127" s="998"/>
      <c r="KH127" s="998"/>
      <c r="KI127" s="998">
        <v>0</v>
      </c>
      <c r="KJ127" s="998">
        <v>0</v>
      </c>
      <c r="KK127" s="998">
        <v>0</v>
      </c>
      <c r="KL127" s="980"/>
      <c r="KM127" s="864"/>
      <c r="KN127" s="864"/>
      <c r="KO127" s="864"/>
      <c r="KP127" s="864"/>
      <c r="KQ127" s="864"/>
      <c r="KR127" s="1000">
        <v>10</v>
      </c>
      <c r="KS127" s="864"/>
      <c r="KT127" s="980"/>
      <c r="KU127" s="864"/>
      <c r="KV127" s="980"/>
      <c r="KW127" s="980"/>
      <c r="KX127" s="980"/>
      <c r="KY127" s="858"/>
      <c r="KZ127" s="980"/>
      <c r="LA127" s="1000">
        <v>10</v>
      </c>
      <c r="LB127" s="980">
        <v>16</v>
      </c>
      <c r="LC127" s="980">
        <v>16</v>
      </c>
      <c r="LD127" s="980"/>
      <c r="LE127" s="980"/>
      <c r="LF127" s="858">
        <v>12</v>
      </c>
      <c r="LG127" s="999">
        <v>7</v>
      </c>
      <c r="LH127" s="999">
        <v>6</v>
      </c>
      <c r="LI127" s="999">
        <v>4</v>
      </c>
      <c r="LJ127" s="999">
        <v>4</v>
      </c>
      <c r="LK127" s="999">
        <v>7</v>
      </c>
      <c r="LL127" s="999">
        <v>9</v>
      </c>
      <c r="LM127" s="999">
        <v>6</v>
      </c>
      <c r="LN127" s="999"/>
      <c r="LO127" s="999"/>
      <c r="LP127" s="999"/>
      <c r="LQ127" s="999"/>
      <c r="LR127" s="999">
        <v>9</v>
      </c>
      <c r="LS127" s="999">
        <v>11</v>
      </c>
      <c r="LT127" s="999">
        <v>8</v>
      </c>
      <c r="LU127" s="999">
        <v>10</v>
      </c>
      <c r="LV127" s="1006">
        <v>6</v>
      </c>
      <c r="LW127" s="999"/>
      <c r="LX127" s="999">
        <v>8</v>
      </c>
      <c r="LY127" s="999"/>
    </row>
    <row r="128" spans="1:337" ht="234.6" customHeight="1" x14ac:dyDescent="0.25">
      <c r="A128" s="1584"/>
      <c r="B128" s="1587"/>
      <c r="C128" s="1594" t="s">
        <v>245</v>
      </c>
      <c r="D128" s="1597" t="s">
        <v>222</v>
      </c>
      <c r="E128" s="833" t="s">
        <v>171</v>
      </c>
      <c r="F128" s="853"/>
      <c r="G128" s="853"/>
      <c r="H128" s="864"/>
      <c r="I128" s="864"/>
      <c r="J128" s="864"/>
      <c r="K128" s="864"/>
      <c r="L128" s="864"/>
      <c r="M128" s="864"/>
      <c r="N128" s="852" t="s">
        <v>504</v>
      </c>
      <c r="O128" s="864"/>
      <c r="P128" s="864"/>
      <c r="Q128" s="864"/>
      <c r="R128" s="864"/>
      <c r="S128" s="864"/>
      <c r="T128" s="864"/>
      <c r="U128" s="864"/>
      <c r="V128" s="980" t="s">
        <v>471</v>
      </c>
      <c r="W128" s="980" t="s">
        <v>471</v>
      </c>
      <c r="X128" s="980" t="s">
        <v>471</v>
      </c>
      <c r="Y128" s="980" t="s">
        <v>471</v>
      </c>
      <c r="Z128" s="980" t="s">
        <v>504</v>
      </c>
      <c r="AA128" s="864"/>
      <c r="AB128" s="864"/>
      <c r="AC128" s="864"/>
      <c r="AD128" s="864"/>
      <c r="AE128" s="864"/>
      <c r="AF128" s="864"/>
      <c r="AG128" s="864"/>
      <c r="AH128" s="864"/>
      <c r="AI128" s="864"/>
      <c r="AJ128" s="864"/>
      <c r="AK128" s="864"/>
      <c r="AL128" s="864"/>
      <c r="AM128" s="864"/>
      <c r="AN128" s="864"/>
      <c r="AO128" s="864"/>
      <c r="AP128" s="864"/>
      <c r="AQ128" s="864"/>
      <c r="AR128" s="864"/>
      <c r="AS128" s="864"/>
      <c r="AT128" s="864"/>
      <c r="AU128" s="864"/>
      <c r="AV128" s="855" t="s">
        <v>500</v>
      </c>
      <c r="AW128" s="980" t="s">
        <v>500</v>
      </c>
      <c r="AX128" s="864"/>
      <c r="AY128" s="864"/>
      <c r="AZ128" s="864"/>
      <c r="BA128" s="852" t="s">
        <v>504</v>
      </c>
      <c r="BB128" s="980" t="s">
        <v>504</v>
      </c>
      <c r="BC128" s="980" t="s">
        <v>504</v>
      </c>
      <c r="BD128" s="980"/>
      <c r="BE128" s="864"/>
      <c r="BF128" s="864"/>
      <c r="BG128" s="864"/>
      <c r="BH128" s="864"/>
      <c r="BI128" s="864"/>
      <c r="BJ128" s="864"/>
      <c r="BK128" s="864"/>
      <c r="BL128" s="864"/>
      <c r="BM128" s="864"/>
      <c r="BN128" s="864"/>
      <c r="BO128" s="864"/>
      <c r="BP128" s="864"/>
      <c r="BQ128" s="864"/>
      <c r="BR128" s="864"/>
      <c r="BS128" s="864"/>
      <c r="BT128" s="980" t="s">
        <v>504</v>
      </c>
      <c r="BU128" s="980"/>
      <c r="BV128" s="980" t="s">
        <v>504</v>
      </c>
      <c r="BW128" s="980" t="s">
        <v>504</v>
      </c>
      <c r="BX128" s="864"/>
      <c r="BY128" s="864"/>
      <c r="BZ128" s="864"/>
      <c r="CA128" s="864"/>
      <c r="CB128" s="864"/>
      <c r="CC128" s="998"/>
      <c r="CD128" s="864"/>
      <c r="CE128" s="864"/>
      <c r="CF128" s="864"/>
      <c r="CG128" s="864"/>
      <c r="CH128" s="864"/>
      <c r="CI128" s="864"/>
      <c r="CJ128" s="864"/>
      <c r="CK128" s="980" t="s">
        <v>500</v>
      </c>
      <c r="CL128" s="980" t="s">
        <v>500</v>
      </c>
      <c r="CM128" s="864"/>
      <c r="CN128" s="864"/>
      <c r="CO128" s="864"/>
      <c r="CP128" s="864"/>
      <c r="CQ128" s="864"/>
      <c r="CR128" s="864"/>
      <c r="CS128" s="864"/>
      <c r="CT128" s="864"/>
      <c r="CU128" s="864"/>
      <c r="CV128" s="864"/>
      <c r="CW128" s="864"/>
      <c r="CX128" s="864"/>
      <c r="CY128" s="864"/>
      <c r="CZ128" s="864"/>
      <c r="DA128" s="864"/>
      <c r="DB128" s="864"/>
      <c r="DC128" s="864"/>
      <c r="DD128" s="864"/>
      <c r="DE128" s="864"/>
      <c r="DF128" s="980" t="s">
        <v>500</v>
      </c>
      <c r="DG128" s="864"/>
      <c r="DH128" s="980" t="s">
        <v>504</v>
      </c>
      <c r="DI128" s="980"/>
      <c r="DJ128" s="980"/>
      <c r="DK128" s="980" t="s">
        <v>500</v>
      </c>
      <c r="DL128" s="980" t="s">
        <v>500</v>
      </c>
      <c r="DM128" s="980" t="s">
        <v>500</v>
      </c>
      <c r="DN128" s="864"/>
      <c r="DO128" s="864"/>
      <c r="DP128" s="980" t="s">
        <v>504</v>
      </c>
      <c r="DQ128" s="864"/>
      <c r="DR128" s="864"/>
      <c r="DS128" s="864"/>
      <c r="DT128" s="864"/>
      <c r="DU128" s="864"/>
      <c r="DV128" s="864"/>
      <c r="DW128" s="864"/>
      <c r="DX128" s="864"/>
      <c r="DY128" s="864"/>
      <c r="DZ128" s="864"/>
      <c r="EA128" s="864"/>
      <c r="EB128" s="864"/>
      <c r="EC128" s="864"/>
      <c r="ED128" s="864"/>
      <c r="EE128" s="864"/>
      <c r="EF128" s="980" t="s">
        <v>504</v>
      </c>
      <c r="EG128" s="980" t="s">
        <v>504</v>
      </c>
      <c r="EH128" s="980" t="s">
        <v>500</v>
      </c>
      <c r="EI128" s="855" t="s">
        <v>504</v>
      </c>
      <c r="EJ128" s="999" t="s">
        <v>504</v>
      </c>
      <c r="EK128" s="999" t="s">
        <v>500</v>
      </c>
      <c r="EL128" s="999" t="s">
        <v>504</v>
      </c>
      <c r="EM128" s="999" t="s">
        <v>504</v>
      </c>
      <c r="EN128" s="999" t="s">
        <v>504</v>
      </c>
      <c r="EO128" s="999" t="s">
        <v>500</v>
      </c>
      <c r="EP128" s="999" t="s">
        <v>504</v>
      </c>
      <c r="EQ128" s="999" t="s">
        <v>504</v>
      </c>
      <c r="ER128" s="999"/>
      <c r="ES128" s="999" t="s">
        <v>504</v>
      </c>
      <c r="ET128" s="999" t="s">
        <v>504</v>
      </c>
      <c r="EU128" s="864"/>
      <c r="EV128" s="864"/>
      <c r="EW128" s="980" t="s">
        <v>504</v>
      </c>
      <c r="EX128" s="864"/>
      <c r="EY128" s="864"/>
      <c r="EZ128" s="864"/>
      <c r="FA128" s="864"/>
      <c r="FB128" s="864"/>
      <c r="FC128" s="864"/>
      <c r="FD128" s="864"/>
      <c r="FE128" s="980" t="s">
        <v>479</v>
      </c>
      <c r="FF128" s="864"/>
      <c r="FG128" s="864"/>
      <c r="FH128" s="864"/>
      <c r="FI128" s="864"/>
      <c r="FJ128" s="864"/>
      <c r="FK128" s="852" t="s">
        <v>500</v>
      </c>
      <c r="FL128" s="852" t="s">
        <v>500</v>
      </c>
      <c r="FM128" s="855"/>
      <c r="FN128" s="980"/>
      <c r="FO128" s="980"/>
      <c r="FP128" s="855" t="s">
        <v>504</v>
      </c>
      <c r="FQ128" s="980"/>
      <c r="FR128" s="864"/>
      <c r="FS128" s="864"/>
      <c r="FT128" s="864"/>
      <c r="FU128" s="864"/>
      <c r="FV128" s="864"/>
      <c r="FW128" s="864"/>
      <c r="FX128" s="864"/>
      <c r="FY128" s="864"/>
      <c r="FZ128" s="864"/>
      <c r="GA128" s="980"/>
      <c r="GB128" s="980" t="s">
        <v>504</v>
      </c>
      <c r="GC128" s="980" t="s">
        <v>504</v>
      </c>
      <c r="GD128" s="980" t="s">
        <v>3387</v>
      </c>
      <c r="GE128" s="980" t="s">
        <v>500</v>
      </c>
      <c r="GF128" s="980"/>
      <c r="GG128" s="980" t="s">
        <v>504</v>
      </c>
      <c r="GH128" s="864"/>
      <c r="GI128" s="864"/>
      <c r="GJ128" s="864"/>
      <c r="GK128" s="864"/>
      <c r="GL128" s="864"/>
      <c r="GM128" s="864"/>
      <c r="GN128" s="864"/>
      <c r="GO128" s="1001"/>
      <c r="GP128" s="1002" t="s">
        <v>500</v>
      </c>
      <c r="GQ128" s="860" t="s">
        <v>504</v>
      </c>
      <c r="GR128" s="864"/>
      <c r="GS128" s="864"/>
      <c r="GT128" s="864"/>
      <c r="GU128" s="864"/>
      <c r="GV128" s="864"/>
      <c r="GW128" s="864"/>
      <c r="GX128" s="864"/>
      <c r="GY128" s="864"/>
      <c r="GZ128" s="864"/>
      <c r="HA128" s="864"/>
      <c r="HB128" s="864"/>
      <c r="HC128" s="864"/>
      <c r="HD128" s="864"/>
      <c r="HE128" s="855" t="s">
        <v>504</v>
      </c>
      <c r="HF128" s="980" t="s">
        <v>504</v>
      </c>
      <c r="HG128" s="864"/>
      <c r="HH128" s="858" t="s">
        <v>504</v>
      </c>
      <c r="HI128" s="980" t="s">
        <v>500</v>
      </c>
      <c r="HJ128" s="980" t="s">
        <v>504</v>
      </c>
      <c r="HK128" s="999" t="s">
        <v>504</v>
      </c>
      <c r="HL128" s="864"/>
      <c r="HM128" s="864"/>
      <c r="HN128" s="864"/>
      <c r="HO128" s="861" t="s">
        <v>504</v>
      </c>
      <c r="HP128" s="980" t="s">
        <v>504</v>
      </c>
      <c r="HQ128" s="980" t="s">
        <v>504</v>
      </c>
      <c r="HR128" s="998" t="s">
        <v>500</v>
      </c>
      <c r="HS128" s="980" t="s">
        <v>504</v>
      </c>
      <c r="HT128" s="980" t="s">
        <v>504</v>
      </c>
      <c r="HU128" s="980" t="s">
        <v>504</v>
      </c>
      <c r="HV128" s="852" t="s">
        <v>504</v>
      </c>
      <c r="HW128" s="980" t="s">
        <v>504</v>
      </c>
      <c r="HX128" s="855" t="s">
        <v>504</v>
      </c>
      <c r="HY128" s="980" t="s">
        <v>504</v>
      </c>
      <c r="HZ128" s="980" t="s">
        <v>504</v>
      </c>
      <c r="IA128" s="855" t="s">
        <v>504</v>
      </c>
      <c r="IB128" s="980" t="s">
        <v>504</v>
      </c>
      <c r="IC128" s="855" t="s">
        <v>504</v>
      </c>
      <c r="ID128" s="980" t="s">
        <v>504</v>
      </c>
      <c r="IE128" s="980" t="s">
        <v>504</v>
      </c>
      <c r="IF128" s="980" t="s">
        <v>504</v>
      </c>
      <c r="IG128" s="998" t="s">
        <v>504</v>
      </c>
      <c r="IH128" s="980" t="s">
        <v>504</v>
      </c>
      <c r="II128" s="980" t="s">
        <v>504</v>
      </c>
      <c r="IJ128" s="998" t="s">
        <v>504</v>
      </c>
      <c r="IK128" s="980" t="s">
        <v>504</v>
      </c>
      <c r="IL128" s="980" t="s">
        <v>504</v>
      </c>
      <c r="IM128" s="980"/>
      <c r="IN128" s="980" t="s">
        <v>504</v>
      </c>
      <c r="IO128" s="864"/>
      <c r="IP128" s="864"/>
      <c r="IQ128" s="864"/>
      <c r="IR128" s="998" t="s">
        <v>500</v>
      </c>
      <c r="IS128" s="980" t="s">
        <v>500</v>
      </c>
      <c r="IT128" s="980" t="s">
        <v>500</v>
      </c>
      <c r="IU128" s="980" t="s">
        <v>500</v>
      </c>
      <c r="IV128" s="980" t="s">
        <v>500</v>
      </c>
      <c r="IW128" s="980" t="s">
        <v>504</v>
      </c>
      <c r="IX128" s="999" t="s">
        <v>500</v>
      </c>
      <c r="IY128" s="855" t="s">
        <v>504</v>
      </c>
      <c r="IZ128" s="980" t="s">
        <v>500</v>
      </c>
      <c r="JA128" s="980" t="s">
        <v>500</v>
      </c>
      <c r="JB128" s="855" t="s">
        <v>500</v>
      </c>
      <c r="JC128" s="980" t="s">
        <v>500</v>
      </c>
      <c r="JD128" s="980" t="s">
        <v>504</v>
      </c>
      <c r="JE128" s="980" t="s">
        <v>500</v>
      </c>
      <c r="JF128" s="999" t="s">
        <v>500</v>
      </c>
      <c r="JG128" s="980" t="s">
        <v>479</v>
      </c>
      <c r="JH128" s="980"/>
      <c r="JI128" s="980" t="s">
        <v>471</v>
      </c>
      <c r="JJ128" s="980" t="s">
        <v>500</v>
      </c>
      <c r="JK128" s="980" t="s">
        <v>504</v>
      </c>
      <c r="JL128" s="980" t="s">
        <v>504</v>
      </c>
      <c r="JM128" s="980" t="s">
        <v>504</v>
      </c>
      <c r="JN128" s="980" t="s">
        <v>504</v>
      </c>
      <c r="JO128" s="980" t="s">
        <v>504</v>
      </c>
      <c r="JP128" s="980" t="s">
        <v>504</v>
      </c>
      <c r="JQ128" s="999" t="s">
        <v>504</v>
      </c>
      <c r="JR128" s="980" t="s">
        <v>504</v>
      </c>
      <c r="JS128" s="980" t="s">
        <v>500</v>
      </c>
      <c r="JT128" s="980" t="s">
        <v>504</v>
      </c>
      <c r="JU128" s="980" t="s">
        <v>500</v>
      </c>
      <c r="JV128" s="980" t="s">
        <v>500</v>
      </c>
      <c r="JW128" s="980" t="s">
        <v>504</v>
      </c>
      <c r="JX128" s="980" t="s">
        <v>504</v>
      </c>
      <c r="JY128" s="980" t="s">
        <v>500</v>
      </c>
      <c r="JZ128" s="980" t="s">
        <v>504</v>
      </c>
      <c r="KA128" s="980" t="s">
        <v>504</v>
      </c>
      <c r="KB128" s="980" t="s">
        <v>500</v>
      </c>
      <c r="KC128" s="980" t="s">
        <v>504</v>
      </c>
      <c r="KD128" s="980" t="s">
        <v>504</v>
      </c>
      <c r="KE128" s="998" t="s">
        <v>500</v>
      </c>
      <c r="KF128" s="998" t="s">
        <v>500</v>
      </c>
      <c r="KG128" s="998" t="s">
        <v>500</v>
      </c>
      <c r="KH128" s="998" t="s">
        <v>500</v>
      </c>
      <c r="KI128" s="998" t="s">
        <v>500</v>
      </c>
      <c r="KJ128" s="998" t="s">
        <v>500</v>
      </c>
      <c r="KK128" s="998" t="s">
        <v>500</v>
      </c>
      <c r="KL128" s="980" t="s">
        <v>504</v>
      </c>
      <c r="KM128" s="864"/>
      <c r="KN128" s="864"/>
      <c r="KO128" s="864"/>
      <c r="KP128" s="864"/>
      <c r="KQ128" s="864"/>
      <c r="KR128" s="980" t="s">
        <v>504</v>
      </c>
      <c r="KS128" s="864"/>
      <c r="KT128" s="980" t="s">
        <v>500</v>
      </c>
      <c r="KU128" s="864"/>
      <c r="KV128" s="980" t="s">
        <v>504</v>
      </c>
      <c r="KW128" s="980" t="s">
        <v>500</v>
      </c>
      <c r="KX128" s="980" t="s">
        <v>504</v>
      </c>
      <c r="KY128" s="858" t="s">
        <v>500</v>
      </c>
      <c r="KZ128" s="980" t="s">
        <v>500</v>
      </c>
      <c r="LA128" s="980" t="s">
        <v>504</v>
      </c>
      <c r="LB128" s="980" t="s">
        <v>504</v>
      </c>
      <c r="LC128" s="980" t="s">
        <v>504</v>
      </c>
      <c r="LD128" s="980" t="s">
        <v>500</v>
      </c>
      <c r="LE128" s="980" t="s">
        <v>500</v>
      </c>
      <c r="LF128" s="858" t="s">
        <v>500</v>
      </c>
      <c r="LG128" s="999" t="s">
        <v>504</v>
      </c>
      <c r="LH128" s="999"/>
      <c r="LI128" s="999"/>
      <c r="LJ128" s="999" t="s">
        <v>504</v>
      </c>
      <c r="LK128" s="999" t="s">
        <v>504</v>
      </c>
      <c r="LL128" s="999"/>
      <c r="LM128" s="999"/>
      <c r="LN128" s="999" t="s">
        <v>500</v>
      </c>
      <c r="LO128" s="999" t="s">
        <v>500</v>
      </c>
      <c r="LP128" s="999" t="s">
        <v>504</v>
      </c>
      <c r="LQ128" s="999"/>
      <c r="LR128" s="999" t="s">
        <v>504</v>
      </c>
      <c r="LS128" s="999" t="s">
        <v>504</v>
      </c>
      <c r="LT128" s="999" t="s">
        <v>504</v>
      </c>
      <c r="LU128" s="999" t="s">
        <v>504</v>
      </c>
      <c r="LV128" s="1006" t="s">
        <v>504</v>
      </c>
      <c r="LW128" s="999" t="s">
        <v>500</v>
      </c>
      <c r="LX128" s="999" t="s">
        <v>504</v>
      </c>
      <c r="LY128" s="999" t="s">
        <v>504</v>
      </c>
    </row>
    <row r="129" spans="1:337" ht="328.35" customHeight="1" x14ac:dyDescent="0.25">
      <c r="A129" s="1584"/>
      <c r="B129" s="1587"/>
      <c r="C129" s="1595"/>
      <c r="D129" s="1598"/>
      <c r="E129" s="840" t="s">
        <v>172</v>
      </c>
      <c r="F129" s="853"/>
      <c r="G129" s="853"/>
      <c r="H129" s="864"/>
      <c r="I129" s="864"/>
      <c r="J129" s="864"/>
      <c r="K129" s="864"/>
      <c r="L129" s="864"/>
      <c r="M129" s="864"/>
      <c r="N129" s="852"/>
      <c r="O129" s="864"/>
      <c r="P129" s="864"/>
      <c r="Q129" s="864"/>
      <c r="R129" s="864"/>
      <c r="S129" s="864"/>
      <c r="T129" s="864"/>
      <c r="U129" s="864"/>
      <c r="V129" s="980" t="s">
        <v>2676</v>
      </c>
      <c r="W129" s="980" t="s">
        <v>2691</v>
      </c>
      <c r="X129" s="980" t="s">
        <v>2702</v>
      </c>
      <c r="Y129" s="980" t="s">
        <v>2702</v>
      </c>
      <c r="Z129" s="980"/>
      <c r="AA129" s="864"/>
      <c r="AB129" s="864"/>
      <c r="AC129" s="864"/>
      <c r="AD129" s="864"/>
      <c r="AE129" s="864"/>
      <c r="AF129" s="864"/>
      <c r="AG129" s="864"/>
      <c r="AH129" s="864"/>
      <c r="AI129" s="864"/>
      <c r="AJ129" s="864"/>
      <c r="AK129" s="864"/>
      <c r="AL129" s="864"/>
      <c r="AM129" s="864"/>
      <c r="AN129" s="864"/>
      <c r="AO129" s="864"/>
      <c r="AP129" s="864"/>
      <c r="AQ129" s="864"/>
      <c r="AR129" s="864"/>
      <c r="AS129" s="864"/>
      <c r="AT129" s="864"/>
      <c r="AU129" s="864"/>
      <c r="AV129" s="855" t="s">
        <v>480</v>
      </c>
      <c r="AW129" s="855" t="s">
        <v>2752</v>
      </c>
      <c r="AX129" s="864"/>
      <c r="AY129" s="864"/>
      <c r="AZ129" s="864"/>
      <c r="BA129" s="852"/>
      <c r="BB129" s="980"/>
      <c r="BC129" s="980"/>
      <c r="BD129" s="980"/>
      <c r="BE129" s="864"/>
      <c r="BF129" s="864"/>
      <c r="BG129" s="864"/>
      <c r="BH129" s="864"/>
      <c r="BI129" s="864"/>
      <c r="BJ129" s="864"/>
      <c r="BK129" s="864"/>
      <c r="BL129" s="864"/>
      <c r="BM129" s="864"/>
      <c r="BN129" s="864"/>
      <c r="BO129" s="864"/>
      <c r="BP129" s="864"/>
      <c r="BQ129" s="864"/>
      <c r="BR129" s="864"/>
      <c r="BS129" s="864"/>
      <c r="BT129" s="980"/>
      <c r="BU129" s="980"/>
      <c r="BV129" s="980"/>
      <c r="BW129" s="980"/>
      <c r="BX129" s="864"/>
      <c r="BY129" s="864"/>
      <c r="BZ129" s="864"/>
      <c r="CA129" s="864"/>
      <c r="CB129" s="864"/>
      <c r="CC129" s="998"/>
      <c r="CD129" s="864"/>
      <c r="CE129" s="864"/>
      <c r="CF129" s="864"/>
      <c r="CG129" s="864"/>
      <c r="CH129" s="864"/>
      <c r="CI129" s="864"/>
      <c r="CJ129" s="864"/>
      <c r="CK129" s="1068" t="s">
        <v>2887</v>
      </c>
      <c r="CL129" s="1040" t="s">
        <v>2900</v>
      </c>
      <c r="CM129" s="864"/>
      <c r="CN129" s="864"/>
      <c r="CO129" s="864"/>
      <c r="CP129" s="864"/>
      <c r="CQ129" s="864"/>
      <c r="CR129" s="864"/>
      <c r="CS129" s="864"/>
      <c r="CT129" s="864"/>
      <c r="CU129" s="864"/>
      <c r="CV129" s="864"/>
      <c r="CW129" s="864"/>
      <c r="CX129" s="864"/>
      <c r="CY129" s="864"/>
      <c r="CZ129" s="864"/>
      <c r="DA129" s="864"/>
      <c r="DB129" s="864"/>
      <c r="DC129" s="864"/>
      <c r="DD129" s="864"/>
      <c r="DE129" s="864"/>
      <c r="DF129" s="980" t="s">
        <v>2915</v>
      </c>
      <c r="DG129" s="864"/>
      <c r="DH129" s="980"/>
      <c r="DI129" s="980"/>
      <c r="DJ129" s="980"/>
      <c r="DK129" s="980" t="s">
        <v>2929</v>
      </c>
      <c r="DL129" s="980" t="s">
        <v>48</v>
      </c>
      <c r="DM129" s="855" t="s">
        <v>2978</v>
      </c>
      <c r="DN129" s="864"/>
      <c r="DO129" s="864"/>
      <c r="DP129" s="980"/>
      <c r="DQ129" s="864"/>
      <c r="DR129" s="864"/>
      <c r="DS129" s="864"/>
      <c r="DT129" s="864"/>
      <c r="DU129" s="864"/>
      <c r="DV129" s="864"/>
      <c r="DW129" s="864"/>
      <c r="DX129" s="864"/>
      <c r="DY129" s="864"/>
      <c r="DZ129" s="864"/>
      <c r="EA129" s="864"/>
      <c r="EB129" s="864"/>
      <c r="EC129" s="864"/>
      <c r="ED129" s="864"/>
      <c r="EE129" s="864"/>
      <c r="EF129" s="980"/>
      <c r="EG129" s="980"/>
      <c r="EH129" s="980" t="s">
        <v>3031</v>
      </c>
      <c r="EI129" s="855"/>
      <c r="EJ129" s="999"/>
      <c r="EK129" s="999" t="s">
        <v>935</v>
      </c>
      <c r="EL129" s="999"/>
      <c r="EM129" s="853"/>
      <c r="EN129" s="999"/>
      <c r="EO129" s="999" t="s">
        <v>1052</v>
      </c>
      <c r="EP129" s="999"/>
      <c r="EQ129" s="999"/>
      <c r="ER129" s="999"/>
      <c r="ES129" s="999"/>
      <c r="ET129" s="999"/>
      <c r="EU129" s="864"/>
      <c r="EV129" s="864"/>
      <c r="EW129" s="980"/>
      <c r="EX129" s="864"/>
      <c r="EY129" s="864"/>
      <c r="EZ129" s="864"/>
      <c r="FA129" s="864"/>
      <c r="FB129" s="864"/>
      <c r="FC129" s="864"/>
      <c r="FD129" s="864"/>
      <c r="FE129" s="980"/>
      <c r="FF129" s="864"/>
      <c r="FG129" s="864"/>
      <c r="FH129" s="864"/>
      <c r="FI129" s="864"/>
      <c r="FJ129" s="864"/>
      <c r="FK129" s="852" t="s">
        <v>3236</v>
      </c>
      <c r="FL129" s="852" t="s">
        <v>3259</v>
      </c>
      <c r="FM129" s="855"/>
      <c r="FN129" s="980"/>
      <c r="FO129" s="980"/>
      <c r="FP129" s="855"/>
      <c r="FQ129" s="980"/>
      <c r="FR129" s="864"/>
      <c r="FS129" s="864"/>
      <c r="FT129" s="864"/>
      <c r="FU129" s="864"/>
      <c r="FV129" s="864"/>
      <c r="FW129" s="864"/>
      <c r="FX129" s="864"/>
      <c r="FY129" s="864"/>
      <c r="FZ129" s="864"/>
      <c r="GA129" s="980" t="s">
        <v>3340</v>
      </c>
      <c r="GB129" s="980"/>
      <c r="GC129" s="980"/>
      <c r="GD129" s="980" t="s">
        <v>935</v>
      </c>
      <c r="GE129" s="980" t="s">
        <v>2929</v>
      </c>
      <c r="GF129" s="980"/>
      <c r="GG129" s="980" t="s">
        <v>465</v>
      </c>
      <c r="GH129" s="864"/>
      <c r="GI129" s="864"/>
      <c r="GJ129" s="864"/>
      <c r="GK129" s="864"/>
      <c r="GL129" s="864"/>
      <c r="GM129" s="864"/>
      <c r="GN129" s="864"/>
      <c r="GO129" s="1001"/>
      <c r="GP129" s="1002" t="s">
        <v>3449</v>
      </c>
      <c r="GQ129" s="867"/>
      <c r="GR129" s="864"/>
      <c r="GS129" s="864"/>
      <c r="GT129" s="864"/>
      <c r="GU129" s="864"/>
      <c r="GV129" s="864"/>
      <c r="GW129" s="864"/>
      <c r="GX129" s="864"/>
      <c r="GY129" s="864"/>
      <c r="GZ129" s="864"/>
      <c r="HA129" s="864"/>
      <c r="HB129" s="864"/>
      <c r="HC129" s="864"/>
      <c r="HD129" s="864"/>
      <c r="HE129" s="855"/>
      <c r="HF129" s="980"/>
      <c r="HG129" s="864"/>
      <c r="HH129" s="858"/>
      <c r="HI129" s="1069" t="s">
        <v>3520</v>
      </c>
      <c r="HJ129" s="980"/>
      <c r="HK129" s="999"/>
      <c r="HL129" s="864"/>
      <c r="HM129" s="864"/>
      <c r="HN129" s="864"/>
      <c r="HO129" s="1004"/>
      <c r="HP129" s="980"/>
      <c r="HQ129" s="980"/>
      <c r="HR129" s="998" t="s">
        <v>3589</v>
      </c>
      <c r="HS129" s="980"/>
      <c r="HT129" s="980"/>
      <c r="HU129" s="980"/>
      <c r="HV129" s="852"/>
      <c r="HW129" s="980"/>
      <c r="HX129" s="980"/>
      <c r="HY129" s="980"/>
      <c r="HZ129" s="980"/>
      <c r="IA129" s="980"/>
      <c r="IB129" s="980"/>
      <c r="IC129" s="980"/>
      <c r="ID129" s="980"/>
      <c r="IE129" s="980"/>
      <c r="IF129" s="980"/>
      <c r="IG129" s="998"/>
      <c r="IH129" s="980"/>
      <c r="II129" s="980" t="s">
        <v>465</v>
      </c>
      <c r="IJ129" s="998"/>
      <c r="IK129" s="980"/>
      <c r="IL129" s="980"/>
      <c r="IM129" s="980"/>
      <c r="IN129" s="980"/>
      <c r="IO129" s="864"/>
      <c r="IP129" s="864"/>
      <c r="IQ129" s="864"/>
      <c r="IR129" s="998" t="s">
        <v>3818</v>
      </c>
      <c r="IS129" s="980" t="s">
        <v>935</v>
      </c>
      <c r="IT129" s="980" t="s">
        <v>3854</v>
      </c>
      <c r="IU129" s="980" t="s">
        <v>3876</v>
      </c>
      <c r="IV129" s="980" t="s">
        <v>3897</v>
      </c>
      <c r="IW129" s="980"/>
      <c r="IX129" s="999" t="s">
        <v>3933</v>
      </c>
      <c r="IY129" s="980"/>
      <c r="IZ129" s="1040" t="s">
        <v>3960</v>
      </c>
      <c r="JA129" s="980" t="s">
        <v>935</v>
      </c>
      <c r="JB129" s="852" t="s">
        <v>3988</v>
      </c>
      <c r="JC129" s="1070" t="s">
        <v>4004</v>
      </c>
      <c r="JD129" s="980"/>
      <c r="JE129" s="980" t="s">
        <v>4037</v>
      </c>
      <c r="JF129" s="980" t="s">
        <v>4056</v>
      </c>
      <c r="JG129" s="980"/>
      <c r="JH129" s="980"/>
      <c r="JI129" s="980" t="s">
        <v>4110</v>
      </c>
      <c r="JJ129" s="980" t="s">
        <v>4127</v>
      </c>
      <c r="JK129" s="980"/>
      <c r="JL129" s="980"/>
      <c r="JM129" s="980"/>
      <c r="JN129" s="980"/>
      <c r="JO129" s="980"/>
      <c r="JP129" s="855"/>
      <c r="JQ129" s="999"/>
      <c r="JR129" s="980"/>
      <c r="JS129" s="1070" t="s">
        <v>4199</v>
      </c>
      <c r="JT129" s="980"/>
      <c r="JU129" s="1070" t="s">
        <v>4217</v>
      </c>
      <c r="JV129" s="980" t="s">
        <v>935</v>
      </c>
      <c r="JW129" s="980"/>
      <c r="JX129" s="980"/>
      <c r="JY129" s="1070" t="s">
        <v>4259</v>
      </c>
      <c r="JZ129" s="980"/>
      <c r="KA129" s="980"/>
      <c r="KB129" s="980" t="s">
        <v>1348</v>
      </c>
      <c r="KC129" s="980"/>
      <c r="KD129" s="980"/>
      <c r="KE129" s="1071" t="s">
        <v>4315</v>
      </c>
      <c r="KF129" s="1071" t="s">
        <v>4325</v>
      </c>
      <c r="KG129" s="1071" t="s">
        <v>4333</v>
      </c>
      <c r="KH129" s="1071" t="s">
        <v>4340</v>
      </c>
      <c r="KI129" s="1071" t="s">
        <v>4346</v>
      </c>
      <c r="KJ129" s="1071" t="s">
        <v>4354</v>
      </c>
      <c r="KK129" s="1071" t="s">
        <v>4361</v>
      </c>
      <c r="KL129" s="980" t="s">
        <v>504</v>
      </c>
      <c r="KM129" s="864"/>
      <c r="KN129" s="864"/>
      <c r="KO129" s="864"/>
      <c r="KP129" s="864"/>
      <c r="KQ129" s="864"/>
      <c r="KR129" s="980"/>
      <c r="KS129" s="864"/>
      <c r="KT129" s="980" t="s">
        <v>4403</v>
      </c>
      <c r="KU129" s="864"/>
      <c r="KV129" s="980"/>
      <c r="KW129" s="980" t="s">
        <v>4448</v>
      </c>
      <c r="KX129" s="980"/>
      <c r="KY129" s="858" t="s">
        <v>796</v>
      </c>
      <c r="KZ129" s="980" t="s">
        <v>4511</v>
      </c>
      <c r="LA129" s="980"/>
      <c r="LB129" s="980"/>
      <c r="LC129" s="980"/>
      <c r="LD129" s="980" t="s">
        <v>4562</v>
      </c>
      <c r="LE129" s="980" t="s">
        <v>4569</v>
      </c>
      <c r="LF129" s="938" t="s">
        <v>4587</v>
      </c>
      <c r="LG129" s="999"/>
      <c r="LH129" s="999"/>
      <c r="LI129" s="999"/>
      <c r="LJ129" s="999"/>
      <c r="LK129" s="999"/>
      <c r="LL129" s="999"/>
      <c r="LM129" s="999"/>
      <c r="LN129" s="999" t="s">
        <v>4677</v>
      </c>
      <c r="LO129" s="1072" t="s">
        <v>4686</v>
      </c>
      <c r="LP129" s="999"/>
      <c r="LQ129" s="999"/>
      <c r="LR129" s="999"/>
      <c r="LS129" s="999"/>
      <c r="LT129" s="999"/>
      <c r="LU129" s="999"/>
      <c r="LV129" s="1006"/>
      <c r="LW129" s="999"/>
      <c r="LX129" s="999"/>
      <c r="LY129" s="999"/>
    </row>
    <row r="130" spans="1:337" ht="32.25" thickBot="1" x14ac:dyDescent="0.3">
      <c r="A130" s="1584"/>
      <c r="B130" s="1587"/>
      <c r="C130" s="1596"/>
      <c r="D130" s="1599"/>
      <c r="E130" s="836" t="s">
        <v>174</v>
      </c>
      <c r="F130" s="853"/>
      <c r="G130" s="853"/>
      <c r="H130" s="864"/>
      <c r="I130" s="864"/>
      <c r="J130" s="864"/>
      <c r="K130" s="864"/>
      <c r="L130" s="864"/>
      <c r="M130" s="864"/>
      <c r="N130" s="852"/>
      <c r="O130" s="864"/>
      <c r="P130" s="864"/>
      <c r="Q130" s="864"/>
      <c r="R130" s="864"/>
      <c r="S130" s="864"/>
      <c r="T130" s="864"/>
      <c r="U130" s="864"/>
      <c r="V130" s="980">
        <v>9</v>
      </c>
      <c r="W130" s="980">
        <v>7</v>
      </c>
      <c r="X130" s="980">
        <v>7</v>
      </c>
      <c r="Y130" s="980">
        <v>7</v>
      </c>
      <c r="Z130" s="980"/>
      <c r="AA130" s="864"/>
      <c r="AB130" s="864"/>
      <c r="AC130" s="864"/>
      <c r="AD130" s="864"/>
      <c r="AE130" s="864"/>
      <c r="AF130" s="864"/>
      <c r="AG130" s="864"/>
      <c r="AH130" s="864"/>
      <c r="AI130" s="864"/>
      <c r="AJ130" s="864"/>
      <c r="AK130" s="864"/>
      <c r="AL130" s="864"/>
      <c r="AM130" s="864"/>
      <c r="AN130" s="864"/>
      <c r="AO130" s="864"/>
      <c r="AP130" s="864"/>
      <c r="AQ130" s="864"/>
      <c r="AR130" s="864"/>
      <c r="AS130" s="864"/>
      <c r="AT130" s="864"/>
      <c r="AU130" s="864"/>
      <c r="AV130" s="980">
        <v>6</v>
      </c>
      <c r="AW130" s="980">
        <v>8</v>
      </c>
      <c r="AX130" s="864"/>
      <c r="AY130" s="864"/>
      <c r="AZ130" s="864"/>
      <c r="BA130" s="852"/>
      <c r="BB130" s="980"/>
      <c r="BC130" s="980"/>
      <c r="BD130" s="980"/>
      <c r="BE130" s="864"/>
      <c r="BF130" s="864"/>
      <c r="BG130" s="864"/>
      <c r="BH130" s="864"/>
      <c r="BI130" s="864"/>
      <c r="BJ130" s="864"/>
      <c r="BK130" s="864"/>
      <c r="BL130" s="864"/>
      <c r="BM130" s="864"/>
      <c r="BN130" s="864"/>
      <c r="BO130" s="864"/>
      <c r="BP130" s="864"/>
      <c r="BQ130" s="864"/>
      <c r="BR130" s="864"/>
      <c r="BS130" s="864"/>
      <c r="BT130" s="980"/>
      <c r="BU130" s="980"/>
      <c r="BV130" s="980"/>
      <c r="BW130" s="980"/>
      <c r="BX130" s="864"/>
      <c r="BY130" s="864"/>
      <c r="BZ130" s="864"/>
      <c r="CA130" s="864"/>
      <c r="CB130" s="864"/>
      <c r="CC130" s="998"/>
      <c r="CD130" s="864"/>
      <c r="CE130" s="864"/>
      <c r="CF130" s="864"/>
      <c r="CG130" s="864"/>
      <c r="CH130" s="864"/>
      <c r="CI130" s="864"/>
      <c r="CJ130" s="864"/>
      <c r="CK130" s="980">
        <v>7</v>
      </c>
      <c r="CL130" s="980">
        <v>8</v>
      </c>
      <c r="CM130" s="864"/>
      <c r="CN130" s="864"/>
      <c r="CO130" s="864"/>
      <c r="CP130" s="864"/>
      <c r="CQ130" s="864"/>
      <c r="CR130" s="864"/>
      <c r="CS130" s="864"/>
      <c r="CT130" s="864"/>
      <c r="CU130" s="864"/>
      <c r="CV130" s="864"/>
      <c r="CW130" s="864"/>
      <c r="CX130" s="864"/>
      <c r="CY130" s="864"/>
      <c r="CZ130" s="864"/>
      <c r="DA130" s="864"/>
      <c r="DB130" s="864"/>
      <c r="DC130" s="864"/>
      <c r="DD130" s="864"/>
      <c r="DE130" s="864"/>
      <c r="DF130" s="980" t="s">
        <v>2916</v>
      </c>
      <c r="DG130" s="864"/>
      <c r="DH130" s="980"/>
      <c r="DI130" s="980"/>
      <c r="DJ130" s="980"/>
      <c r="DK130" s="980">
        <v>10</v>
      </c>
      <c r="DL130" s="980">
        <v>21</v>
      </c>
      <c r="DM130" s="980">
        <v>5</v>
      </c>
      <c r="DN130" s="864"/>
      <c r="DO130" s="864"/>
      <c r="DP130" s="980"/>
      <c r="DQ130" s="864"/>
      <c r="DR130" s="864"/>
      <c r="DS130" s="864"/>
      <c r="DT130" s="864"/>
      <c r="DU130" s="864"/>
      <c r="DV130" s="864"/>
      <c r="DW130" s="864"/>
      <c r="DX130" s="864"/>
      <c r="DY130" s="864"/>
      <c r="DZ130" s="864"/>
      <c r="EA130" s="864"/>
      <c r="EB130" s="864"/>
      <c r="EC130" s="864"/>
      <c r="ED130" s="864"/>
      <c r="EE130" s="864"/>
      <c r="EF130" s="980"/>
      <c r="EG130" s="980"/>
      <c r="EH130" s="980">
        <v>5</v>
      </c>
      <c r="EI130" s="855"/>
      <c r="EJ130" s="999"/>
      <c r="EK130" s="999">
        <v>5</v>
      </c>
      <c r="EL130" s="999"/>
      <c r="EM130" s="853"/>
      <c r="EN130" s="999"/>
      <c r="EO130" s="999">
        <v>5</v>
      </c>
      <c r="EP130" s="999"/>
      <c r="EQ130" s="999"/>
      <c r="ER130" s="999"/>
      <c r="ES130" s="999"/>
      <c r="ET130" s="999"/>
      <c r="EU130" s="864"/>
      <c r="EV130" s="864"/>
      <c r="EW130" s="980"/>
      <c r="EX130" s="864"/>
      <c r="EY130" s="864"/>
      <c r="EZ130" s="864"/>
      <c r="FA130" s="864"/>
      <c r="FB130" s="864"/>
      <c r="FC130" s="864"/>
      <c r="FD130" s="864"/>
      <c r="FE130" s="980"/>
      <c r="FF130" s="864"/>
      <c r="FG130" s="864"/>
      <c r="FH130" s="864"/>
      <c r="FI130" s="864"/>
      <c r="FJ130" s="864"/>
      <c r="FK130" s="1000">
        <v>9</v>
      </c>
      <c r="FL130" s="980"/>
      <c r="FM130" s="855"/>
      <c r="FN130" s="980"/>
      <c r="FO130" s="980"/>
      <c r="FP130" s="980"/>
      <c r="FQ130" s="980"/>
      <c r="FR130" s="864"/>
      <c r="FS130" s="864"/>
      <c r="FT130" s="864"/>
      <c r="FU130" s="864"/>
      <c r="FV130" s="864"/>
      <c r="FW130" s="864"/>
      <c r="FX130" s="864"/>
      <c r="FY130" s="864"/>
      <c r="FZ130" s="864"/>
      <c r="GA130" s="980" t="s">
        <v>3341</v>
      </c>
      <c r="GB130" s="980"/>
      <c r="GC130" s="980"/>
      <c r="GD130" s="980">
        <v>8</v>
      </c>
      <c r="GE130" s="980">
        <v>9</v>
      </c>
      <c r="GF130" s="980"/>
      <c r="GG130" s="980" t="s">
        <v>465</v>
      </c>
      <c r="GH130" s="864"/>
      <c r="GI130" s="864"/>
      <c r="GJ130" s="864"/>
      <c r="GK130" s="864"/>
      <c r="GL130" s="864"/>
      <c r="GM130" s="864"/>
      <c r="GN130" s="864"/>
      <c r="GO130" s="1001"/>
      <c r="GP130" s="866" t="s">
        <v>504</v>
      </c>
      <c r="GQ130" s="867"/>
      <c r="GR130" s="864"/>
      <c r="GS130" s="864"/>
      <c r="GT130" s="864"/>
      <c r="GU130" s="864"/>
      <c r="GV130" s="864"/>
      <c r="GW130" s="864"/>
      <c r="GX130" s="864"/>
      <c r="GY130" s="864"/>
      <c r="GZ130" s="864"/>
      <c r="HA130" s="864"/>
      <c r="HB130" s="864"/>
      <c r="HC130" s="864"/>
      <c r="HD130" s="864"/>
      <c r="HE130" s="980"/>
      <c r="HF130" s="980"/>
      <c r="HG130" s="864"/>
      <c r="HH130" s="999"/>
      <c r="HI130" s="980">
        <v>10</v>
      </c>
      <c r="HJ130" s="980"/>
      <c r="HK130" s="999"/>
      <c r="HL130" s="864"/>
      <c r="HM130" s="864"/>
      <c r="HN130" s="864"/>
      <c r="HO130" s="1004"/>
      <c r="HP130" s="980"/>
      <c r="HQ130" s="980"/>
      <c r="HR130" s="998">
        <v>3</v>
      </c>
      <c r="HS130" s="980"/>
      <c r="HT130" s="980"/>
      <c r="HU130" s="980"/>
      <c r="HV130" s="852"/>
      <c r="HW130" s="980"/>
      <c r="HX130" s="980"/>
      <c r="HY130" s="980"/>
      <c r="HZ130" s="980"/>
      <c r="IA130" s="980"/>
      <c r="IB130" s="980"/>
      <c r="IC130" s="980"/>
      <c r="ID130" s="980"/>
      <c r="IE130" s="980"/>
      <c r="IF130" s="980"/>
      <c r="IG130" s="998"/>
      <c r="IH130" s="980"/>
      <c r="II130" s="980" t="s">
        <v>465</v>
      </c>
      <c r="IJ130" s="998"/>
      <c r="IK130" s="980"/>
      <c r="IL130" s="980"/>
      <c r="IM130" s="980"/>
      <c r="IN130" s="980"/>
      <c r="IO130" s="864"/>
      <c r="IP130" s="864"/>
      <c r="IQ130" s="864"/>
      <c r="IR130" s="998">
        <v>12</v>
      </c>
      <c r="IS130" s="980">
        <v>5</v>
      </c>
      <c r="IT130" s="980">
        <v>24</v>
      </c>
      <c r="IU130" s="980">
        <v>49</v>
      </c>
      <c r="IV130" s="980">
        <v>16</v>
      </c>
      <c r="IW130" s="980"/>
      <c r="IX130" s="999">
        <v>21</v>
      </c>
      <c r="IY130" s="980"/>
      <c r="IZ130" s="980">
        <v>12</v>
      </c>
      <c r="JA130" s="980">
        <v>20</v>
      </c>
      <c r="JB130" s="980">
        <v>12</v>
      </c>
      <c r="JC130" s="980">
        <v>7</v>
      </c>
      <c r="JD130" s="980"/>
      <c r="JE130" s="980">
        <v>30</v>
      </c>
      <c r="JF130" s="999">
        <v>10</v>
      </c>
      <c r="JG130" s="980"/>
      <c r="JH130" s="980"/>
      <c r="JI130" s="980">
        <v>9</v>
      </c>
      <c r="JJ130" s="980">
        <v>10</v>
      </c>
      <c r="JK130" s="980"/>
      <c r="JL130" s="980"/>
      <c r="JM130" s="980"/>
      <c r="JN130" s="980"/>
      <c r="JO130" s="980"/>
      <c r="JP130" s="855"/>
      <c r="JQ130" s="999"/>
      <c r="JR130" s="980"/>
      <c r="JS130" s="980">
        <v>10</v>
      </c>
      <c r="JT130" s="980"/>
      <c r="JU130" s="980">
        <v>7</v>
      </c>
      <c r="JV130" s="980">
        <v>8</v>
      </c>
      <c r="JW130" s="980"/>
      <c r="JX130" s="980"/>
      <c r="JY130" s="980">
        <v>25</v>
      </c>
      <c r="JZ130" s="980"/>
      <c r="KA130" s="980"/>
      <c r="KB130" s="980">
        <v>14</v>
      </c>
      <c r="KC130" s="980"/>
      <c r="KD130" s="980"/>
      <c r="KE130" s="998">
        <v>7</v>
      </c>
      <c r="KF130" s="998">
        <v>6</v>
      </c>
      <c r="KG130" s="998">
        <v>6</v>
      </c>
      <c r="KH130" s="998">
        <v>6</v>
      </c>
      <c r="KI130" s="998">
        <v>6</v>
      </c>
      <c r="KJ130" s="998">
        <v>6</v>
      </c>
      <c r="KK130" s="998">
        <v>6</v>
      </c>
      <c r="KL130" s="980"/>
      <c r="KM130" s="864"/>
      <c r="KN130" s="864"/>
      <c r="KO130" s="864"/>
      <c r="KP130" s="864"/>
      <c r="KQ130" s="864"/>
      <c r="KR130" s="980"/>
      <c r="KS130" s="864"/>
      <c r="KT130" s="980">
        <v>10</v>
      </c>
      <c r="KU130" s="864"/>
      <c r="KV130" s="980"/>
      <c r="KW130" s="980">
        <v>14</v>
      </c>
      <c r="KX130" s="980"/>
      <c r="KY130" s="858">
        <v>8</v>
      </c>
      <c r="KZ130" s="980">
        <v>18</v>
      </c>
      <c r="LA130" s="980"/>
      <c r="LB130" s="980"/>
      <c r="LC130" s="980"/>
      <c r="LD130" s="980"/>
      <c r="LE130" s="980">
        <v>5</v>
      </c>
      <c r="LF130" s="858">
        <v>12</v>
      </c>
      <c r="LG130" s="999"/>
      <c r="LH130" s="999"/>
      <c r="LI130" s="999"/>
      <c r="LJ130" s="999"/>
      <c r="LK130" s="999"/>
      <c r="LL130" s="999"/>
      <c r="LM130" s="999"/>
      <c r="LN130" s="999">
        <v>10</v>
      </c>
      <c r="LO130" s="999">
        <v>4</v>
      </c>
      <c r="LP130" s="999"/>
      <c r="LQ130" s="999"/>
      <c r="LR130" s="999"/>
      <c r="LS130" s="999"/>
      <c r="LT130" s="999"/>
      <c r="LU130" s="999"/>
      <c r="LV130" s="1006"/>
      <c r="LW130" s="999">
        <v>9</v>
      </c>
      <c r="LX130" s="999"/>
      <c r="LY130" s="999"/>
    </row>
    <row r="131" spans="1:337" ht="47.25" x14ac:dyDescent="0.25">
      <c r="A131" s="1584"/>
      <c r="B131" s="1587"/>
      <c r="C131" s="1594" t="s">
        <v>246</v>
      </c>
      <c r="D131" s="1601" t="s">
        <v>146</v>
      </c>
      <c r="E131" s="849" t="s">
        <v>171</v>
      </c>
      <c r="F131" s="853"/>
      <c r="G131" s="853"/>
      <c r="H131" s="864"/>
      <c r="I131" s="864"/>
      <c r="J131" s="864"/>
      <c r="K131" s="864"/>
      <c r="L131" s="864"/>
      <c r="M131" s="864"/>
      <c r="N131" s="852"/>
      <c r="O131" s="864"/>
      <c r="P131" s="864"/>
      <c r="Q131" s="864"/>
      <c r="R131" s="864"/>
      <c r="S131" s="864"/>
      <c r="T131" s="864"/>
      <c r="U131" s="864"/>
      <c r="V131" s="855" t="s">
        <v>479</v>
      </c>
      <c r="W131" s="855" t="s">
        <v>479</v>
      </c>
      <c r="X131" s="855" t="s">
        <v>479</v>
      </c>
      <c r="Y131" s="855" t="s">
        <v>479</v>
      </c>
      <c r="Z131" s="855" t="s">
        <v>504</v>
      </c>
      <c r="AA131" s="864"/>
      <c r="AB131" s="864"/>
      <c r="AC131" s="864"/>
      <c r="AD131" s="864"/>
      <c r="AE131" s="864"/>
      <c r="AF131" s="864"/>
      <c r="AG131" s="864"/>
      <c r="AH131" s="864"/>
      <c r="AI131" s="864"/>
      <c r="AJ131" s="864"/>
      <c r="AK131" s="864"/>
      <c r="AL131" s="864"/>
      <c r="AM131" s="864"/>
      <c r="AN131" s="864"/>
      <c r="AO131" s="864"/>
      <c r="AP131" s="864"/>
      <c r="AQ131" s="864"/>
      <c r="AR131" s="864"/>
      <c r="AS131" s="864"/>
      <c r="AT131" s="864"/>
      <c r="AU131" s="864"/>
      <c r="AV131" s="855" t="s">
        <v>504</v>
      </c>
      <c r="AW131" s="855" t="s">
        <v>504</v>
      </c>
      <c r="AX131" s="864"/>
      <c r="AY131" s="864"/>
      <c r="AZ131" s="864"/>
      <c r="BA131" s="852"/>
      <c r="BB131" s="980" t="s">
        <v>504</v>
      </c>
      <c r="BC131" s="855"/>
      <c r="BD131" s="980"/>
      <c r="BE131" s="864"/>
      <c r="BF131" s="864"/>
      <c r="BG131" s="864"/>
      <c r="BH131" s="864"/>
      <c r="BI131" s="864"/>
      <c r="BJ131" s="864"/>
      <c r="BK131" s="864"/>
      <c r="BL131" s="864"/>
      <c r="BM131" s="864"/>
      <c r="BN131" s="864"/>
      <c r="BO131" s="864"/>
      <c r="BP131" s="864"/>
      <c r="BQ131" s="864"/>
      <c r="BR131" s="864"/>
      <c r="BS131" s="864"/>
      <c r="BT131" s="855" t="s">
        <v>504</v>
      </c>
      <c r="BU131" s="855"/>
      <c r="BV131" s="855" t="s">
        <v>504</v>
      </c>
      <c r="BW131" s="855"/>
      <c r="BX131" s="864"/>
      <c r="BY131" s="864"/>
      <c r="BZ131" s="864"/>
      <c r="CA131" s="864"/>
      <c r="CB131" s="864"/>
      <c r="CC131" s="862"/>
      <c r="CD131" s="864"/>
      <c r="CE131" s="864"/>
      <c r="CF131" s="864"/>
      <c r="CG131" s="864"/>
      <c r="CH131" s="864"/>
      <c r="CI131" s="864"/>
      <c r="CJ131" s="864"/>
      <c r="CK131" s="855"/>
      <c r="CL131" s="855"/>
      <c r="CM131" s="864"/>
      <c r="CN131" s="864"/>
      <c r="CO131" s="864"/>
      <c r="CP131" s="864"/>
      <c r="CQ131" s="864"/>
      <c r="CR131" s="864"/>
      <c r="CS131" s="864"/>
      <c r="CT131" s="864"/>
      <c r="CU131" s="864"/>
      <c r="CV131" s="864"/>
      <c r="CW131" s="864"/>
      <c r="CX131" s="864"/>
      <c r="CY131" s="864"/>
      <c r="CZ131" s="864"/>
      <c r="DA131" s="864"/>
      <c r="DB131" s="864"/>
      <c r="DC131" s="864"/>
      <c r="DD131" s="864"/>
      <c r="DE131" s="864"/>
      <c r="DF131" s="855"/>
      <c r="DG131" s="864"/>
      <c r="DH131" s="855" t="s">
        <v>500</v>
      </c>
      <c r="DI131" s="855"/>
      <c r="DJ131" s="855"/>
      <c r="DK131" s="855" t="s">
        <v>504</v>
      </c>
      <c r="DL131" s="855" t="s">
        <v>504</v>
      </c>
      <c r="DM131" s="855"/>
      <c r="DN131" s="864"/>
      <c r="DO131" s="864"/>
      <c r="DP131" s="855"/>
      <c r="DQ131" s="864"/>
      <c r="DR131" s="864"/>
      <c r="DS131" s="864"/>
      <c r="DT131" s="864"/>
      <c r="DU131" s="864"/>
      <c r="DV131" s="864"/>
      <c r="DW131" s="864"/>
      <c r="DX131" s="864"/>
      <c r="DY131" s="864"/>
      <c r="DZ131" s="864"/>
      <c r="EA131" s="864"/>
      <c r="EB131" s="864"/>
      <c r="EC131" s="864"/>
      <c r="ED131" s="864"/>
      <c r="EE131" s="864"/>
      <c r="EF131" s="855"/>
      <c r="EG131" s="855" t="s">
        <v>504</v>
      </c>
      <c r="EH131" s="855" t="s">
        <v>504</v>
      </c>
      <c r="EI131" s="855" t="s">
        <v>504</v>
      </c>
      <c r="EJ131" s="858" t="s">
        <v>500</v>
      </c>
      <c r="EK131" s="858" t="s">
        <v>504</v>
      </c>
      <c r="EL131" s="999" t="s">
        <v>504</v>
      </c>
      <c r="EM131" s="999" t="s">
        <v>504</v>
      </c>
      <c r="EN131" s="858"/>
      <c r="EO131" s="858" t="s">
        <v>504</v>
      </c>
      <c r="EP131" s="858" t="s">
        <v>504</v>
      </c>
      <c r="EQ131" s="858" t="s">
        <v>504</v>
      </c>
      <c r="ER131" s="858"/>
      <c r="ES131" s="858"/>
      <c r="ET131" s="858" t="s">
        <v>504</v>
      </c>
      <c r="EU131" s="864"/>
      <c r="EV131" s="864"/>
      <c r="EW131" s="855" t="s">
        <v>500</v>
      </c>
      <c r="EX131" s="864"/>
      <c r="EY131" s="864"/>
      <c r="EZ131" s="864"/>
      <c r="FA131" s="864"/>
      <c r="FB131" s="864"/>
      <c r="FC131" s="864"/>
      <c r="FD131" s="864"/>
      <c r="FE131" s="855"/>
      <c r="FF131" s="864"/>
      <c r="FG131" s="864"/>
      <c r="FH131" s="864"/>
      <c r="FI131" s="864"/>
      <c r="FJ131" s="864"/>
      <c r="FK131" s="852" t="s">
        <v>504</v>
      </c>
      <c r="FL131" s="855" t="s">
        <v>504</v>
      </c>
      <c r="FM131" s="855" t="s">
        <v>500</v>
      </c>
      <c r="FN131" s="855"/>
      <c r="FO131" s="855"/>
      <c r="FP131" s="855" t="s">
        <v>504</v>
      </c>
      <c r="FQ131" s="855"/>
      <c r="FR131" s="864"/>
      <c r="FS131" s="864"/>
      <c r="FT131" s="864"/>
      <c r="FU131" s="864"/>
      <c r="FV131" s="864"/>
      <c r="FW131" s="864"/>
      <c r="FX131" s="864"/>
      <c r="FY131" s="864"/>
      <c r="FZ131" s="864"/>
      <c r="GA131" s="855" t="s">
        <v>504</v>
      </c>
      <c r="GB131" s="855" t="s">
        <v>504</v>
      </c>
      <c r="GC131" s="855" t="s">
        <v>3368</v>
      </c>
      <c r="GD131" s="855" t="s">
        <v>504</v>
      </c>
      <c r="GE131" s="855"/>
      <c r="GF131" s="855"/>
      <c r="GG131" s="855" t="s">
        <v>504</v>
      </c>
      <c r="GH131" s="864"/>
      <c r="GI131" s="864"/>
      <c r="GJ131" s="864"/>
      <c r="GK131" s="864"/>
      <c r="GL131" s="864"/>
      <c r="GM131" s="864"/>
      <c r="GN131" s="864"/>
      <c r="GO131" s="859" t="s">
        <v>504</v>
      </c>
      <c r="GP131" s="866" t="s">
        <v>504</v>
      </c>
      <c r="GQ131" s="860" t="s">
        <v>504</v>
      </c>
      <c r="GR131" s="864"/>
      <c r="GS131" s="864"/>
      <c r="GT131" s="864"/>
      <c r="GU131" s="864"/>
      <c r="GV131" s="864"/>
      <c r="GW131" s="864"/>
      <c r="GX131" s="864"/>
      <c r="GY131" s="864"/>
      <c r="GZ131" s="864"/>
      <c r="HA131" s="864"/>
      <c r="HB131" s="864"/>
      <c r="HC131" s="864"/>
      <c r="HD131" s="864"/>
      <c r="HE131" s="855" t="s">
        <v>504</v>
      </c>
      <c r="HF131" s="855" t="s">
        <v>504</v>
      </c>
      <c r="HG131" s="864"/>
      <c r="HH131" s="858" t="s">
        <v>504</v>
      </c>
      <c r="HI131" s="855" t="s">
        <v>504</v>
      </c>
      <c r="HJ131" s="855" t="s">
        <v>504</v>
      </c>
      <c r="HK131" s="858" t="s">
        <v>504</v>
      </c>
      <c r="HL131" s="864"/>
      <c r="HM131" s="864"/>
      <c r="HN131" s="864"/>
      <c r="HO131" s="861" t="s">
        <v>504</v>
      </c>
      <c r="HP131" s="855" t="s">
        <v>504</v>
      </c>
      <c r="HQ131" s="855" t="s">
        <v>504</v>
      </c>
      <c r="HR131" s="862" t="s">
        <v>504</v>
      </c>
      <c r="HS131" s="855" t="s">
        <v>504</v>
      </c>
      <c r="HT131" s="855" t="s">
        <v>504</v>
      </c>
      <c r="HU131" s="855" t="s">
        <v>504</v>
      </c>
      <c r="HV131" s="852" t="s">
        <v>504</v>
      </c>
      <c r="HW131" s="855" t="s">
        <v>504</v>
      </c>
      <c r="HX131" s="855" t="s">
        <v>504</v>
      </c>
      <c r="HY131" s="855" t="s">
        <v>504</v>
      </c>
      <c r="HZ131" s="855" t="s">
        <v>504</v>
      </c>
      <c r="IA131" s="855" t="s">
        <v>504</v>
      </c>
      <c r="IB131" s="855" t="s">
        <v>504</v>
      </c>
      <c r="IC131" s="855" t="s">
        <v>504</v>
      </c>
      <c r="ID131" s="855" t="s">
        <v>504</v>
      </c>
      <c r="IE131" s="855"/>
      <c r="IF131" s="855" t="s">
        <v>504</v>
      </c>
      <c r="IG131" s="862" t="s">
        <v>504</v>
      </c>
      <c r="IH131" s="855" t="s">
        <v>504</v>
      </c>
      <c r="II131" s="855" t="s">
        <v>504</v>
      </c>
      <c r="IJ131" s="862" t="s">
        <v>504</v>
      </c>
      <c r="IK131" s="855" t="s">
        <v>504</v>
      </c>
      <c r="IL131" s="855" t="s">
        <v>504</v>
      </c>
      <c r="IM131" s="855"/>
      <c r="IN131" s="855" t="s">
        <v>504</v>
      </c>
      <c r="IO131" s="864"/>
      <c r="IP131" s="864"/>
      <c r="IQ131" s="864"/>
      <c r="IR131" s="862" t="s">
        <v>504</v>
      </c>
      <c r="IS131" s="855"/>
      <c r="IT131" s="855" t="s">
        <v>504</v>
      </c>
      <c r="IU131" s="855" t="s">
        <v>504</v>
      </c>
      <c r="IV131" s="855" t="s">
        <v>504</v>
      </c>
      <c r="IW131" s="855" t="s">
        <v>504</v>
      </c>
      <c r="IX131" s="858"/>
      <c r="IY131" s="855" t="s">
        <v>504</v>
      </c>
      <c r="IZ131" s="855" t="s">
        <v>504</v>
      </c>
      <c r="JA131" s="855">
        <v>0</v>
      </c>
      <c r="JB131" s="855" t="s">
        <v>465</v>
      </c>
      <c r="JC131" s="855"/>
      <c r="JD131" s="855" t="s">
        <v>504</v>
      </c>
      <c r="JE131" s="855" t="s">
        <v>504</v>
      </c>
      <c r="JF131" s="855"/>
      <c r="JG131" s="855" t="s">
        <v>479</v>
      </c>
      <c r="JH131" s="855"/>
      <c r="JI131" s="855" t="s">
        <v>479</v>
      </c>
      <c r="JJ131" s="855" t="s">
        <v>504</v>
      </c>
      <c r="JK131" s="855" t="s">
        <v>504</v>
      </c>
      <c r="JL131" s="855" t="s">
        <v>504</v>
      </c>
      <c r="JM131" s="855" t="s">
        <v>504</v>
      </c>
      <c r="JN131" s="855" t="s">
        <v>504</v>
      </c>
      <c r="JO131" s="855" t="s">
        <v>504</v>
      </c>
      <c r="JP131" s="980" t="s">
        <v>504</v>
      </c>
      <c r="JQ131" s="858" t="s">
        <v>504</v>
      </c>
      <c r="JR131" s="855" t="s">
        <v>504</v>
      </c>
      <c r="JS131" s="855"/>
      <c r="JT131" s="855"/>
      <c r="JU131" s="855"/>
      <c r="JV131" s="855"/>
      <c r="JW131" s="855"/>
      <c r="JX131" s="855"/>
      <c r="JY131" s="855"/>
      <c r="JZ131" s="855"/>
      <c r="KA131" s="855"/>
      <c r="KB131" s="855"/>
      <c r="KC131" s="855"/>
      <c r="KD131" s="855" t="s">
        <v>504</v>
      </c>
      <c r="KE131" s="862" t="s">
        <v>504</v>
      </c>
      <c r="KF131" s="862" t="s">
        <v>504</v>
      </c>
      <c r="KG131" s="862" t="s">
        <v>504</v>
      </c>
      <c r="KH131" s="862" t="s">
        <v>504</v>
      </c>
      <c r="KI131" s="862" t="s">
        <v>504</v>
      </c>
      <c r="KJ131" s="862" t="s">
        <v>504</v>
      </c>
      <c r="KK131" s="862" t="s">
        <v>504</v>
      </c>
      <c r="KL131" s="855" t="s">
        <v>504</v>
      </c>
      <c r="KM131" s="864"/>
      <c r="KN131" s="864"/>
      <c r="KO131" s="864"/>
      <c r="KP131" s="864"/>
      <c r="KQ131" s="864"/>
      <c r="KR131" s="855" t="s">
        <v>504</v>
      </c>
      <c r="KS131" s="864"/>
      <c r="KT131" s="855" t="s">
        <v>504</v>
      </c>
      <c r="KU131" s="864"/>
      <c r="KV131" s="855" t="s">
        <v>504</v>
      </c>
      <c r="KW131" s="855"/>
      <c r="KX131" s="855" t="s">
        <v>504</v>
      </c>
      <c r="KY131" s="858" t="s">
        <v>656</v>
      </c>
      <c r="KZ131" s="855"/>
      <c r="LA131" s="852" t="s">
        <v>500</v>
      </c>
      <c r="LB131" s="855" t="s">
        <v>504</v>
      </c>
      <c r="LC131" s="855" t="s">
        <v>504</v>
      </c>
      <c r="LD131" s="855" t="s">
        <v>504</v>
      </c>
      <c r="LE131" s="855" t="s">
        <v>504</v>
      </c>
      <c r="LF131" s="858" t="s">
        <v>504</v>
      </c>
      <c r="LG131" s="858"/>
      <c r="LH131" s="858"/>
      <c r="LI131" s="858"/>
      <c r="LJ131" s="858" t="s">
        <v>504</v>
      </c>
      <c r="LK131" s="858"/>
      <c r="LL131" s="858"/>
      <c r="LM131" s="858"/>
      <c r="LN131" s="858" t="s">
        <v>504</v>
      </c>
      <c r="LO131" s="858"/>
      <c r="LP131" s="858" t="s">
        <v>504</v>
      </c>
      <c r="LQ131" s="858"/>
      <c r="LR131" s="858" t="s">
        <v>504</v>
      </c>
      <c r="LS131" s="858" t="s">
        <v>504</v>
      </c>
      <c r="LT131" s="858" t="s">
        <v>504</v>
      </c>
      <c r="LU131" s="858"/>
      <c r="LV131" s="909"/>
      <c r="LW131" s="858"/>
      <c r="LX131" s="858"/>
      <c r="LY131" s="858"/>
    </row>
    <row r="132" spans="1:337" ht="299.25" x14ac:dyDescent="0.25">
      <c r="A132" s="1584"/>
      <c r="B132" s="1587"/>
      <c r="C132" s="1600"/>
      <c r="D132" s="1602"/>
      <c r="E132" s="847" t="s">
        <v>172</v>
      </c>
      <c r="F132" s="853"/>
      <c r="G132" s="853"/>
      <c r="H132" s="864"/>
      <c r="I132" s="864"/>
      <c r="J132" s="864"/>
      <c r="K132" s="864"/>
      <c r="L132" s="864"/>
      <c r="M132" s="864"/>
      <c r="N132" s="852"/>
      <c r="O132" s="864"/>
      <c r="P132" s="864"/>
      <c r="Q132" s="864"/>
      <c r="R132" s="864"/>
      <c r="S132" s="864"/>
      <c r="T132" s="864"/>
      <c r="U132" s="864"/>
      <c r="V132" s="855" t="s">
        <v>465</v>
      </c>
      <c r="W132" s="855"/>
      <c r="X132" s="855" t="s">
        <v>465</v>
      </c>
      <c r="Y132" s="855" t="s">
        <v>465</v>
      </c>
      <c r="Z132" s="855"/>
      <c r="AA132" s="864"/>
      <c r="AB132" s="864"/>
      <c r="AC132" s="864"/>
      <c r="AD132" s="864"/>
      <c r="AE132" s="864"/>
      <c r="AF132" s="864"/>
      <c r="AG132" s="864"/>
      <c r="AH132" s="864"/>
      <c r="AI132" s="864"/>
      <c r="AJ132" s="864"/>
      <c r="AK132" s="864"/>
      <c r="AL132" s="864"/>
      <c r="AM132" s="864"/>
      <c r="AN132" s="864"/>
      <c r="AO132" s="864"/>
      <c r="AP132" s="864"/>
      <c r="AQ132" s="864"/>
      <c r="AR132" s="864"/>
      <c r="AS132" s="864"/>
      <c r="AT132" s="864"/>
      <c r="AU132" s="864"/>
      <c r="AV132" s="855"/>
      <c r="AW132" s="855"/>
      <c r="AX132" s="864"/>
      <c r="AY132" s="864"/>
      <c r="AZ132" s="864"/>
      <c r="BA132" s="852"/>
      <c r="BB132" s="855"/>
      <c r="BC132" s="855"/>
      <c r="BD132" s="855"/>
      <c r="BE132" s="864"/>
      <c r="BF132" s="864"/>
      <c r="BG132" s="864"/>
      <c r="BH132" s="864"/>
      <c r="BI132" s="864"/>
      <c r="BJ132" s="864"/>
      <c r="BK132" s="864"/>
      <c r="BL132" s="864"/>
      <c r="BM132" s="864"/>
      <c r="BN132" s="864"/>
      <c r="BO132" s="864"/>
      <c r="BP132" s="864"/>
      <c r="BQ132" s="864"/>
      <c r="BR132" s="864"/>
      <c r="BS132" s="864"/>
      <c r="BT132" s="855"/>
      <c r="BU132" s="855"/>
      <c r="BV132" s="855"/>
      <c r="BW132" s="855"/>
      <c r="BX132" s="864"/>
      <c r="BY132" s="864"/>
      <c r="BZ132" s="864"/>
      <c r="CA132" s="864"/>
      <c r="CB132" s="864"/>
      <c r="CC132" s="862"/>
      <c r="CD132" s="864"/>
      <c r="CE132" s="864"/>
      <c r="CF132" s="864"/>
      <c r="CG132" s="864"/>
      <c r="CH132" s="864"/>
      <c r="CI132" s="864"/>
      <c r="CJ132" s="864"/>
      <c r="CK132" s="855"/>
      <c r="CL132" s="855"/>
      <c r="CM132" s="864"/>
      <c r="CN132" s="864"/>
      <c r="CO132" s="864"/>
      <c r="CP132" s="864"/>
      <c r="CQ132" s="864"/>
      <c r="CR132" s="864"/>
      <c r="CS132" s="864"/>
      <c r="CT132" s="864"/>
      <c r="CU132" s="864"/>
      <c r="CV132" s="864"/>
      <c r="CW132" s="864"/>
      <c r="CX132" s="864"/>
      <c r="CY132" s="864"/>
      <c r="CZ132" s="864"/>
      <c r="DA132" s="864"/>
      <c r="DB132" s="864"/>
      <c r="DC132" s="864"/>
      <c r="DD132" s="864"/>
      <c r="DE132" s="864"/>
      <c r="DF132" s="855"/>
      <c r="DG132" s="864"/>
      <c r="DH132" s="855" t="s">
        <v>2930</v>
      </c>
      <c r="DI132" s="855"/>
      <c r="DJ132" s="855"/>
      <c r="DK132" s="855" t="s">
        <v>504</v>
      </c>
      <c r="DL132" s="855"/>
      <c r="DM132" s="855"/>
      <c r="DN132" s="864"/>
      <c r="DO132" s="864"/>
      <c r="DP132" s="855"/>
      <c r="DQ132" s="864"/>
      <c r="DR132" s="864"/>
      <c r="DS132" s="864"/>
      <c r="DT132" s="864"/>
      <c r="DU132" s="864"/>
      <c r="DV132" s="864"/>
      <c r="DW132" s="864"/>
      <c r="DX132" s="864"/>
      <c r="DY132" s="864"/>
      <c r="DZ132" s="864"/>
      <c r="EA132" s="864"/>
      <c r="EB132" s="864"/>
      <c r="EC132" s="864"/>
      <c r="ED132" s="864"/>
      <c r="EE132" s="864"/>
      <c r="EF132" s="855"/>
      <c r="EG132" s="855"/>
      <c r="EH132" s="855"/>
      <c r="EI132" s="855"/>
      <c r="EJ132" s="916" t="s">
        <v>3065</v>
      </c>
      <c r="EK132" s="858"/>
      <c r="EL132" s="999"/>
      <c r="EM132" s="853"/>
      <c r="EN132" s="858"/>
      <c r="EO132" s="858"/>
      <c r="EP132" s="858"/>
      <c r="EQ132" s="858"/>
      <c r="ER132" s="858"/>
      <c r="ES132" s="858"/>
      <c r="ET132" s="858"/>
      <c r="EU132" s="864"/>
      <c r="EV132" s="864"/>
      <c r="EW132" s="855" t="s">
        <v>3212</v>
      </c>
      <c r="EX132" s="864"/>
      <c r="EY132" s="864"/>
      <c r="EZ132" s="864"/>
      <c r="FA132" s="864"/>
      <c r="FB132" s="864"/>
      <c r="FC132" s="864"/>
      <c r="FD132" s="864"/>
      <c r="FE132" s="855"/>
      <c r="FF132" s="864"/>
      <c r="FG132" s="864"/>
      <c r="FH132" s="864"/>
      <c r="FI132" s="864"/>
      <c r="FJ132" s="864"/>
      <c r="FK132" s="852"/>
      <c r="FL132" s="855"/>
      <c r="FM132" s="1064" t="s">
        <v>3278</v>
      </c>
      <c r="FN132" s="855"/>
      <c r="FO132" s="855"/>
      <c r="FP132" s="855"/>
      <c r="FQ132" s="855"/>
      <c r="FR132" s="864"/>
      <c r="FS132" s="864"/>
      <c r="FT132" s="864"/>
      <c r="FU132" s="864"/>
      <c r="FV132" s="864"/>
      <c r="FW132" s="864"/>
      <c r="FX132" s="864"/>
      <c r="FY132" s="864"/>
      <c r="FZ132" s="864"/>
      <c r="GA132" s="855"/>
      <c r="GB132" s="855"/>
      <c r="GC132" s="855" t="s">
        <v>3369</v>
      </c>
      <c r="GD132" s="855"/>
      <c r="GE132" s="855"/>
      <c r="GF132" s="855"/>
      <c r="GG132" s="855" t="s">
        <v>465</v>
      </c>
      <c r="GH132" s="864"/>
      <c r="GI132" s="864"/>
      <c r="GJ132" s="864"/>
      <c r="GK132" s="864"/>
      <c r="GL132" s="864"/>
      <c r="GM132" s="864"/>
      <c r="GN132" s="864"/>
      <c r="GO132" s="859"/>
      <c r="GP132" s="866"/>
      <c r="GQ132" s="867"/>
      <c r="GR132" s="864"/>
      <c r="GS132" s="864"/>
      <c r="GT132" s="864"/>
      <c r="GU132" s="864"/>
      <c r="GV132" s="864"/>
      <c r="GW132" s="864"/>
      <c r="GX132" s="864"/>
      <c r="GY132" s="864"/>
      <c r="GZ132" s="864"/>
      <c r="HA132" s="864"/>
      <c r="HB132" s="864"/>
      <c r="HC132" s="864"/>
      <c r="HD132" s="864"/>
      <c r="HE132" s="855"/>
      <c r="HF132" s="855"/>
      <c r="HG132" s="864"/>
      <c r="HH132" s="858"/>
      <c r="HI132" s="855"/>
      <c r="HJ132" s="855"/>
      <c r="HK132" s="858"/>
      <c r="HL132" s="864"/>
      <c r="HM132" s="864"/>
      <c r="HN132" s="864"/>
      <c r="HO132" s="861"/>
      <c r="HP132" s="855"/>
      <c r="HQ132" s="855"/>
      <c r="HR132" s="862"/>
      <c r="HS132" s="855"/>
      <c r="HT132" s="855"/>
      <c r="HU132" s="855"/>
      <c r="HV132" s="852"/>
      <c r="HW132" s="855"/>
      <c r="HX132" s="855"/>
      <c r="HY132" s="855"/>
      <c r="HZ132" s="855"/>
      <c r="IA132" s="855"/>
      <c r="IB132" s="855"/>
      <c r="IC132" s="855"/>
      <c r="ID132" s="855"/>
      <c r="IE132" s="855"/>
      <c r="IF132" s="855"/>
      <c r="IG132" s="862"/>
      <c r="IH132" s="855"/>
      <c r="II132" s="855" t="s">
        <v>465</v>
      </c>
      <c r="IJ132" s="862" t="s">
        <v>465</v>
      </c>
      <c r="IK132" s="855"/>
      <c r="IL132" s="855"/>
      <c r="IM132" s="855"/>
      <c r="IN132" s="855"/>
      <c r="IO132" s="864"/>
      <c r="IP132" s="864"/>
      <c r="IQ132" s="864"/>
      <c r="IR132" s="862" t="s">
        <v>504</v>
      </c>
      <c r="IS132" s="855"/>
      <c r="IT132" s="855"/>
      <c r="IU132" s="855"/>
      <c r="IV132" s="855" t="s">
        <v>465</v>
      </c>
      <c r="IW132" s="855"/>
      <c r="IX132" s="858"/>
      <c r="IY132" s="855"/>
      <c r="IZ132" s="855"/>
      <c r="JA132" s="855"/>
      <c r="JB132" s="855" t="s">
        <v>465</v>
      </c>
      <c r="JC132" s="855"/>
      <c r="JD132" s="855"/>
      <c r="JE132" s="855"/>
      <c r="JF132" s="855"/>
      <c r="JG132" s="855"/>
      <c r="JH132" s="855"/>
      <c r="JI132" s="855"/>
      <c r="JJ132" s="855"/>
      <c r="JK132" s="855"/>
      <c r="JL132" s="855"/>
      <c r="JM132" s="855"/>
      <c r="JN132" s="855"/>
      <c r="JO132" s="855"/>
      <c r="JP132" s="855"/>
      <c r="JQ132" s="858"/>
      <c r="JR132" s="855"/>
      <c r="JS132" s="855"/>
      <c r="JT132" s="855"/>
      <c r="JU132" s="855"/>
      <c r="JV132" s="855"/>
      <c r="JW132" s="855"/>
      <c r="JX132" s="855"/>
      <c r="JY132" s="855"/>
      <c r="JZ132" s="855"/>
      <c r="KA132" s="855"/>
      <c r="KB132" s="855"/>
      <c r="KC132" s="855"/>
      <c r="KD132" s="855"/>
      <c r="KE132" s="862" t="s">
        <v>504</v>
      </c>
      <c r="KF132" s="862" t="s">
        <v>504</v>
      </c>
      <c r="KG132" s="862" t="s">
        <v>504</v>
      </c>
      <c r="KH132" s="862" t="s">
        <v>504</v>
      </c>
      <c r="KI132" s="862" t="s">
        <v>504</v>
      </c>
      <c r="KJ132" s="862" t="s">
        <v>504</v>
      </c>
      <c r="KK132" s="862" t="s">
        <v>504</v>
      </c>
      <c r="KL132" s="855" t="s">
        <v>504</v>
      </c>
      <c r="KM132" s="864"/>
      <c r="KN132" s="864"/>
      <c r="KO132" s="864"/>
      <c r="KP132" s="864"/>
      <c r="KQ132" s="864"/>
      <c r="KR132" s="855"/>
      <c r="KS132" s="864"/>
      <c r="KT132" s="855" t="s">
        <v>465</v>
      </c>
      <c r="KU132" s="864"/>
      <c r="KV132" s="855"/>
      <c r="KW132" s="855"/>
      <c r="KX132" s="855"/>
      <c r="KY132" s="865" t="s">
        <v>4489</v>
      </c>
      <c r="KZ132" s="855"/>
      <c r="LA132" s="852" t="s">
        <v>4532</v>
      </c>
      <c r="LB132" s="855"/>
      <c r="LC132" s="855"/>
      <c r="LD132" s="855"/>
      <c r="LE132" s="855"/>
      <c r="LF132" s="858"/>
      <c r="LG132" s="858"/>
      <c r="LH132" s="858"/>
      <c r="LI132" s="858"/>
      <c r="LJ132" s="858"/>
      <c r="LK132" s="858"/>
      <c r="LL132" s="858"/>
      <c r="LM132" s="858"/>
      <c r="LN132" s="858"/>
      <c r="LO132" s="858"/>
      <c r="LP132" s="858"/>
      <c r="LQ132" s="858"/>
      <c r="LR132" s="858"/>
      <c r="LS132" s="858"/>
      <c r="LT132" s="858"/>
      <c r="LU132" s="858"/>
      <c r="LV132" s="909"/>
      <c r="LW132" s="858"/>
      <c r="LX132" s="858"/>
      <c r="LY132" s="858"/>
    </row>
    <row r="133" spans="1:337" ht="16.5" thickBot="1" x14ac:dyDescent="0.3">
      <c r="A133" s="1585"/>
      <c r="B133" s="1588"/>
      <c r="C133" s="1600"/>
      <c r="D133" s="1602"/>
      <c r="E133" s="850" t="s">
        <v>174</v>
      </c>
      <c r="F133" s="853"/>
      <c r="G133" s="853"/>
      <c r="H133" s="864"/>
      <c r="I133" s="864"/>
      <c r="J133" s="864"/>
      <c r="K133" s="864"/>
      <c r="L133" s="864"/>
      <c r="M133" s="864"/>
      <c r="N133" s="852"/>
      <c r="O133" s="864"/>
      <c r="P133" s="864"/>
      <c r="Q133" s="864"/>
      <c r="R133" s="864"/>
      <c r="S133" s="864"/>
      <c r="T133" s="864"/>
      <c r="U133" s="864"/>
      <c r="V133" s="980" t="s">
        <v>465</v>
      </c>
      <c r="W133" s="980"/>
      <c r="X133" s="980" t="s">
        <v>465</v>
      </c>
      <c r="Y133" s="980" t="s">
        <v>465</v>
      </c>
      <c r="Z133" s="980"/>
      <c r="AA133" s="864"/>
      <c r="AB133" s="864"/>
      <c r="AC133" s="864"/>
      <c r="AD133" s="864"/>
      <c r="AE133" s="864"/>
      <c r="AF133" s="864"/>
      <c r="AG133" s="864"/>
      <c r="AH133" s="864"/>
      <c r="AI133" s="864"/>
      <c r="AJ133" s="864"/>
      <c r="AK133" s="864"/>
      <c r="AL133" s="864"/>
      <c r="AM133" s="864"/>
      <c r="AN133" s="864"/>
      <c r="AO133" s="864"/>
      <c r="AP133" s="864"/>
      <c r="AQ133" s="864"/>
      <c r="AR133" s="864"/>
      <c r="AS133" s="864"/>
      <c r="AT133" s="864"/>
      <c r="AU133" s="864"/>
      <c r="AV133" s="980"/>
      <c r="AW133" s="980"/>
      <c r="AX133" s="864"/>
      <c r="AY133" s="864"/>
      <c r="AZ133" s="864"/>
      <c r="BA133" s="852"/>
      <c r="BB133" s="855"/>
      <c r="BC133" s="980"/>
      <c r="BD133" s="855"/>
      <c r="BE133" s="864"/>
      <c r="BF133" s="864"/>
      <c r="BG133" s="864"/>
      <c r="BH133" s="864"/>
      <c r="BI133" s="864"/>
      <c r="BJ133" s="864"/>
      <c r="BK133" s="864"/>
      <c r="BL133" s="864"/>
      <c r="BM133" s="864"/>
      <c r="BN133" s="864"/>
      <c r="BO133" s="864"/>
      <c r="BP133" s="864"/>
      <c r="BQ133" s="864"/>
      <c r="BR133" s="864"/>
      <c r="BS133" s="864"/>
      <c r="BT133" s="980"/>
      <c r="BU133" s="980"/>
      <c r="BV133" s="980"/>
      <c r="BW133" s="980"/>
      <c r="BX133" s="864"/>
      <c r="BY133" s="864"/>
      <c r="BZ133" s="864"/>
      <c r="CA133" s="864"/>
      <c r="CB133" s="864"/>
      <c r="CC133" s="998"/>
      <c r="CD133" s="864"/>
      <c r="CE133" s="864"/>
      <c r="CF133" s="864"/>
      <c r="CG133" s="864"/>
      <c r="CH133" s="864"/>
      <c r="CI133" s="864"/>
      <c r="CJ133" s="864"/>
      <c r="CK133" s="980"/>
      <c r="CL133" s="980"/>
      <c r="CM133" s="864"/>
      <c r="CN133" s="864"/>
      <c r="CO133" s="864"/>
      <c r="CP133" s="864"/>
      <c r="CQ133" s="864"/>
      <c r="CR133" s="864"/>
      <c r="CS133" s="864"/>
      <c r="CT133" s="864"/>
      <c r="CU133" s="864"/>
      <c r="CV133" s="864"/>
      <c r="CW133" s="864"/>
      <c r="CX133" s="864"/>
      <c r="CY133" s="864"/>
      <c r="CZ133" s="864"/>
      <c r="DA133" s="864"/>
      <c r="DB133" s="864"/>
      <c r="DC133" s="864"/>
      <c r="DD133" s="864"/>
      <c r="DE133" s="864"/>
      <c r="DF133" s="980"/>
      <c r="DG133" s="864"/>
      <c r="DH133" s="980">
        <v>67</v>
      </c>
      <c r="DI133" s="980"/>
      <c r="DJ133" s="980"/>
      <c r="DK133" s="980" t="s">
        <v>504</v>
      </c>
      <c r="DL133" s="980"/>
      <c r="DM133" s="980"/>
      <c r="DN133" s="864"/>
      <c r="DO133" s="864"/>
      <c r="DP133" s="980"/>
      <c r="DQ133" s="864"/>
      <c r="DR133" s="864"/>
      <c r="DS133" s="864"/>
      <c r="DT133" s="864"/>
      <c r="DU133" s="864"/>
      <c r="DV133" s="864"/>
      <c r="DW133" s="864"/>
      <c r="DX133" s="864"/>
      <c r="DY133" s="864"/>
      <c r="DZ133" s="864"/>
      <c r="EA133" s="864"/>
      <c r="EB133" s="864"/>
      <c r="EC133" s="864"/>
      <c r="ED133" s="864"/>
      <c r="EE133" s="864"/>
      <c r="EF133" s="980"/>
      <c r="EG133" s="980"/>
      <c r="EH133" s="980"/>
      <c r="EI133" s="855"/>
      <c r="EJ133" s="999"/>
      <c r="EK133" s="999"/>
      <c r="EL133" s="999"/>
      <c r="EM133" s="853"/>
      <c r="EN133" s="999"/>
      <c r="EO133" s="999"/>
      <c r="EP133" s="999"/>
      <c r="EQ133" s="999"/>
      <c r="ER133" s="999"/>
      <c r="ES133" s="999"/>
      <c r="ET133" s="999"/>
      <c r="EU133" s="864"/>
      <c r="EV133" s="864"/>
      <c r="EW133" s="980">
        <v>22</v>
      </c>
      <c r="EX133" s="864"/>
      <c r="EY133" s="864"/>
      <c r="EZ133" s="864"/>
      <c r="FA133" s="864"/>
      <c r="FB133" s="864"/>
      <c r="FC133" s="864"/>
      <c r="FD133" s="864"/>
      <c r="FE133" s="980"/>
      <c r="FF133" s="864"/>
      <c r="FG133" s="864"/>
      <c r="FH133" s="864"/>
      <c r="FI133" s="864"/>
      <c r="FJ133" s="864"/>
      <c r="FK133" s="1000"/>
      <c r="FL133" s="980"/>
      <c r="FM133" s="980">
        <v>4203</v>
      </c>
      <c r="FN133" s="980"/>
      <c r="FO133" s="980"/>
      <c r="FP133" s="980"/>
      <c r="FQ133" s="980"/>
      <c r="FR133" s="864"/>
      <c r="FS133" s="864"/>
      <c r="FT133" s="864"/>
      <c r="FU133" s="864"/>
      <c r="FV133" s="864"/>
      <c r="FW133" s="864"/>
      <c r="FX133" s="864"/>
      <c r="FY133" s="864"/>
      <c r="FZ133" s="864"/>
      <c r="GA133" s="980"/>
      <c r="GB133" s="980"/>
      <c r="GC133" s="980"/>
      <c r="GD133" s="980"/>
      <c r="GE133" s="980"/>
      <c r="GF133" s="980"/>
      <c r="GG133" s="980" t="s">
        <v>465</v>
      </c>
      <c r="GH133" s="864"/>
      <c r="GI133" s="864"/>
      <c r="GJ133" s="864"/>
      <c r="GK133" s="864"/>
      <c r="GL133" s="864"/>
      <c r="GM133" s="864"/>
      <c r="GN133" s="864"/>
      <c r="GO133" s="1001"/>
      <c r="GP133" s="866"/>
      <c r="GQ133" s="867"/>
      <c r="GR133" s="864"/>
      <c r="GS133" s="864"/>
      <c r="GT133" s="864"/>
      <c r="GU133" s="864"/>
      <c r="GV133" s="864"/>
      <c r="GW133" s="864"/>
      <c r="GX133" s="864"/>
      <c r="GY133" s="864"/>
      <c r="GZ133" s="864"/>
      <c r="HA133" s="864"/>
      <c r="HB133" s="864"/>
      <c r="HC133" s="864"/>
      <c r="HD133" s="864"/>
      <c r="HE133" s="980"/>
      <c r="HF133" s="980"/>
      <c r="HG133" s="864"/>
      <c r="HH133" s="999"/>
      <c r="HI133" s="980"/>
      <c r="HJ133" s="980"/>
      <c r="HK133" s="999"/>
      <c r="HL133" s="864"/>
      <c r="HM133" s="864"/>
      <c r="HN133" s="864"/>
      <c r="HO133" s="1004"/>
      <c r="HP133" s="980"/>
      <c r="HQ133" s="980"/>
      <c r="HR133" s="998"/>
      <c r="HS133" s="980"/>
      <c r="HT133" s="980"/>
      <c r="HU133" s="980"/>
      <c r="HV133" s="863"/>
      <c r="HW133" s="980"/>
      <c r="HX133" s="980"/>
      <c r="HY133" s="980"/>
      <c r="HZ133" s="980"/>
      <c r="IA133" s="980"/>
      <c r="IB133" s="980"/>
      <c r="IC133" s="980"/>
      <c r="ID133" s="980"/>
      <c r="IE133" s="980"/>
      <c r="IF133" s="980"/>
      <c r="IG133" s="998"/>
      <c r="IH133" s="980"/>
      <c r="II133" s="980" t="s">
        <v>465</v>
      </c>
      <c r="IJ133" s="998" t="s">
        <v>465</v>
      </c>
      <c r="IK133" s="980"/>
      <c r="IL133" s="980"/>
      <c r="IM133" s="980"/>
      <c r="IN133" s="980"/>
      <c r="IO133" s="864"/>
      <c r="IP133" s="864"/>
      <c r="IQ133" s="864"/>
      <c r="IR133" s="998"/>
      <c r="IS133" s="980"/>
      <c r="IT133" s="980"/>
      <c r="IU133" s="980"/>
      <c r="IV133" s="980" t="s">
        <v>465</v>
      </c>
      <c r="IW133" s="980"/>
      <c r="IX133" s="999"/>
      <c r="IY133" s="980"/>
      <c r="IZ133" s="980"/>
      <c r="JA133" s="980">
        <v>0</v>
      </c>
      <c r="JB133" s="980" t="s">
        <v>465</v>
      </c>
      <c r="JC133" s="980"/>
      <c r="JD133" s="980"/>
      <c r="JE133" s="980"/>
      <c r="JF133" s="980"/>
      <c r="JG133" s="980"/>
      <c r="JH133" s="980"/>
      <c r="JI133" s="980"/>
      <c r="JJ133" s="980"/>
      <c r="JK133" s="980"/>
      <c r="JL133" s="980"/>
      <c r="JM133" s="980"/>
      <c r="JN133" s="980"/>
      <c r="JO133" s="980"/>
      <c r="JP133" s="855"/>
      <c r="JQ133" s="999"/>
      <c r="JR133" s="980"/>
      <c r="JS133" s="980"/>
      <c r="JT133" s="980"/>
      <c r="JU133" s="980"/>
      <c r="JV133" s="980"/>
      <c r="JW133" s="980"/>
      <c r="JX133" s="980"/>
      <c r="JY133" s="980"/>
      <c r="JZ133" s="980"/>
      <c r="KA133" s="980"/>
      <c r="KB133" s="980"/>
      <c r="KC133" s="980"/>
      <c r="KD133" s="980"/>
      <c r="KE133" s="998">
        <v>0</v>
      </c>
      <c r="KF133" s="998">
        <v>0</v>
      </c>
      <c r="KG133" s="998"/>
      <c r="KH133" s="998"/>
      <c r="KI133" s="998">
        <v>0</v>
      </c>
      <c r="KJ133" s="998">
        <v>0</v>
      </c>
      <c r="KK133" s="998">
        <v>0</v>
      </c>
      <c r="KL133" s="980"/>
      <c r="KM133" s="864"/>
      <c r="KN133" s="864"/>
      <c r="KO133" s="864"/>
      <c r="KP133" s="864"/>
      <c r="KQ133" s="864"/>
      <c r="KR133" s="980"/>
      <c r="KS133" s="864"/>
      <c r="KT133" s="980" t="s">
        <v>465</v>
      </c>
      <c r="KU133" s="864"/>
      <c r="KV133" s="980"/>
      <c r="KW133" s="980"/>
      <c r="KX133" s="980"/>
      <c r="KY133" s="858">
        <v>52</v>
      </c>
      <c r="KZ133" s="980"/>
      <c r="LA133" s="1000">
        <v>10</v>
      </c>
      <c r="LB133" s="980"/>
      <c r="LC133" s="980"/>
      <c r="LD133" s="980"/>
      <c r="LE133" s="980"/>
      <c r="LF133" s="999"/>
      <c r="LG133" s="999"/>
      <c r="LH133" s="999"/>
      <c r="LI133" s="999"/>
      <c r="LJ133" s="999"/>
      <c r="LK133" s="999"/>
      <c r="LL133" s="999"/>
      <c r="LM133" s="999"/>
      <c r="LN133" s="999">
        <v>0</v>
      </c>
      <c r="LO133" s="999"/>
      <c r="LP133" s="999"/>
      <c r="LQ133" s="999"/>
      <c r="LR133" s="999"/>
      <c r="LS133" s="999"/>
      <c r="LT133" s="999"/>
      <c r="LU133" s="999"/>
      <c r="LV133" s="1006"/>
      <c r="LW133" s="999"/>
      <c r="LX133" s="999"/>
      <c r="LY133" s="999"/>
    </row>
    <row r="134" spans="1:337" x14ac:dyDescent="0.25">
      <c r="A134" s="342"/>
      <c r="B134" s="359"/>
      <c r="C134" s="344"/>
      <c r="D134" s="371"/>
      <c r="E134" s="851"/>
      <c r="F134" s="853"/>
      <c r="G134" s="853"/>
      <c r="H134" s="864"/>
      <c r="I134" s="864"/>
      <c r="J134" s="864"/>
      <c r="K134" s="864"/>
      <c r="L134" s="864"/>
      <c r="M134" s="864"/>
      <c r="N134" s="852"/>
      <c r="O134" s="864"/>
      <c r="P134" s="864"/>
      <c r="Q134" s="864"/>
      <c r="R134" s="864"/>
      <c r="S134" s="864"/>
      <c r="T134" s="864"/>
      <c r="U134" s="864"/>
      <c r="V134" s="980"/>
      <c r="W134" s="980"/>
      <c r="X134" s="980"/>
      <c r="Y134" s="980"/>
      <c r="Z134" s="980"/>
      <c r="AA134" s="864"/>
      <c r="AB134" s="864"/>
      <c r="AC134" s="864"/>
      <c r="AD134" s="864"/>
      <c r="AE134" s="864"/>
      <c r="AF134" s="864"/>
      <c r="AG134" s="864"/>
      <c r="AH134" s="864"/>
      <c r="AI134" s="864"/>
      <c r="AJ134" s="864"/>
      <c r="AK134" s="864"/>
      <c r="AL134" s="864"/>
      <c r="AM134" s="864"/>
      <c r="AN134" s="864"/>
      <c r="AO134" s="864"/>
      <c r="AP134" s="864"/>
      <c r="AQ134" s="864"/>
      <c r="AR134" s="864"/>
      <c r="AS134" s="864"/>
      <c r="AT134" s="864"/>
      <c r="AU134" s="864"/>
      <c r="AV134" s="980"/>
      <c r="AW134" s="980"/>
      <c r="AX134" s="864"/>
      <c r="AY134" s="864"/>
      <c r="AZ134" s="864"/>
      <c r="BA134" s="852"/>
      <c r="BB134" s="855"/>
      <c r="BC134" s="980"/>
      <c r="BD134" s="855"/>
      <c r="BE134" s="864"/>
      <c r="BF134" s="864"/>
      <c r="BG134" s="864"/>
      <c r="BH134" s="864"/>
      <c r="BI134" s="864"/>
      <c r="BJ134" s="864"/>
      <c r="BK134" s="864"/>
      <c r="BL134" s="864"/>
      <c r="BM134" s="864"/>
      <c r="BN134" s="864"/>
      <c r="BO134" s="864"/>
      <c r="BP134" s="864"/>
      <c r="BQ134" s="864"/>
      <c r="BR134" s="864"/>
      <c r="BS134" s="864"/>
      <c r="BT134" s="980"/>
      <c r="BU134" s="980"/>
      <c r="BV134" s="980"/>
      <c r="BW134" s="980"/>
      <c r="BX134" s="864"/>
      <c r="BY134" s="864"/>
      <c r="BZ134" s="864"/>
      <c r="CA134" s="864"/>
      <c r="CB134" s="864"/>
      <c r="CC134" s="998"/>
      <c r="CD134" s="864"/>
      <c r="CE134" s="864"/>
      <c r="CF134" s="864"/>
      <c r="CG134" s="864"/>
      <c r="CH134" s="864"/>
      <c r="CI134" s="864"/>
      <c r="CJ134" s="864"/>
      <c r="CK134" s="980"/>
      <c r="CL134" s="980"/>
      <c r="CM134" s="864"/>
      <c r="CN134" s="864"/>
      <c r="CO134" s="864"/>
      <c r="CP134" s="864"/>
      <c r="CQ134" s="864"/>
      <c r="CR134" s="864"/>
      <c r="CS134" s="864"/>
      <c r="CT134" s="864"/>
      <c r="CU134" s="864"/>
      <c r="CV134" s="864"/>
      <c r="CW134" s="864"/>
      <c r="CX134" s="864"/>
      <c r="CY134" s="864"/>
      <c r="CZ134" s="864"/>
      <c r="DA134" s="864"/>
      <c r="DB134" s="864"/>
      <c r="DC134" s="864"/>
      <c r="DD134" s="864"/>
      <c r="DE134" s="864"/>
      <c r="DF134" s="980"/>
      <c r="DG134" s="864"/>
      <c r="DH134" s="980"/>
      <c r="DI134" s="980"/>
      <c r="DJ134" s="980"/>
      <c r="DK134" s="980"/>
      <c r="DL134" s="980"/>
      <c r="DM134" s="980"/>
      <c r="DN134" s="864"/>
      <c r="DO134" s="864"/>
      <c r="DP134" s="980"/>
      <c r="DQ134" s="864"/>
      <c r="DR134" s="864"/>
      <c r="DS134" s="864"/>
      <c r="DT134" s="864"/>
      <c r="DU134" s="864"/>
      <c r="DV134" s="864"/>
      <c r="DW134" s="864"/>
      <c r="DX134" s="864"/>
      <c r="DY134" s="864"/>
      <c r="DZ134" s="864"/>
      <c r="EA134" s="864"/>
      <c r="EB134" s="864"/>
      <c r="EC134" s="864"/>
      <c r="ED134" s="864"/>
      <c r="EE134" s="864"/>
      <c r="EF134" s="980"/>
      <c r="EG134" s="980"/>
      <c r="EH134" s="980"/>
      <c r="EI134" s="855"/>
      <c r="EJ134" s="999"/>
      <c r="EK134" s="999"/>
      <c r="EL134" s="999"/>
      <c r="EM134" s="853"/>
      <c r="EN134" s="999"/>
      <c r="EO134" s="999"/>
      <c r="EP134" s="999"/>
      <c r="EQ134" s="999"/>
      <c r="ER134" s="999"/>
      <c r="ES134" s="999"/>
      <c r="ET134" s="999"/>
      <c r="EU134" s="864"/>
      <c r="EV134" s="864"/>
      <c r="EW134" s="980"/>
      <c r="EX134" s="864"/>
      <c r="EY134" s="864"/>
      <c r="EZ134" s="864"/>
      <c r="FA134" s="864"/>
      <c r="FB134" s="864"/>
      <c r="FC134" s="864"/>
      <c r="FD134" s="864"/>
      <c r="FE134" s="980"/>
      <c r="FF134" s="864"/>
      <c r="FG134" s="864"/>
      <c r="FH134" s="864"/>
      <c r="FI134" s="864"/>
      <c r="FJ134" s="864"/>
      <c r="FK134" s="1000"/>
      <c r="FL134" s="980"/>
      <c r="FM134" s="980"/>
      <c r="FN134" s="980"/>
      <c r="FO134" s="980"/>
      <c r="FP134" s="980"/>
      <c r="FQ134" s="980"/>
      <c r="FR134" s="864"/>
      <c r="FS134" s="864"/>
      <c r="FT134" s="864"/>
      <c r="FU134" s="864"/>
      <c r="FV134" s="864"/>
      <c r="FW134" s="864"/>
      <c r="FX134" s="864"/>
      <c r="FY134" s="864"/>
      <c r="FZ134" s="864"/>
      <c r="GA134" s="980"/>
      <c r="GB134" s="980"/>
      <c r="GC134" s="980"/>
      <c r="GD134" s="980"/>
      <c r="GE134" s="980"/>
      <c r="GF134" s="980"/>
      <c r="GG134" s="980"/>
      <c r="GH134" s="864"/>
      <c r="GI134" s="864"/>
      <c r="GJ134" s="864"/>
      <c r="GK134" s="864"/>
      <c r="GL134" s="864"/>
      <c r="GM134" s="864"/>
      <c r="GN134" s="864"/>
      <c r="GO134" s="1001"/>
      <c r="GP134" s="866"/>
      <c r="GQ134" s="867"/>
      <c r="GR134" s="864"/>
      <c r="GS134" s="864"/>
      <c r="GT134" s="864"/>
      <c r="GU134" s="864"/>
      <c r="GV134" s="864"/>
      <c r="GW134" s="864"/>
      <c r="GX134" s="864"/>
      <c r="GY134" s="864"/>
      <c r="GZ134" s="864"/>
      <c r="HA134" s="864"/>
      <c r="HB134" s="864"/>
      <c r="HC134" s="864"/>
      <c r="HD134" s="864"/>
      <c r="HE134" s="980"/>
      <c r="HF134" s="980"/>
      <c r="HG134" s="864"/>
      <c r="HH134" s="999"/>
      <c r="HI134" s="980"/>
      <c r="HJ134" s="980"/>
      <c r="HK134" s="999"/>
      <c r="HL134" s="864"/>
      <c r="HM134" s="864"/>
      <c r="HN134" s="864"/>
      <c r="HO134" s="1004"/>
      <c r="HP134" s="980"/>
      <c r="HQ134" s="980"/>
      <c r="HR134" s="998"/>
      <c r="HS134" s="980"/>
      <c r="HT134" s="980"/>
      <c r="HU134" s="980"/>
      <c r="HV134" s="863"/>
      <c r="HW134" s="980"/>
      <c r="HX134" s="980"/>
      <c r="HY134" s="980"/>
      <c r="HZ134" s="980"/>
      <c r="IA134" s="980"/>
      <c r="IB134" s="980"/>
      <c r="IC134" s="980"/>
      <c r="ID134" s="980"/>
      <c r="IE134" s="980"/>
      <c r="IF134" s="980"/>
      <c r="IG134" s="998"/>
      <c r="IH134" s="980"/>
      <c r="II134" s="980"/>
      <c r="IJ134" s="998"/>
      <c r="IK134" s="980"/>
      <c r="IL134" s="980"/>
      <c r="IM134" s="980"/>
      <c r="IN134" s="980"/>
      <c r="IO134" s="864"/>
      <c r="IP134" s="864"/>
      <c r="IQ134" s="864"/>
      <c r="IR134" s="998"/>
      <c r="IS134" s="980"/>
      <c r="IT134" s="980"/>
      <c r="IU134" s="980"/>
      <c r="IV134" s="980"/>
      <c r="IW134" s="980"/>
      <c r="IX134" s="999"/>
      <c r="IY134" s="980"/>
      <c r="IZ134" s="980"/>
      <c r="JA134" s="980"/>
      <c r="JB134" s="980"/>
      <c r="JC134" s="980"/>
      <c r="JD134" s="980"/>
      <c r="JE134" s="980"/>
      <c r="JF134" s="980"/>
      <c r="JG134" s="980"/>
      <c r="JH134" s="980"/>
      <c r="JI134" s="980"/>
      <c r="JJ134" s="980"/>
      <c r="JK134" s="980"/>
      <c r="JL134" s="980"/>
      <c r="JM134" s="980"/>
      <c r="JN134" s="980"/>
      <c r="JO134" s="980"/>
      <c r="JP134" s="855"/>
      <c r="JQ134" s="999"/>
      <c r="JR134" s="980"/>
      <c r="JS134" s="980"/>
      <c r="JT134" s="980"/>
      <c r="JU134" s="980"/>
      <c r="JV134" s="980"/>
      <c r="JW134" s="980"/>
      <c r="JX134" s="980"/>
      <c r="JY134" s="980"/>
      <c r="JZ134" s="980"/>
      <c r="KA134" s="980"/>
      <c r="KB134" s="980"/>
      <c r="KC134" s="980"/>
      <c r="KD134" s="980"/>
      <c r="KE134" s="998"/>
      <c r="KF134" s="998"/>
      <c r="KG134" s="998"/>
      <c r="KH134" s="998"/>
      <c r="KI134" s="998"/>
      <c r="KJ134" s="998"/>
      <c r="KK134" s="998"/>
      <c r="KL134" s="980"/>
      <c r="KM134" s="864"/>
      <c r="KN134" s="864"/>
      <c r="KO134" s="864"/>
      <c r="KP134" s="864"/>
      <c r="KQ134" s="864"/>
      <c r="KR134" s="980"/>
      <c r="KS134" s="864"/>
      <c r="KT134" s="980"/>
      <c r="KU134" s="864"/>
      <c r="KV134" s="980"/>
      <c r="KW134" s="980"/>
      <c r="KX134" s="980"/>
      <c r="KY134" s="858"/>
      <c r="KZ134" s="980"/>
      <c r="LA134" s="1000"/>
      <c r="LB134" s="980"/>
      <c r="LC134" s="980"/>
      <c r="LD134" s="980"/>
      <c r="LE134" s="980"/>
      <c r="LF134" s="999"/>
      <c r="LG134" s="999"/>
      <c r="LH134" s="999"/>
      <c r="LI134" s="999"/>
      <c r="LJ134" s="999"/>
      <c r="LK134" s="999"/>
      <c r="LL134" s="999"/>
      <c r="LM134" s="999"/>
      <c r="LN134" s="999"/>
      <c r="LO134" s="999"/>
      <c r="LP134" s="999"/>
      <c r="LQ134" s="999"/>
      <c r="LR134" s="999"/>
      <c r="LS134" s="999"/>
      <c r="LT134" s="999"/>
      <c r="LU134" s="999"/>
      <c r="LV134" s="1006"/>
      <c r="LW134" s="999"/>
      <c r="LX134" s="999"/>
      <c r="LY134" s="999"/>
    </row>
    <row r="135" spans="1:337" x14ac:dyDescent="0.25">
      <c r="A135" s="342"/>
      <c r="B135" s="359"/>
      <c r="C135" s="344"/>
      <c r="D135" s="371"/>
      <c r="E135" s="851"/>
      <c r="F135" s="853"/>
      <c r="G135" s="853"/>
      <c r="H135" s="864"/>
      <c r="I135" s="864"/>
      <c r="J135" s="864"/>
      <c r="K135" s="864"/>
      <c r="L135" s="864"/>
      <c r="M135" s="864"/>
      <c r="N135" s="852"/>
      <c r="O135" s="864"/>
      <c r="P135" s="864"/>
      <c r="Q135" s="864"/>
      <c r="R135" s="864"/>
      <c r="S135" s="864"/>
      <c r="T135" s="864"/>
      <c r="U135" s="864"/>
      <c r="V135" s="980"/>
      <c r="W135" s="980"/>
      <c r="X135" s="980"/>
      <c r="Y135" s="980"/>
      <c r="Z135" s="980"/>
      <c r="AA135" s="864"/>
      <c r="AB135" s="864"/>
      <c r="AC135" s="864"/>
      <c r="AD135" s="864"/>
      <c r="AE135" s="864"/>
      <c r="AF135" s="864"/>
      <c r="AG135" s="864"/>
      <c r="AH135" s="864"/>
      <c r="AI135" s="864"/>
      <c r="AJ135" s="864"/>
      <c r="AK135" s="864"/>
      <c r="AL135" s="864"/>
      <c r="AM135" s="864"/>
      <c r="AN135" s="864"/>
      <c r="AO135" s="864"/>
      <c r="AP135" s="864"/>
      <c r="AQ135" s="864"/>
      <c r="AR135" s="864"/>
      <c r="AS135" s="864"/>
      <c r="AT135" s="864"/>
      <c r="AU135" s="864"/>
      <c r="AV135" s="980"/>
      <c r="AW135" s="980"/>
      <c r="AX135" s="864"/>
      <c r="AY135" s="864"/>
      <c r="AZ135" s="864"/>
      <c r="BA135" s="852"/>
      <c r="BB135" s="855"/>
      <c r="BC135" s="980"/>
      <c r="BD135" s="855"/>
      <c r="BE135" s="864"/>
      <c r="BF135" s="864"/>
      <c r="BG135" s="864"/>
      <c r="BH135" s="864"/>
      <c r="BI135" s="864"/>
      <c r="BJ135" s="864"/>
      <c r="BK135" s="864"/>
      <c r="BL135" s="864"/>
      <c r="BM135" s="864"/>
      <c r="BN135" s="864"/>
      <c r="BO135" s="864"/>
      <c r="BP135" s="864"/>
      <c r="BQ135" s="864"/>
      <c r="BR135" s="864"/>
      <c r="BS135" s="864"/>
      <c r="BT135" s="980"/>
      <c r="BU135" s="980"/>
      <c r="BV135" s="980"/>
      <c r="BW135" s="980"/>
      <c r="BX135" s="864"/>
      <c r="BY135" s="864"/>
      <c r="BZ135" s="864"/>
      <c r="CA135" s="864"/>
      <c r="CB135" s="864"/>
      <c r="CC135" s="998"/>
      <c r="CD135" s="864"/>
      <c r="CE135" s="864"/>
      <c r="CF135" s="864"/>
      <c r="CG135" s="864"/>
      <c r="CH135" s="864"/>
      <c r="CI135" s="864"/>
      <c r="CJ135" s="864"/>
      <c r="CK135" s="980"/>
      <c r="CL135" s="980"/>
      <c r="CM135" s="864"/>
      <c r="CN135" s="864"/>
      <c r="CO135" s="864"/>
      <c r="CP135" s="864"/>
      <c r="CQ135" s="864"/>
      <c r="CR135" s="864"/>
      <c r="CS135" s="864"/>
      <c r="CT135" s="864"/>
      <c r="CU135" s="864"/>
      <c r="CV135" s="864"/>
      <c r="CW135" s="864"/>
      <c r="CX135" s="864"/>
      <c r="CY135" s="864"/>
      <c r="CZ135" s="864"/>
      <c r="DA135" s="864"/>
      <c r="DB135" s="864"/>
      <c r="DC135" s="864"/>
      <c r="DD135" s="864"/>
      <c r="DE135" s="864"/>
      <c r="DF135" s="980"/>
      <c r="DG135" s="864"/>
      <c r="DH135" s="980"/>
      <c r="DI135" s="980"/>
      <c r="DJ135" s="980"/>
      <c r="DK135" s="980"/>
      <c r="DL135" s="980"/>
      <c r="DM135" s="980"/>
      <c r="DN135" s="864"/>
      <c r="DO135" s="864"/>
      <c r="DP135" s="980"/>
      <c r="DQ135" s="864"/>
      <c r="DR135" s="864"/>
      <c r="DS135" s="864"/>
      <c r="DT135" s="864"/>
      <c r="DU135" s="864"/>
      <c r="DV135" s="864"/>
      <c r="DW135" s="864"/>
      <c r="DX135" s="864"/>
      <c r="DY135" s="864"/>
      <c r="DZ135" s="864"/>
      <c r="EA135" s="864"/>
      <c r="EB135" s="864"/>
      <c r="EC135" s="864"/>
      <c r="ED135" s="864"/>
      <c r="EE135" s="864"/>
      <c r="EF135" s="980"/>
      <c r="EG135" s="980"/>
      <c r="EH135" s="980"/>
      <c r="EI135" s="855"/>
      <c r="EJ135" s="999"/>
      <c r="EK135" s="999"/>
      <c r="EL135" s="999"/>
      <c r="EM135" s="853"/>
      <c r="EN135" s="999"/>
      <c r="EO135" s="999"/>
      <c r="EP135" s="999"/>
      <c r="EQ135" s="999"/>
      <c r="ER135" s="999"/>
      <c r="ES135" s="999"/>
      <c r="ET135" s="999"/>
      <c r="EU135" s="864"/>
      <c r="EV135" s="864"/>
      <c r="EW135" s="980"/>
      <c r="EX135" s="864"/>
      <c r="EY135" s="864"/>
      <c r="EZ135" s="864"/>
      <c r="FA135" s="864"/>
      <c r="FB135" s="864"/>
      <c r="FC135" s="864"/>
      <c r="FD135" s="864"/>
      <c r="FE135" s="980"/>
      <c r="FF135" s="864"/>
      <c r="FG135" s="864"/>
      <c r="FH135" s="864"/>
      <c r="FI135" s="864"/>
      <c r="FJ135" s="864"/>
      <c r="FK135" s="1000"/>
      <c r="FL135" s="980"/>
      <c r="FM135" s="980"/>
      <c r="FN135" s="980"/>
      <c r="FO135" s="980"/>
      <c r="FP135" s="980"/>
      <c r="FQ135" s="980"/>
      <c r="FR135" s="864"/>
      <c r="FS135" s="864"/>
      <c r="FT135" s="864"/>
      <c r="FU135" s="864"/>
      <c r="FV135" s="864"/>
      <c r="FW135" s="864"/>
      <c r="FX135" s="864"/>
      <c r="FY135" s="864"/>
      <c r="FZ135" s="864"/>
      <c r="GA135" s="980"/>
      <c r="GB135" s="980"/>
      <c r="GC135" s="980"/>
      <c r="GD135" s="980"/>
      <c r="GE135" s="980"/>
      <c r="GF135" s="980"/>
      <c r="GG135" s="980"/>
      <c r="GH135" s="864"/>
      <c r="GI135" s="864"/>
      <c r="GJ135" s="864"/>
      <c r="GK135" s="864"/>
      <c r="GL135" s="864"/>
      <c r="GM135" s="864"/>
      <c r="GN135" s="864"/>
      <c r="GO135" s="1001"/>
      <c r="GP135" s="866"/>
      <c r="GQ135" s="867"/>
      <c r="GR135" s="864"/>
      <c r="GS135" s="864"/>
      <c r="GT135" s="864"/>
      <c r="GU135" s="864"/>
      <c r="GV135" s="864"/>
      <c r="GW135" s="864"/>
      <c r="GX135" s="864"/>
      <c r="GY135" s="864"/>
      <c r="GZ135" s="864"/>
      <c r="HA135" s="864"/>
      <c r="HB135" s="864"/>
      <c r="HC135" s="864"/>
      <c r="HD135" s="864"/>
      <c r="HE135" s="980"/>
      <c r="HF135" s="980"/>
      <c r="HG135" s="864"/>
      <c r="HH135" s="999"/>
      <c r="HI135" s="980"/>
      <c r="HJ135" s="980"/>
      <c r="HK135" s="999"/>
      <c r="HL135" s="864"/>
      <c r="HM135" s="864"/>
      <c r="HN135" s="864"/>
      <c r="HO135" s="1004"/>
      <c r="HP135" s="980"/>
      <c r="HQ135" s="980"/>
      <c r="HR135" s="998"/>
      <c r="HS135" s="980"/>
      <c r="HT135" s="980"/>
      <c r="HU135" s="980"/>
      <c r="HV135" s="863"/>
      <c r="HW135" s="980"/>
      <c r="HX135" s="980"/>
      <c r="HY135" s="980"/>
      <c r="HZ135" s="980"/>
      <c r="IA135" s="980"/>
      <c r="IB135" s="980"/>
      <c r="IC135" s="980"/>
      <c r="ID135" s="980"/>
      <c r="IE135" s="980"/>
      <c r="IF135" s="980"/>
      <c r="IG135" s="998"/>
      <c r="IH135" s="980"/>
      <c r="II135" s="980"/>
      <c r="IJ135" s="998"/>
      <c r="IK135" s="980"/>
      <c r="IL135" s="980"/>
      <c r="IM135" s="980"/>
      <c r="IN135" s="980"/>
      <c r="IO135" s="864"/>
      <c r="IP135" s="864"/>
      <c r="IQ135" s="864"/>
      <c r="IR135" s="998"/>
      <c r="IS135" s="980"/>
      <c r="IT135" s="980"/>
      <c r="IU135" s="980"/>
      <c r="IV135" s="980"/>
      <c r="IW135" s="980"/>
      <c r="IX135" s="999"/>
      <c r="IY135" s="980"/>
      <c r="IZ135" s="980"/>
      <c r="JA135" s="980"/>
      <c r="JB135" s="980"/>
      <c r="JC135" s="980"/>
      <c r="JD135" s="980"/>
      <c r="JE135" s="980"/>
      <c r="JF135" s="980"/>
      <c r="JG135" s="980"/>
      <c r="JH135" s="980"/>
      <c r="JI135" s="980"/>
      <c r="JJ135" s="980"/>
      <c r="JK135" s="980"/>
      <c r="JL135" s="980"/>
      <c r="JM135" s="980"/>
      <c r="JN135" s="980"/>
      <c r="JO135" s="980"/>
      <c r="JP135" s="855"/>
      <c r="JQ135" s="999"/>
      <c r="JR135" s="980"/>
      <c r="JS135" s="980"/>
      <c r="JT135" s="980"/>
      <c r="JU135" s="980"/>
      <c r="JV135" s="980"/>
      <c r="JW135" s="980"/>
      <c r="JX135" s="980"/>
      <c r="JY135" s="980"/>
      <c r="JZ135" s="980"/>
      <c r="KA135" s="980"/>
      <c r="KB135" s="980"/>
      <c r="KC135" s="980"/>
      <c r="KD135" s="980"/>
      <c r="KE135" s="998"/>
      <c r="KF135" s="998"/>
      <c r="KG135" s="998"/>
      <c r="KH135" s="998"/>
      <c r="KI135" s="998"/>
      <c r="KJ135" s="998"/>
      <c r="KK135" s="998"/>
      <c r="KL135" s="980"/>
      <c r="KM135" s="864"/>
      <c r="KN135" s="864"/>
      <c r="KO135" s="864"/>
      <c r="KP135" s="864"/>
      <c r="KQ135" s="864"/>
      <c r="KR135" s="980"/>
      <c r="KS135" s="864"/>
      <c r="KT135" s="980"/>
      <c r="KU135" s="864"/>
      <c r="KV135" s="980"/>
      <c r="KW135" s="980"/>
      <c r="KX135" s="980"/>
      <c r="KY135" s="858"/>
      <c r="KZ135" s="980"/>
      <c r="LA135" s="1000"/>
      <c r="LB135" s="980"/>
      <c r="LC135" s="980"/>
      <c r="LD135" s="980"/>
      <c r="LE135" s="980"/>
      <c r="LF135" s="999"/>
      <c r="LG135" s="999"/>
      <c r="LH135" s="999"/>
      <c r="LI135" s="999"/>
      <c r="LJ135" s="999"/>
      <c r="LK135" s="999"/>
      <c r="LL135" s="999"/>
      <c r="LM135" s="999"/>
      <c r="LN135" s="999"/>
      <c r="LO135" s="999"/>
      <c r="LP135" s="999"/>
      <c r="LQ135" s="999"/>
      <c r="LR135" s="999"/>
      <c r="LS135" s="999"/>
      <c r="LT135" s="999"/>
      <c r="LU135" s="999"/>
      <c r="LV135" s="1006"/>
      <c r="LW135" s="999"/>
      <c r="LX135" s="999"/>
      <c r="LY135" s="999"/>
    </row>
    <row r="136" spans="1:337" ht="16.5" thickBot="1" x14ac:dyDescent="0.3">
      <c r="A136" s="342"/>
      <c r="B136" s="359"/>
      <c r="C136" s="344"/>
      <c r="D136" s="371"/>
      <c r="E136" s="851"/>
      <c r="F136" s="853"/>
      <c r="G136" s="853"/>
      <c r="H136" s="864"/>
      <c r="I136" s="864"/>
      <c r="J136" s="864"/>
      <c r="K136" s="864"/>
      <c r="L136" s="864"/>
      <c r="M136" s="864"/>
      <c r="N136" s="852"/>
      <c r="O136" s="864"/>
      <c r="P136" s="864"/>
      <c r="Q136" s="864"/>
      <c r="R136" s="864"/>
      <c r="S136" s="864"/>
      <c r="T136" s="864"/>
      <c r="U136" s="864"/>
      <c r="V136" s="980"/>
      <c r="W136" s="980"/>
      <c r="X136" s="980"/>
      <c r="Y136" s="980"/>
      <c r="Z136" s="980"/>
      <c r="AA136" s="864"/>
      <c r="AB136" s="864"/>
      <c r="AC136" s="864"/>
      <c r="AD136" s="864"/>
      <c r="AE136" s="864"/>
      <c r="AF136" s="864"/>
      <c r="AG136" s="864"/>
      <c r="AH136" s="864"/>
      <c r="AI136" s="864"/>
      <c r="AJ136" s="864"/>
      <c r="AK136" s="864"/>
      <c r="AL136" s="864"/>
      <c r="AM136" s="864"/>
      <c r="AN136" s="864"/>
      <c r="AO136" s="864"/>
      <c r="AP136" s="864"/>
      <c r="AQ136" s="864"/>
      <c r="AR136" s="864"/>
      <c r="AS136" s="864"/>
      <c r="AT136" s="864"/>
      <c r="AU136" s="864"/>
      <c r="AV136" s="980"/>
      <c r="AW136" s="980"/>
      <c r="AX136" s="864"/>
      <c r="AY136" s="864"/>
      <c r="AZ136" s="864"/>
      <c r="BA136" s="852"/>
      <c r="BB136" s="855"/>
      <c r="BC136" s="980"/>
      <c r="BD136" s="855"/>
      <c r="BE136" s="864"/>
      <c r="BF136" s="864"/>
      <c r="BG136" s="864"/>
      <c r="BH136" s="864"/>
      <c r="BI136" s="864"/>
      <c r="BJ136" s="864"/>
      <c r="BK136" s="864"/>
      <c r="BL136" s="864"/>
      <c r="BM136" s="864"/>
      <c r="BN136" s="864"/>
      <c r="BO136" s="864"/>
      <c r="BP136" s="864"/>
      <c r="BQ136" s="864"/>
      <c r="BR136" s="864"/>
      <c r="BS136" s="864"/>
      <c r="BT136" s="980"/>
      <c r="BU136" s="980"/>
      <c r="BV136" s="980"/>
      <c r="BW136" s="980"/>
      <c r="BX136" s="864"/>
      <c r="BY136" s="864"/>
      <c r="BZ136" s="864"/>
      <c r="CA136" s="864"/>
      <c r="CB136" s="864"/>
      <c r="CC136" s="998"/>
      <c r="CD136" s="864"/>
      <c r="CE136" s="864"/>
      <c r="CF136" s="864"/>
      <c r="CG136" s="864"/>
      <c r="CH136" s="864"/>
      <c r="CI136" s="864"/>
      <c r="CJ136" s="864"/>
      <c r="CK136" s="980"/>
      <c r="CL136" s="980"/>
      <c r="CM136" s="864"/>
      <c r="CN136" s="864"/>
      <c r="CO136" s="864"/>
      <c r="CP136" s="864"/>
      <c r="CQ136" s="864"/>
      <c r="CR136" s="864"/>
      <c r="CS136" s="864"/>
      <c r="CT136" s="864"/>
      <c r="CU136" s="864"/>
      <c r="CV136" s="864"/>
      <c r="CW136" s="864"/>
      <c r="CX136" s="864"/>
      <c r="CY136" s="864"/>
      <c r="CZ136" s="864"/>
      <c r="DA136" s="864"/>
      <c r="DB136" s="864"/>
      <c r="DC136" s="864"/>
      <c r="DD136" s="864"/>
      <c r="DE136" s="864"/>
      <c r="DF136" s="980"/>
      <c r="DG136" s="864"/>
      <c r="DH136" s="980"/>
      <c r="DI136" s="980"/>
      <c r="DJ136" s="980"/>
      <c r="DK136" s="980"/>
      <c r="DL136" s="980"/>
      <c r="DM136" s="980"/>
      <c r="DN136" s="864"/>
      <c r="DO136" s="864"/>
      <c r="DP136" s="980"/>
      <c r="DQ136" s="864"/>
      <c r="DR136" s="864"/>
      <c r="DS136" s="864"/>
      <c r="DT136" s="864"/>
      <c r="DU136" s="864"/>
      <c r="DV136" s="864"/>
      <c r="DW136" s="864"/>
      <c r="DX136" s="864"/>
      <c r="DY136" s="864"/>
      <c r="DZ136" s="864"/>
      <c r="EA136" s="864"/>
      <c r="EB136" s="864"/>
      <c r="EC136" s="864"/>
      <c r="ED136" s="864"/>
      <c r="EE136" s="864"/>
      <c r="EF136" s="980"/>
      <c r="EG136" s="980"/>
      <c r="EH136" s="980"/>
      <c r="EI136" s="855"/>
      <c r="EJ136" s="999"/>
      <c r="EK136" s="999"/>
      <c r="EL136" s="999"/>
      <c r="EM136" s="853"/>
      <c r="EN136" s="999"/>
      <c r="EO136" s="999"/>
      <c r="EP136" s="999"/>
      <c r="EQ136" s="999"/>
      <c r="ER136" s="999"/>
      <c r="ES136" s="999"/>
      <c r="ET136" s="999"/>
      <c r="EU136" s="864"/>
      <c r="EV136" s="864"/>
      <c r="EW136" s="980"/>
      <c r="EX136" s="864"/>
      <c r="EY136" s="864"/>
      <c r="EZ136" s="864"/>
      <c r="FA136" s="864"/>
      <c r="FB136" s="864"/>
      <c r="FC136" s="864"/>
      <c r="FD136" s="864"/>
      <c r="FE136" s="980"/>
      <c r="FF136" s="864"/>
      <c r="FG136" s="864"/>
      <c r="FH136" s="864"/>
      <c r="FI136" s="864"/>
      <c r="FJ136" s="864"/>
      <c r="FK136" s="1000"/>
      <c r="FL136" s="980"/>
      <c r="FM136" s="980"/>
      <c r="FN136" s="980"/>
      <c r="FO136" s="980"/>
      <c r="FP136" s="980"/>
      <c r="FQ136" s="980"/>
      <c r="FR136" s="864"/>
      <c r="FS136" s="864"/>
      <c r="FT136" s="864"/>
      <c r="FU136" s="864"/>
      <c r="FV136" s="864"/>
      <c r="FW136" s="864"/>
      <c r="FX136" s="864"/>
      <c r="FY136" s="864"/>
      <c r="FZ136" s="864"/>
      <c r="GA136" s="980"/>
      <c r="GB136" s="980"/>
      <c r="GC136" s="980"/>
      <c r="GD136" s="980"/>
      <c r="GE136" s="980"/>
      <c r="GF136" s="980"/>
      <c r="GG136" s="980"/>
      <c r="GH136" s="864"/>
      <c r="GI136" s="864"/>
      <c r="GJ136" s="864"/>
      <c r="GK136" s="864"/>
      <c r="GL136" s="864"/>
      <c r="GM136" s="864"/>
      <c r="GN136" s="864"/>
      <c r="GO136" s="1001"/>
      <c r="GP136" s="866"/>
      <c r="GQ136" s="867"/>
      <c r="GR136" s="864"/>
      <c r="GS136" s="864"/>
      <c r="GT136" s="864"/>
      <c r="GU136" s="864"/>
      <c r="GV136" s="864"/>
      <c r="GW136" s="864"/>
      <c r="GX136" s="864"/>
      <c r="GY136" s="864"/>
      <c r="GZ136" s="864"/>
      <c r="HA136" s="864"/>
      <c r="HB136" s="864"/>
      <c r="HC136" s="864"/>
      <c r="HD136" s="864"/>
      <c r="HE136" s="980"/>
      <c r="HF136" s="980"/>
      <c r="HG136" s="864"/>
      <c r="HH136" s="999"/>
      <c r="HI136" s="980"/>
      <c r="HJ136" s="980"/>
      <c r="HK136" s="999"/>
      <c r="HL136" s="864"/>
      <c r="HM136" s="864"/>
      <c r="HN136" s="864"/>
      <c r="HO136" s="1004"/>
      <c r="HP136" s="980"/>
      <c r="HQ136" s="980"/>
      <c r="HR136" s="998"/>
      <c r="HS136" s="980"/>
      <c r="HT136" s="980"/>
      <c r="HU136" s="980"/>
      <c r="HV136" s="863"/>
      <c r="HW136" s="980"/>
      <c r="HX136" s="980"/>
      <c r="HY136" s="980"/>
      <c r="HZ136" s="980"/>
      <c r="IA136" s="980"/>
      <c r="IB136" s="980"/>
      <c r="IC136" s="980"/>
      <c r="ID136" s="980"/>
      <c r="IE136" s="980"/>
      <c r="IF136" s="980"/>
      <c r="IG136" s="998"/>
      <c r="IH136" s="980"/>
      <c r="II136" s="980"/>
      <c r="IJ136" s="998"/>
      <c r="IK136" s="980"/>
      <c r="IL136" s="980"/>
      <c r="IM136" s="980"/>
      <c r="IN136" s="980"/>
      <c r="IO136" s="864"/>
      <c r="IP136" s="864"/>
      <c r="IQ136" s="864"/>
      <c r="IR136" s="998"/>
      <c r="IS136" s="980"/>
      <c r="IT136" s="980"/>
      <c r="IU136" s="980"/>
      <c r="IV136" s="980"/>
      <c r="IW136" s="980"/>
      <c r="IX136" s="999"/>
      <c r="IY136" s="980"/>
      <c r="IZ136" s="980"/>
      <c r="JA136" s="980"/>
      <c r="JB136" s="980"/>
      <c r="JC136" s="980"/>
      <c r="JD136" s="980"/>
      <c r="JE136" s="980"/>
      <c r="JF136" s="980"/>
      <c r="JG136" s="980"/>
      <c r="JH136" s="980"/>
      <c r="JI136" s="980"/>
      <c r="JJ136" s="980"/>
      <c r="JK136" s="980"/>
      <c r="JL136" s="980"/>
      <c r="JM136" s="980"/>
      <c r="JN136" s="980"/>
      <c r="JO136" s="980"/>
      <c r="JP136" s="855"/>
      <c r="JQ136" s="999"/>
      <c r="JR136" s="980"/>
      <c r="JS136" s="980"/>
      <c r="JT136" s="980"/>
      <c r="JU136" s="980"/>
      <c r="JV136" s="980"/>
      <c r="JW136" s="980"/>
      <c r="JX136" s="980"/>
      <c r="JY136" s="980"/>
      <c r="JZ136" s="980"/>
      <c r="KA136" s="980"/>
      <c r="KB136" s="980"/>
      <c r="KC136" s="980"/>
      <c r="KD136" s="980"/>
      <c r="KE136" s="998"/>
      <c r="KF136" s="998"/>
      <c r="KG136" s="998"/>
      <c r="KH136" s="998"/>
      <c r="KI136" s="998"/>
      <c r="KJ136" s="998"/>
      <c r="KK136" s="998"/>
      <c r="KL136" s="980"/>
      <c r="KM136" s="864"/>
      <c r="KN136" s="864"/>
      <c r="KO136" s="864"/>
      <c r="KP136" s="864"/>
      <c r="KQ136" s="864"/>
      <c r="KR136" s="980"/>
      <c r="KS136" s="864"/>
      <c r="KT136" s="980"/>
      <c r="KU136" s="864"/>
      <c r="KV136" s="980"/>
      <c r="KW136" s="980"/>
      <c r="KX136" s="980"/>
      <c r="KY136" s="858"/>
      <c r="KZ136" s="980"/>
      <c r="LA136" s="1000"/>
      <c r="LB136" s="980"/>
      <c r="LC136" s="980"/>
      <c r="LD136" s="980"/>
      <c r="LE136" s="980"/>
      <c r="LF136" s="999"/>
      <c r="LG136" s="999"/>
      <c r="LH136" s="999"/>
      <c r="LI136" s="999"/>
      <c r="LJ136" s="999"/>
      <c r="LK136" s="999"/>
      <c r="LL136" s="999"/>
      <c r="LM136" s="999"/>
      <c r="LN136" s="999"/>
      <c r="LO136" s="999"/>
      <c r="LP136" s="999"/>
      <c r="LQ136" s="999"/>
      <c r="LR136" s="999"/>
      <c r="LS136" s="999"/>
      <c r="LT136" s="999"/>
      <c r="LU136" s="999"/>
      <c r="LV136" s="1006"/>
      <c r="LW136" s="999"/>
      <c r="LX136" s="999"/>
      <c r="LY136" s="999"/>
    </row>
    <row r="137" spans="1:337" ht="110.25" x14ac:dyDescent="0.25">
      <c r="A137" s="1583" t="s">
        <v>34</v>
      </c>
      <c r="B137" s="1589" t="s">
        <v>5373</v>
      </c>
      <c r="C137" s="331" t="s">
        <v>66</v>
      </c>
      <c r="D137" s="332" t="s">
        <v>208</v>
      </c>
      <c r="E137" s="849" t="s">
        <v>55</v>
      </c>
      <c r="F137" s="853"/>
      <c r="G137" s="853"/>
      <c r="H137" s="864"/>
      <c r="I137" s="864"/>
      <c r="J137" s="864"/>
      <c r="K137" s="864"/>
      <c r="L137" s="864"/>
      <c r="M137" s="864"/>
      <c r="N137" s="852" t="s">
        <v>471</v>
      </c>
      <c r="O137" s="864"/>
      <c r="P137" s="864"/>
      <c r="Q137" s="864"/>
      <c r="R137" s="864"/>
      <c r="S137" s="864"/>
      <c r="T137" s="864"/>
      <c r="U137" s="864"/>
      <c r="V137" s="855" t="s">
        <v>479</v>
      </c>
      <c r="W137" s="855" t="s">
        <v>479</v>
      </c>
      <c r="X137" s="855" t="s">
        <v>479</v>
      </c>
      <c r="Y137" s="855" t="s">
        <v>479</v>
      </c>
      <c r="Z137" s="855" t="s">
        <v>504</v>
      </c>
      <c r="AA137" s="864"/>
      <c r="AB137" s="864"/>
      <c r="AC137" s="864"/>
      <c r="AD137" s="864"/>
      <c r="AE137" s="864"/>
      <c r="AF137" s="864"/>
      <c r="AG137" s="864"/>
      <c r="AH137" s="864"/>
      <c r="AI137" s="864"/>
      <c r="AJ137" s="864"/>
      <c r="AK137" s="864"/>
      <c r="AL137" s="864"/>
      <c r="AM137" s="864"/>
      <c r="AN137" s="864"/>
      <c r="AO137" s="864"/>
      <c r="AP137" s="864"/>
      <c r="AQ137" s="864"/>
      <c r="AR137" s="864"/>
      <c r="AS137" s="864"/>
      <c r="AT137" s="864"/>
      <c r="AU137" s="864"/>
      <c r="AV137" s="855" t="s">
        <v>504</v>
      </c>
      <c r="AW137" s="855" t="s">
        <v>504</v>
      </c>
      <c r="AX137" s="864"/>
      <c r="AY137" s="864"/>
      <c r="AZ137" s="864"/>
      <c r="BA137" s="852" t="s">
        <v>504</v>
      </c>
      <c r="BB137" s="980" t="s">
        <v>504</v>
      </c>
      <c r="BC137" s="855" t="s">
        <v>504</v>
      </c>
      <c r="BD137" s="980" t="s">
        <v>504</v>
      </c>
      <c r="BE137" s="864"/>
      <c r="BF137" s="864"/>
      <c r="BG137" s="864"/>
      <c r="BH137" s="864"/>
      <c r="BI137" s="864"/>
      <c r="BJ137" s="864"/>
      <c r="BK137" s="864"/>
      <c r="BL137" s="864"/>
      <c r="BM137" s="864"/>
      <c r="BN137" s="864"/>
      <c r="BO137" s="864"/>
      <c r="BP137" s="864"/>
      <c r="BQ137" s="864"/>
      <c r="BR137" s="864"/>
      <c r="BS137" s="864"/>
      <c r="BT137" s="855" t="s">
        <v>504</v>
      </c>
      <c r="BU137" s="855" t="s">
        <v>504</v>
      </c>
      <c r="BV137" s="855" t="s">
        <v>504</v>
      </c>
      <c r="BW137" s="855" t="s">
        <v>504</v>
      </c>
      <c r="BX137" s="864"/>
      <c r="BY137" s="864"/>
      <c r="BZ137" s="864"/>
      <c r="CA137" s="864"/>
      <c r="CB137" s="864"/>
      <c r="CC137" s="862" t="s">
        <v>504</v>
      </c>
      <c r="CD137" s="864"/>
      <c r="CE137" s="864"/>
      <c r="CF137" s="864"/>
      <c r="CG137" s="864"/>
      <c r="CH137" s="864"/>
      <c r="CI137" s="864"/>
      <c r="CJ137" s="864"/>
      <c r="CK137" s="855" t="s">
        <v>504</v>
      </c>
      <c r="CL137" s="855" t="s">
        <v>504</v>
      </c>
      <c r="CM137" s="864"/>
      <c r="CN137" s="864"/>
      <c r="CO137" s="864"/>
      <c r="CP137" s="864"/>
      <c r="CQ137" s="864"/>
      <c r="CR137" s="864"/>
      <c r="CS137" s="864"/>
      <c r="CT137" s="864"/>
      <c r="CU137" s="864"/>
      <c r="CV137" s="864"/>
      <c r="CW137" s="864"/>
      <c r="CX137" s="864"/>
      <c r="CY137" s="864"/>
      <c r="CZ137" s="864"/>
      <c r="DA137" s="864"/>
      <c r="DB137" s="864"/>
      <c r="DC137" s="864"/>
      <c r="DD137" s="864"/>
      <c r="DE137" s="864"/>
      <c r="DF137" s="855" t="s">
        <v>504</v>
      </c>
      <c r="DG137" s="864"/>
      <c r="DH137" s="855" t="s">
        <v>504</v>
      </c>
      <c r="DI137" s="855"/>
      <c r="DJ137" s="855"/>
      <c r="DK137" s="855" t="s">
        <v>504</v>
      </c>
      <c r="DL137" s="855" t="s">
        <v>504</v>
      </c>
      <c r="DM137" s="855" t="s">
        <v>504</v>
      </c>
      <c r="DN137" s="864"/>
      <c r="DO137" s="864"/>
      <c r="DP137" s="855" t="s">
        <v>504</v>
      </c>
      <c r="DQ137" s="864"/>
      <c r="DR137" s="864"/>
      <c r="DS137" s="864"/>
      <c r="DT137" s="864"/>
      <c r="DU137" s="864"/>
      <c r="DV137" s="864"/>
      <c r="DW137" s="864"/>
      <c r="DX137" s="864"/>
      <c r="DY137" s="864"/>
      <c r="DZ137" s="864"/>
      <c r="EA137" s="864"/>
      <c r="EB137" s="864"/>
      <c r="EC137" s="864"/>
      <c r="ED137" s="864"/>
      <c r="EE137" s="864"/>
      <c r="EF137" s="855" t="s">
        <v>504</v>
      </c>
      <c r="EG137" s="855" t="s">
        <v>504</v>
      </c>
      <c r="EH137" s="855" t="s">
        <v>500</v>
      </c>
      <c r="EI137" s="855" t="s">
        <v>504</v>
      </c>
      <c r="EJ137" s="858" t="s">
        <v>500</v>
      </c>
      <c r="EK137" s="858" t="s">
        <v>504</v>
      </c>
      <c r="EL137" s="858" t="s">
        <v>504</v>
      </c>
      <c r="EM137" s="858" t="s">
        <v>504</v>
      </c>
      <c r="EN137" s="858" t="s">
        <v>504</v>
      </c>
      <c r="EO137" s="858" t="s">
        <v>504</v>
      </c>
      <c r="EP137" s="858" t="s">
        <v>504</v>
      </c>
      <c r="EQ137" s="858" t="s">
        <v>504</v>
      </c>
      <c r="ER137" s="858" t="s">
        <v>500</v>
      </c>
      <c r="ES137" s="858"/>
      <c r="ET137" s="858" t="s">
        <v>504</v>
      </c>
      <c r="EU137" s="864"/>
      <c r="EV137" s="864"/>
      <c r="EW137" s="855" t="s">
        <v>504</v>
      </c>
      <c r="EX137" s="864"/>
      <c r="EY137" s="864"/>
      <c r="EZ137" s="864"/>
      <c r="FA137" s="864"/>
      <c r="FB137" s="864"/>
      <c r="FC137" s="864"/>
      <c r="FD137" s="864"/>
      <c r="FE137" s="855" t="s">
        <v>479</v>
      </c>
      <c r="FF137" s="864"/>
      <c r="FG137" s="864"/>
      <c r="FH137" s="864"/>
      <c r="FI137" s="864"/>
      <c r="FJ137" s="864"/>
      <c r="FK137" s="855" t="s">
        <v>504</v>
      </c>
      <c r="FL137" s="852" t="s">
        <v>504</v>
      </c>
      <c r="FM137" s="855" t="s">
        <v>500</v>
      </c>
      <c r="FN137" s="855"/>
      <c r="FO137" s="855"/>
      <c r="FP137" s="855" t="s">
        <v>504</v>
      </c>
      <c r="FQ137" s="855" t="s">
        <v>504</v>
      </c>
      <c r="FR137" s="864"/>
      <c r="FS137" s="864"/>
      <c r="FT137" s="864"/>
      <c r="FU137" s="864"/>
      <c r="FV137" s="864"/>
      <c r="FW137" s="864"/>
      <c r="FX137" s="864"/>
      <c r="FY137" s="864"/>
      <c r="FZ137" s="864"/>
      <c r="GA137" s="855" t="s">
        <v>504</v>
      </c>
      <c r="GB137" s="855" t="s">
        <v>504</v>
      </c>
      <c r="GC137" s="855" t="s">
        <v>504</v>
      </c>
      <c r="GD137" s="855" t="s">
        <v>504</v>
      </c>
      <c r="GE137" s="855" t="s">
        <v>504</v>
      </c>
      <c r="GF137" s="855"/>
      <c r="GG137" s="855" t="s">
        <v>504</v>
      </c>
      <c r="GH137" s="864"/>
      <c r="GI137" s="864"/>
      <c r="GJ137" s="864"/>
      <c r="GK137" s="864"/>
      <c r="GL137" s="864"/>
      <c r="GM137" s="864"/>
      <c r="GN137" s="864"/>
      <c r="GO137" s="859" t="s">
        <v>504</v>
      </c>
      <c r="GP137" s="866" t="s">
        <v>504</v>
      </c>
      <c r="GQ137" s="860" t="s">
        <v>504</v>
      </c>
      <c r="GR137" s="864"/>
      <c r="GS137" s="864"/>
      <c r="GT137" s="864"/>
      <c r="GU137" s="864"/>
      <c r="GV137" s="864"/>
      <c r="GW137" s="864"/>
      <c r="GX137" s="864"/>
      <c r="GY137" s="864"/>
      <c r="GZ137" s="864"/>
      <c r="HA137" s="864"/>
      <c r="HB137" s="864"/>
      <c r="HC137" s="864"/>
      <c r="HD137" s="864"/>
      <c r="HE137" s="855" t="s">
        <v>504</v>
      </c>
      <c r="HF137" s="855" t="s">
        <v>504</v>
      </c>
      <c r="HG137" s="864"/>
      <c r="HH137" s="853" t="s">
        <v>500</v>
      </c>
      <c r="HI137" s="855" t="s">
        <v>504</v>
      </c>
      <c r="HJ137" s="855" t="s">
        <v>504</v>
      </c>
      <c r="HK137" s="858" t="s">
        <v>504</v>
      </c>
      <c r="HL137" s="864"/>
      <c r="HM137" s="864"/>
      <c r="HN137" s="864"/>
      <c r="HO137" s="861" t="s">
        <v>504</v>
      </c>
      <c r="HP137" s="855" t="s">
        <v>504</v>
      </c>
      <c r="HQ137" s="855" t="s">
        <v>504</v>
      </c>
      <c r="HR137" s="862" t="s">
        <v>504</v>
      </c>
      <c r="HS137" s="855" t="s">
        <v>504</v>
      </c>
      <c r="HT137" s="855" t="s">
        <v>504</v>
      </c>
      <c r="HU137" s="855" t="s">
        <v>504</v>
      </c>
      <c r="HV137" s="852" t="s">
        <v>504</v>
      </c>
      <c r="HW137" s="855" t="s">
        <v>504</v>
      </c>
      <c r="HX137" s="855" t="s">
        <v>504</v>
      </c>
      <c r="HY137" s="855" t="s">
        <v>504</v>
      </c>
      <c r="HZ137" s="855" t="s">
        <v>504</v>
      </c>
      <c r="IA137" s="855" t="s">
        <v>504</v>
      </c>
      <c r="IB137" s="855" t="s">
        <v>504</v>
      </c>
      <c r="IC137" s="855" t="s">
        <v>500</v>
      </c>
      <c r="ID137" s="855" t="s">
        <v>504</v>
      </c>
      <c r="IE137" s="855" t="s">
        <v>504</v>
      </c>
      <c r="IF137" s="855" t="s">
        <v>504</v>
      </c>
      <c r="IG137" s="862" t="s">
        <v>504</v>
      </c>
      <c r="IH137" s="855" t="s">
        <v>500</v>
      </c>
      <c r="II137" s="855" t="s">
        <v>504</v>
      </c>
      <c r="IJ137" s="862" t="s">
        <v>504</v>
      </c>
      <c r="IK137" s="855" t="s">
        <v>504</v>
      </c>
      <c r="IL137" s="855" t="s">
        <v>504</v>
      </c>
      <c r="IM137" s="855" t="s">
        <v>500</v>
      </c>
      <c r="IN137" s="855" t="s">
        <v>504</v>
      </c>
      <c r="IO137" s="864"/>
      <c r="IP137" s="864"/>
      <c r="IQ137" s="864"/>
      <c r="IR137" s="862" t="s">
        <v>504</v>
      </c>
      <c r="IS137" s="855" t="s">
        <v>504</v>
      </c>
      <c r="IT137" s="855" t="s">
        <v>656</v>
      </c>
      <c r="IU137" s="855" t="s">
        <v>500</v>
      </c>
      <c r="IV137" s="855" t="s">
        <v>500</v>
      </c>
      <c r="IW137" s="855" t="s">
        <v>504</v>
      </c>
      <c r="IX137" s="858" t="s">
        <v>504</v>
      </c>
      <c r="IY137" s="855" t="s">
        <v>504</v>
      </c>
      <c r="IZ137" s="855" t="s">
        <v>500</v>
      </c>
      <c r="JA137" s="855" t="s">
        <v>504</v>
      </c>
      <c r="JB137" s="855" t="s">
        <v>500</v>
      </c>
      <c r="JC137" s="855" t="s">
        <v>504</v>
      </c>
      <c r="JD137" s="855" t="s">
        <v>504</v>
      </c>
      <c r="JE137" s="855" t="s">
        <v>504</v>
      </c>
      <c r="JF137" s="858" t="s">
        <v>504</v>
      </c>
      <c r="JG137" s="855" t="s">
        <v>471</v>
      </c>
      <c r="JH137" s="855" t="s">
        <v>504</v>
      </c>
      <c r="JI137" s="855" t="s">
        <v>479</v>
      </c>
      <c r="JJ137" s="855" t="s">
        <v>504</v>
      </c>
      <c r="JK137" s="855" t="s">
        <v>504</v>
      </c>
      <c r="JL137" s="855" t="s">
        <v>504</v>
      </c>
      <c r="JM137" s="855" t="s">
        <v>504</v>
      </c>
      <c r="JN137" s="855" t="s">
        <v>504</v>
      </c>
      <c r="JO137" s="855" t="s">
        <v>504</v>
      </c>
      <c r="JP137" s="855" t="s">
        <v>504</v>
      </c>
      <c r="JQ137" s="858" t="s">
        <v>504</v>
      </c>
      <c r="JR137" s="855" t="s">
        <v>504</v>
      </c>
      <c r="JS137" s="855" t="s">
        <v>504</v>
      </c>
      <c r="JT137" s="855" t="s">
        <v>504</v>
      </c>
      <c r="JU137" s="855" t="s">
        <v>504</v>
      </c>
      <c r="JV137" s="855" t="s">
        <v>504</v>
      </c>
      <c r="JW137" s="855" t="s">
        <v>504</v>
      </c>
      <c r="JX137" s="855" t="s">
        <v>504</v>
      </c>
      <c r="JY137" s="855" t="s">
        <v>504</v>
      </c>
      <c r="JZ137" s="855" t="s">
        <v>504</v>
      </c>
      <c r="KA137" s="855" t="s">
        <v>504</v>
      </c>
      <c r="KB137" s="855" t="s">
        <v>504</v>
      </c>
      <c r="KC137" s="855" t="s">
        <v>504</v>
      </c>
      <c r="KD137" s="855" t="s">
        <v>504</v>
      </c>
      <c r="KE137" s="862" t="s">
        <v>504</v>
      </c>
      <c r="KF137" s="862" t="s">
        <v>504</v>
      </c>
      <c r="KG137" s="862" t="s">
        <v>504</v>
      </c>
      <c r="KH137" s="862" t="s">
        <v>504</v>
      </c>
      <c r="KI137" s="862" t="s">
        <v>504</v>
      </c>
      <c r="KJ137" s="862" t="s">
        <v>504</v>
      </c>
      <c r="KK137" s="862" t="s">
        <v>504</v>
      </c>
      <c r="KL137" s="855" t="s">
        <v>500</v>
      </c>
      <c r="KM137" s="864"/>
      <c r="KN137" s="864"/>
      <c r="KO137" s="864"/>
      <c r="KP137" s="864"/>
      <c r="KQ137" s="864"/>
      <c r="KR137" s="855" t="s">
        <v>504</v>
      </c>
      <c r="KS137" s="864"/>
      <c r="KT137" s="855" t="s">
        <v>504</v>
      </c>
      <c r="KU137" s="864"/>
      <c r="KV137" s="855" t="s">
        <v>500</v>
      </c>
      <c r="KW137" s="855" t="s">
        <v>504</v>
      </c>
      <c r="KX137" s="855" t="s">
        <v>500</v>
      </c>
      <c r="KY137" s="858" t="s">
        <v>500</v>
      </c>
      <c r="KZ137" s="855" t="s">
        <v>500</v>
      </c>
      <c r="LA137" s="855" t="s">
        <v>504</v>
      </c>
      <c r="LB137" s="855" t="s">
        <v>504</v>
      </c>
      <c r="LC137" s="855" t="s">
        <v>504</v>
      </c>
      <c r="LD137" s="855" t="s">
        <v>504</v>
      </c>
      <c r="LE137" s="855" t="s">
        <v>504</v>
      </c>
      <c r="LF137" s="858" t="s">
        <v>500</v>
      </c>
      <c r="LG137" s="858" t="s">
        <v>500</v>
      </c>
      <c r="LH137" s="858" t="s">
        <v>500</v>
      </c>
      <c r="LI137" s="858" t="s">
        <v>500</v>
      </c>
      <c r="LJ137" s="858" t="s">
        <v>504</v>
      </c>
      <c r="LK137" s="858" t="s">
        <v>504</v>
      </c>
      <c r="LL137" s="858" t="s">
        <v>500</v>
      </c>
      <c r="LM137" s="858" t="s">
        <v>500</v>
      </c>
      <c r="LN137" s="858" t="s">
        <v>504</v>
      </c>
      <c r="LO137" s="858" t="s">
        <v>504</v>
      </c>
      <c r="LP137" s="858" t="s">
        <v>504</v>
      </c>
      <c r="LQ137" s="858" t="s">
        <v>500</v>
      </c>
      <c r="LR137" s="858" t="s">
        <v>504</v>
      </c>
      <c r="LS137" s="858" t="s">
        <v>504</v>
      </c>
      <c r="LT137" s="858" t="s">
        <v>504</v>
      </c>
      <c r="LU137" s="858" t="s">
        <v>504</v>
      </c>
      <c r="LV137" s="909" t="s">
        <v>504</v>
      </c>
      <c r="LW137" s="858" t="s">
        <v>504</v>
      </c>
      <c r="LX137" s="858" t="s">
        <v>504</v>
      </c>
      <c r="LY137" s="858" t="s">
        <v>504</v>
      </c>
    </row>
    <row r="138" spans="1:337" ht="409.6" thickBot="1" x14ac:dyDescent="0.3">
      <c r="A138" s="1585"/>
      <c r="B138" s="1591"/>
      <c r="C138" s="335" t="s">
        <v>67</v>
      </c>
      <c r="D138" s="336" t="s">
        <v>45</v>
      </c>
      <c r="E138" s="850" t="s">
        <v>48</v>
      </c>
      <c r="F138" s="853"/>
      <c r="G138" s="853"/>
      <c r="H138" s="864"/>
      <c r="I138" s="864"/>
      <c r="J138" s="864"/>
      <c r="K138" s="864"/>
      <c r="L138" s="864"/>
      <c r="M138" s="864"/>
      <c r="N138" s="852" t="s">
        <v>2656</v>
      </c>
      <c r="O138" s="864"/>
      <c r="P138" s="864"/>
      <c r="Q138" s="864"/>
      <c r="R138" s="864"/>
      <c r="S138" s="864"/>
      <c r="T138" s="864"/>
      <c r="U138" s="864"/>
      <c r="V138" s="855"/>
      <c r="W138" s="855"/>
      <c r="X138" s="855" t="s">
        <v>465</v>
      </c>
      <c r="Y138" s="855"/>
      <c r="Z138" s="855"/>
      <c r="AA138" s="864"/>
      <c r="AB138" s="864"/>
      <c r="AC138" s="864"/>
      <c r="AD138" s="864"/>
      <c r="AE138" s="864"/>
      <c r="AF138" s="864"/>
      <c r="AG138" s="864"/>
      <c r="AH138" s="864"/>
      <c r="AI138" s="864"/>
      <c r="AJ138" s="864"/>
      <c r="AK138" s="864"/>
      <c r="AL138" s="864"/>
      <c r="AM138" s="864"/>
      <c r="AN138" s="864"/>
      <c r="AO138" s="864"/>
      <c r="AP138" s="864"/>
      <c r="AQ138" s="864"/>
      <c r="AR138" s="864"/>
      <c r="AS138" s="864"/>
      <c r="AT138" s="864"/>
      <c r="AU138" s="864"/>
      <c r="AV138" s="855"/>
      <c r="AW138" s="855"/>
      <c r="AX138" s="864"/>
      <c r="AY138" s="864"/>
      <c r="AZ138" s="864"/>
      <c r="BA138" s="852"/>
      <c r="BB138" s="855"/>
      <c r="BC138" s="855"/>
      <c r="BD138" s="855"/>
      <c r="BE138" s="864"/>
      <c r="BF138" s="864"/>
      <c r="BG138" s="864"/>
      <c r="BH138" s="864"/>
      <c r="BI138" s="864"/>
      <c r="BJ138" s="864"/>
      <c r="BK138" s="864"/>
      <c r="BL138" s="864"/>
      <c r="BM138" s="864"/>
      <c r="BN138" s="864"/>
      <c r="BO138" s="864"/>
      <c r="BP138" s="864"/>
      <c r="BQ138" s="864"/>
      <c r="BR138" s="864"/>
      <c r="BS138" s="864"/>
      <c r="BT138" s="855"/>
      <c r="BU138" s="855"/>
      <c r="BV138" s="855"/>
      <c r="BW138" s="855"/>
      <c r="BX138" s="864"/>
      <c r="BY138" s="864"/>
      <c r="BZ138" s="864"/>
      <c r="CA138" s="864"/>
      <c r="CB138" s="864"/>
      <c r="CC138" s="912"/>
      <c r="CD138" s="864"/>
      <c r="CE138" s="864"/>
      <c r="CF138" s="864"/>
      <c r="CG138" s="864"/>
      <c r="CH138" s="864"/>
      <c r="CI138" s="864"/>
      <c r="CJ138" s="864"/>
      <c r="CK138" s="855"/>
      <c r="CL138" s="855"/>
      <c r="CM138" s="864"/>
      <c r="CN138" s="864"/>
      <c r="CO138" s="864"/>
      <c r="CP138" s="864"/>
      <c r="CQ138" s="864"/>
      <c r="CR138" s="864"/>
      <c r="CS138" s="864"/>
      <c r="CT138" s="864"/>
      <c r="CU138" s="864"/>
      <c r="CV138" s="864"/>
      <c r="CW138" s="864"/>
      <c r="CX138" s="864"/>
      <c r="CY138" s="864"/>
      <c r="CZ138" s="864"/>
      <c r="DA138" s="864"/>
      <c r="DB138" s="864"/>
      <c r="DC138" s="864"/>
      <c r="DD138" s="864"/>
      <c r="DE138" s="864"/>
      <c r="DF138" s="855" t="s">
        <v>465</v>
      </c>
      <c r="DG138" s="864"/>
      <c r="DH138" s="855"/>
      <c r="DI138" s="855"/>
      <c r="DJ138" s="855"/>
      <c r="DK138" s="855" t="s">
        <v>504</v>
      </c>
      <c r="DL138" s="855"/>
      <c r="DM138" s="855"/>
      <c r="DN138" s="864"/>
      <c r="DO138" s="864"/>
      <c r="DP138" s="855"/>
      <c r="DQ138" s="864"/>
      <c r="DR138" s="864"/>
      <c r="DS138" s="864"/>
      <c r="DT138" s="864"/>
      <c r="DU138" s="864"/>
      <c r="DV138" s="864"/>
      <c r="DW138" s="864"/>
      <c r="DX138" s="864"/>
      <c r="DY138" s="864"/>
      <c r="DZ138" s="864"/>
      <c r="EA138" s="864"/>
      <c r="EB138" s="864"/>
      <c r="EC138" s="864"/>
      <c r="ED138" s="864"/>
      <c r="EE138" s="864"/>
      <c r="EF138" s="855"/>
      <c r="EG138" s="855"/>
      <c r="EH138" s="855" t="s">
        <v>3032</v>
      </c>
      <c r="EI138" s="855"/>
      <c r="EJ138" s="858" t="s">
        <v>3066</v>
      </c>
      <c r="EK138" s="858"/>
      <c r="EL138" s="858"/>
      <c r="EM138" s="853"/>
      <c r="EN138" s="858"/>
      <c r="EO138" s="858"/>
      <c r="EP138" s="858"/>
      <c r="EQ138" s="858"/>
      <c r="ER138" s="858" t="s">
        <v>3164</v>
      </c>
      <c r="ES138" s="858"/>
      <c r="ET138" s="858" t="s">
        <v>3194</v>
      </c>
      <c r="EU138" s="864"/>
      <c r="EV138" s="864"/>
      <c r="EW138" s="855"/>
      <c r="EX138" s="864"/>
      <c r="EY138" s="864"/>
      <c r="EZ138" s="864"/>
      <c r="FA138" s="864"/>
      <c r="FB138" s="864"/>
      <c r="FC138" s="864"/>
      <c r="FD138" s="864"/>
      <c r="FE138" s="855"/>
      <c r="FF138" s="864"/>
      <c r="FG138" s="864"/>
      <c r="FH138" s="864"/>
      <c r="FI138" s="864"/>
      <c r="FJ138" s="864"/>
      <c r="FK138" s="855" t="s">
        <v>3237</v>
      </c>
      <c r="FL138" s="852" t="s">
        <v>465</v>
      </c>
      <c r="FM138" s="855" t="s">
        <v>3279</v>
      </c>
      <c r="FN138" s="855"/>
      <c r="FO138" s="855"/>
      <c r="FP138" s="855"/>
      <c r="FQ138" s="855"/>
      <c r="FR138" s="864"/>
      <c r="FS138" s="864"/>
      <c r="FT138" s="864"/>
      <c r="FU138" s="864"/>
      <c r="FV138" s="864"/>
      <c r="FW138" s="864"/>
      <c r="FX138" s="864"/>
      <c r="FY138" s="864"/>
      <c r="FZ138" s="864"/>
      <c r="GA138" s="855"/>
      <c r="GB138" s="855"/>
      <c r="GC138" s="855"/>
      <c r="GD138" s="855"/>
      <c r="GE138" s="855"/>
      <c r="GF138" s="855"/>
      <c r="GG138" s="855" t="s">
        <v>465</v>
      </c>
      <c r="GH138" s="864"/>
      <c r="GI138" s="864"/>
      <c r="GJ138" s="864"/>
      <c r="GK138" s="864"/>
      <c r="GL138" s="864"/>
      <c r="GM138" s="864"/>
      <c r="GN138" s="864"/>
      <c r="GO138" s="859"/>
      <c r="GP138" s="866"/>
      <c r="GQ138" s="867"/>
      <c r="GR138" s="864"/>
      <c r="GS138" s="864"/>
      <c r="GT138" s="864"/>
      <c r="GU138" s="864"/>
      <c r="GV138" s="864"/>
      <c r="GW138" s="864"/>
      <c r="GX138" s="864"/>
      <c r="GY138" s="864"/>
      <c r="GZ138" s="864"/>
      <c r="HA138" s="864"/>
      <c r="HB138" s="864"/>
      <c r="HC138" s="864"/>
      <c r="HD138" s="864"/>
      <c r="HE138" s="855"/>
      <c r="HF138" s="855"/>
      <c r="HG138" s="864"/>
      <c r="HH138" s="902" t="s">
        <v>3503</v>
      </c>
      <c r="HI138" s="855" t="s">
        <v>504</v>
      </c>
      <c r="HJ138" s="855"/>
      <c r="HK138" s="858"/>
      <c r="HL138" s="864"/>
      <c r="HM138" s="864"/>
      <c r="HN138" s="864"/>
      <c r="HO138" s="861"/>
      <c r="HP138" s="855"/>
      <c r="HQ138" s="855"/>
      <c r="HR138" s="862"/>
      <c r="HS138" s="855"/>
      <c r="HT138" s="855"/>
      <c r="HU138" s="855"/>
      <c r="HV138" s="925"/>
      <c r="HW138" s="855"/>
      <c r="HX138" s="855"/>
      <c r="HY138" s="855"/>
      <c r="HZ138" s="855"/>
      <c r="IA138" s="855"/>
      <c r="IB138" s="855"/>
      <c r="IC138" s="855" t="s">
        <v>3686</v>
      </c>
      <c r="ID138" s="855"/>
      <c r="IE138" s="855"/>
      <c r="IF138" s="855"/>
      <c r="IG138" s="862"/>
      <c r="IH138" s="855" t="s">
        <v>3739</v>
      </c>
      <c r="II138" s="855" t="s">
        <v>465</v>
      </c>
      <c r="IJ138" s="862"/>
      <c r="IK138" s="855"/>
      <c r="IL138" s="855" t="s">
        <v>504</v>
      </c>
      <c r="IM138" s="855" t="s">
        <v>3796</v>
      </c>
      <c r="IN138" s="855"/>
      <c r="IO138" s="864"/>
      <c r="IP138" s="864"/>
      <c r="IQ138" s="864"/>
      <c r="IR138" s="862" t="s">
        <v>3819</v>
      </c>
      <c r="IS138" s="855"/>
      <c r="IT138" s="855" t="s">
        <v>3855</v>
      </c>
      <c r="IU138" s="855" t="s">
        <v>3877</v>
      </c>
      <c r="IV138" s="855" t="s">
        <v>3898</v>
      </c>
      <c r="IW138" s="855"/>
      <c r="IX138" s="858"/>
      <c r="IY138" s="855"/>
      <c r="IZ138" s="855" t="s">
        <v>3961</v>
      </c>
      <c r="JA138" s="855"/>
      <c r="JB138" s="852" t="s">
        <v>3989</v>
      </c>
      <c r="JC138" s="855"/>
      <c r="JD138" s="855"/>
      <c r="JE138" s="855"/>
      <c r="JF138" s="858"/>
      <c r="JG138" s="855" t="s">
        <v>4073</v>
      </c>
      <c r="JH138" s="855"/>
      <c r="JI138" s="855"/>
      <c r="JJ138" s="855"/>
      <c r="JK138" s="855"/>
      <c r="JL138" s="855"/>
      <c r="JM138" s="855"/>
      <c r="JN138" s="855"/>
      <c r="JO138" s="855"/>
      <c r="JP138" s="855"/>
      <c r="JQ138" s="858"/>
      <c r="JR138" s="855"/>
      <c r="JS138" s="855"/>
      <c r="JT138" s="855"/>
      <c r="JU138" s="855"/>
      <c r="JV138" s="855"/>
      <c r="JW138" s="855"/>
      <c r="JX138" s="855"/>
      <c r="JY138" s="855"/>
      <c r="JZ138" s="855"/>
      <c r="KA138" s="855"/>
      <c r="KB138" s="855"/>
      <c r="KC138" s="855"/>
      <c r="KD138" s="855"/>
      <c r="KE138" s="862" t="s">
        <v>504</v>
      </c>
      <c r="KF138" s="862" t="s">
        <v>504</v>
      </c>
      <c r="KG138" s="862" t="s">
        <v>504</v>
      </c>
      <c r="KH138" s="862" t="s">
        <v>504</v>
      </c>
      <c r="KI138" s="862" t="s">
        <v>504</v>
      </c>
      <c r="KJ138" s="862" t="s">
        <v>504</v>
      </c>
      <c r="KK138" s="862" t="s">
        <v>504</v>
      </c>
      <c r="KL138" s="855" t="s">
        <v>4374</v>
      </c>
      <c r="KM138" s="864"/>
      <c r="KN138" s="864"/>
      <c r="KO138" s="864"/>
      <c r="KP138" s="864"/>
      <c r="KQ138" s="864"/>
      <c r="KR138" s="855"/>
      <c r="KS138" s="864"/>
      <c r="KT138" s="855"/>
      <c r="KU138" s="864"/>
      <c r="KV138" s="855" t="s">
        <v>4423</v>
      </c>
      <c r="KW138" s="855"/>
      <c r="KX138" s="855" t="s">
        <v>4469</v>
      </c>
      <c r="KY138" s="858" t="s">
        <v>4490</v>
      </c>
      <c r="KZ138" s="855" t="s">
        <v>4512</v>
      </c>
      <c r="LA138" s="855"/>
      <c r="LB138" s="855"/>
      <c r="LC138" s="855"/>
      <c r="LD138" s="855"/>
      <c r="LE138" s="855"/>
      <c r="LF138" s="858" t="s">
        <v>4588</v>
      </c>
      <c r="LG138" s="858" t="s">
        <v>4588</v>
      </c>
      <c r="LH138" s="858" t="s">
        <v>4588</v>
      </c>
      <c r="LI138" s="858" t="s">
        <v>4588</v>
      </c>
      <c r="LJ138" s="858"/>
      <c r="LK138" s="938"/>
      <c r="LL138" s="858" t="s">
        <v>4588</v>
      </c>
      <c r="LM138" s="858" t="s">
        <v>4588</v>
      </c>
      <c r="LN138" s="858"/>
      <c r="LO138" s="858"/>
      <c r="LP138" s="858"/>
      <c r="LQ138" s="858" t="s">
        <v>4723</v>
      </c>
      <c r="LR138" s="858"/>
      <c r="LS138" s="858"/>
      <c r="LT138" s="858"/>
      <c r="LU138" s="858"/>
      <c r="LV138" s="909"/>
      <c r="LW138" s="858"/>
      <c r="LX138" s="858"/>
      <c r="LY138" s="858"/>
    </row>
    <row r="139" spans="1:337" ht="409.5" x14ac:dyDescent="0.25">
      <c r="A139" s="1583" t="s">
        <v>35</v>
      </c>
      <c r="B139" s="1589" t="s">
        <v>175</v>
      </c>
      <c r="C139" s="331" t="s">
        <v>68</v>
      </c>
      <c r="D139" s="332" t="s">
        <v>176</v>
      </c>
      <c r="E139" s="849" t="s">
        <v>50</v>
      </c>
      <c r="F139" s="853"/>
      <c r="G139" s="853"/>
      <c r="H139" s="864"/>
      <c r="I139" s="864"/>
      <c r="J139" s="864"/>
      <c r="K139" s="864"/>
      <c r="L139" s="864"/>
      <c r="M139" s="864"/>
      <c r="N139" s="852" t="s">
        <v>2657</v>
      </c>
      <c r="O139" s="864"/>
      <c r="P139" s="864"/>
      <c r="Q139" s="864"/>
      <c r="R139" s="864"/>
      <c r="S139" s="864"/>
      <c r="T139" s="864"/>
      <c r="U139" s="864"/>
      <c r="V139" s="855"/>
      <c r="W139" s="900"/>
      <c r="X139" s="855" t="s">
        <v>465</v>
      </c>
      <c r="Y139" s="855"/>
      <c r="Z139" s="855"/>
      <c r="AA139" s="864"/>
      <c r="AB139" s="864"/>
      <c r="AC139" s="864"/>
      <c r="AD139" s="864"/>
      <c r="AE139" s="864"/>
      <c r="AF139" s="864"/>
      <c r="AG139" s="864"/>
      <c r="AH139" s="864"/>
      <c r="AI139" s="864"/>
      <c r="AJ139" s="864"/>
      <c r="AK139" s="864"/>
      <c r="AL139" s="864"/>
      <c r="AM139" s="864"/>
      <c r="AN139" s="864"/>
      <c r="AO139" s="864"/>
      <c r="AP139" s="864"/>
      <c r="AQ139" s="864"/>
      <c r="AR139" s="864"/>
      <c r="AS139" s="864"/>
      <c r="AT139" s="864"/>
      <c r="AU139" s="864"/>
      <c r="AV139" s="855" t="s">
        <v>2736</v>
      </c>
      <c r="AW139" s="855" t="s">
        <v>2753</v>
      </c>
      <c r="AX139" s="864"/>
      <c r="AY139" s="864"/>
      <c r="AZ139" s="864"/>
      <c r="BA139" s="852" t="s">
        <v>2764</v>
      </c>
      <c r="BB139" s="855"/>
      <c r="BC139" s="907" t="s">
        <v>2795</v>
      </c>
      <c r="BD139" s="911" t="s">
        <v>2811</v>
      </c>
      <c r="BE139" s="864"/>
      <c r="BF139" s="864"/>
      <c r="BG139" s="864"/>
      <c r="BH139" s="864"/>
      <c r="BI139" s="864"/>
      <c r="BJ139" s="864"/>
      <c r="BK139" s="864"/>
      <c r="BL139" s="864"/>
      <c r="BM139" s="864"/>
      <c r="BN139" s="864"/>
      <c r="BO139" s="864"/>
      <c r="BP139" s="864"/>
      <c r="BQ139" s="864"/>
      <c r="BR139" s="864"/>
      <c r="BS139" s="864"/>
      <c r="BT139" s="855" t="s">
        <v>2824</v>
      </c>
      <c r="BU139" s="852"/>
      <c r="BV139" s="855" t="s">
        <v>2846</v>
      </c>
      <c r="BW139" s="855"/>
      <c r="BX139" s="864"/>
      <c r="BY139" s="864"/>
      <c r="BZ139" s="864"/>
      <c r="CA139" s="864"/>
      <c r="CB139" s="864"/>
      <c r="CC139" s="862"/>
      <c r="CD139" s="864"/>
      <c r="CE139" s="864"/>
      <c r="CF139" s="864"/>
      <c r="CG139" s="864"/>
      <c r="CH139" s="864"/>
      <c r="CI139" s="864"/>
      <c r="CJ139" s="864"/>
      <c r="CK139" s="855" t="s">
        <v>2888</v>
      </c>
      <c r="CL139" s="855"/>
      <c r="CM139" s="864"/>
      <c r="CN139" s="864"/>
      <c r="CO139" s="864"/>
      <c r="CP139" s="864"/>
      <c r="CQ139" s="864"/>
      <c r="CR139" s="864"/>
      <c r="CS139" s="864"/>
      <c r="CT139" s="864"/>
      <c r="CU139" s="864"/>
      <c r="CV139" s="864"/>
      <c r="CW139" s="864"/>
      <c r="CX139" s="864"/>
      <c r="CY139" s="864"/>
      <c r="CZ139" s="864"/>
      <c r="DA139" s="864"/>
      <c r="DB139" s="864"/>
      <c r="DC139" s="864"/>
      <c r="DD139" s="864"/>
      <c r="DE139" s="864"/>
      <c r="DF139" s="907" t="s">
        <v>2917</v>
      </c>
      <c r="DG139" s="864"/>
      <c r="DH139" s="855" t="s">
        <v>504</v>
      </c>
      <c r="DI139" s="855"/>
      <c r="DJ139" s="855"/>
      <c r="DK139" s="855" t="s">
        <v>504</v>
      </c>
      <c r="DL139" s="855"/>
      <c r="DM139" s="855" t="s">
        <v>2979</v>
      </c>
      <c r="DN139" s="864"/>
      <c r="DO139" s="864"/>
      <c r="DP139" s="855"/>
      <c r="DQ139" s="864"/>
      <c r="DR139" s="864"/>
      <c r="DS139" s="864"/>
      <c r="DT139" s="864"/>
      <c r="DU139" s="864"/>
      <c r="DV139" s="864"/>
      <c r="DW139" s="864"/>
      <c r="DX139" s="864"/>
      <c r="DY139" s="864"/>
      <c r="DZ139" s="864"/>
      <c r="EA139" s="864"/>
      <c r="EB139" s="864"/>
      <c r="EC139" s="864"/>
      <c r="ED139" s="864"/>
      <c r="EE139" s="864"/>
      <c r="EF139" s="855" t="s">
        <v>2999</v>
      </c>
      <c r="EG139" s="855" t="s">
        <v>3003</v>
      </c>
      <c r="EH139" s="915" t="s">
        <v>3033</v>
      </c>
      <c r="EI139" s="855" t="s">
        <v>3049</v>
      </c>
      <c r="EJ139" s="916" t="s">
        <v>3067</v>
      </c>
      <c r="EK139" s="916" t="s">
        <v>3079</v>
      </c>
      <c r="EL139" s="858"/>
      <c r="EM139" s="853"/>
      <c r="EN139" s="916" t="s">
        <v>3118</v>
      </c>
      <c r="EO139" s="916" t="s">
        <v>3128</v>
      </c>
      <c r="EP139" s="858"/>
      <c r="EQ139" s="918" t="s">
        <v>3149</v>
      </c>
      <c r="ER139" s="918" t="s">
        <v>3165</v>
      </c>
      <c r="ES139" s="858" t="s">
        <v>3173</v>
      </c>
      <c r="ET139" s="918" t="s">
        <v>3195</v>
      </c>
      <c r="EU139" s="864"/>
      <c r="EV139" s="864"/>
      <c r="EW139" s="911" t="s">
        <v>3204</v>
      </c>
      <c r="EX139" s="864"/>
      <c r="EY139" s="864"/>
      <c r="EZ139" s="864"/>
      <c r="FA139" s="864"/>
      <c r="FB139" s="864"/>
      <c r="FC139" s="864"/>
      <c r="FD139" s="864"/>
      <c r="FE139" s="855"/>
      <c r="FF139" s="864"/>
      <c r="FG139" s="864"/>
      <c r="FH139" s="864"/>
      <c r="FI139" s="864"/>
      <c r="FJ139" s="864"/>
      <c r="FK139" s="911" t="s">
        <v>3238</v>
      </c>
      <c r="FL139" s="852" t="s">
        <v>504</v>
      </c>
      <c r="FM139" s="920" t="s">
        <v>3280</v>
      </c>
      <c r="FN139" s="855"/>
      <c r="FO139" s="855" t="s">
        <v>3298</v>
      </c>
      <c r="FP139" s="855" t="s">
        <v>3312</v>
      </c>
      <c r="FQ139" s="907" t="s">
        <v>3326</v>
      </c>
      <c r="FR139" s="864"/>
      <c r="FS139" s="864"/>
      <c r="FT139" s="864"/>
      <c r="FU139" s="864"/>
      <c r="FV139" s="864"/>
      <c r="FW139" s="864"/>
      <c r="FX139" s="864"/>
      <c r="FY139" s="864"/>
      <c r="FZ139" s="864"/>
      <c r="GA139" s="910" t="s">
        <v>3342</v>
      </c>
      <c r="GB139" s="855" t="s">
        <v>504</v>
      </c>
      <c r="GC139" s="855" t="s">
        <v>3370</v>
      </c>
      <c r="GD139" s="910" t="s">
        <v>3376</v>
      </c>
      <c r="GE139" s="855"/>
      <c r="GF139" s="855"/>
      <c r="GG139" s="910" t="s">
        <v>3420</v>
      </c>
      <c r="GH139" s="864"/>
      <c r="GI139" s="864"/>
      <c r="GJ139" s="864"/>
      <c r="GK139" s="864"/>
      <c r="GL139" s="864"/>
      <c r="GM139" s="864"/>
      <c r="GN139" s="864"/>
      <c r="GO139" s="859"/>
      <c r="GP139" s="866" t="s">
        <v>504</v>
      </c>
      <c r="GQ139" s="860" t="s">
        <v>3454</v>
      </c>
      <c r="GR139" s="864"/>
      <c r="GS139" s="864"/>
      <c r="GT139" s="864"/>
      <c r="GU139" s="864"/>
      <c r="GV139" s="864"/>
      <c r="GW139" s="864"/>
      <c r="GX139" s="864"/>
      <c r="GY139" s="864"/>
      <c r="GZ139" s="864"/>
      <c r="HA139" s="864"/>
      <c r="HB139" s="864"/>
      <c r="HC139" s="864"/>
      <c r="HD139" s="864"/>
      <c r="HE139" s="855"/>
      <c r="HF139" s="907" t="s">
        <v>3490</v>
      </c>
      <c r="HG139" s="864"/>
      <c r="HH139" s="916" t="s">
        <v>3498</v>
      </c>
      <c r="HI139" s="911" t="s">
        <v>3521</v>
      </c>
      <c r="HJ139" s="915" t="s">
        <v>3537</v>
      </c>
      <c r="HK139" s="858" t="s">
        <v>504</v>
      </c>
      <c r="HL139" s="864"/>
      <c r="HM139" s="864"/>
      <c r="HN139" s="864"/>
      <c r="HO139" s="1073" t="s">
        <v>3557</v>
      </c>
      <c r="HP139" s="910" t="s">
        <v>3567</v>
      </c>
      <c r="HQ139" s="911" t="s">
        <v>3579</v>
      </c>
      <c r="HR139" s="1074" t="s">
        <v>3584</v>
      </c>
      <c r="HS139" s="911" t="s">
        <v>3579</v>
      </c>
      <c r="HT139" s="911" t="s">
        <v>3579</v>
      </c>
      <c r="HU139" s="911" t="s">
        <v>3579</v>
      </c>
      <c r="HV139" s="1065" t="s">
        <v>3616</v>
      </c>
      <c r="HW139" s="911" t="s">
        <v>3579</v>
      </c>
      <c r="HX139" s="855" t="s">
        <v>3634</v>
      </c>
      <c r="HY139" s="907" t="s">
        <v>3638</v>
      </c>
      <c r="HZ139" s="907" t="s">
        <v>3652</v>
      </c>
      <c r="IA139" s="910" t="s">
        <v>3661</v>
      </c>
      <c r="IB139" s="855" t="s">
        <v>3675</v>
      </c>
      <c r="IC139" s="907" t="s">
        <v>3687</v>
      </c>
      <c r="ID139" s="910" t="s">
        <v>3700</v>
      </c>
      <c r="IE139" s="910" t="s">
        <v>3712</v>
      </c>
      <c r="IF139" s="911" t="s">
        <v>3579</v>
      </c>
      <c r="IG139" s="911" t="s">
        <v>3729</v>
      </c>
      <c r="IH139" s="907"/>
      <c r="II139" s="907" t="s">
        <v>3753</v>
      </c>
      <c r="IJ139" s="1075" t="s">
        <v>3760</v>
      </c>
      <c r="IK139" s="911" t="s">
        <v>3579</v>
      </c>
      <c r="IL139" s="910" t="s">
        <v>3783</v>
      </c>
      <c r="IM139" s="855" t="s">
        <v>3797</v>
      </c>
      <c r="IN139" s="855" t="s">
        <v>3806</v>
      </c>
      <c r="IO139" s="864"/>
      <c r="IP139" s="864"/>
      <c r="IQ139" s="864"/>
      <c r="IR139" s="930" t="s">
        <v>3812</v>
      </c>
      <c r="IS139" s="907" t="s">
        <v>3837</v>
      </c>
      <c r="IT139" s="904" t="s">
        <v>3856</v>
      </c>
      <c r="IU139" s="907" t="s">
        <v>3878</v>
      </c>
      <c r="IV139" s="855" t="s">
        <v>3899</v>
      </c>
      <c r="IW139" s="855" t="s">
        <v>3919</v>
      </c>
      <c r="IX139" s="931" t="s">
        <v>3934</v>
      </c>
      <c r="IY139" s="925" t="s">
        <v>3948</v>
      </c>
      <c r="IZ139" s="907" t="s">
        <v>3962</v>
      </c>
      <c r="JA139" s="855" t="s">
        <v>3974</v>
      </c>
      <c r="JB139" s="855" t="s">
        <v>3990</v>
      </c>
      <c r="JC139" s="910" t="s">
        <v>4005</v>
      </c>
      <c r="JD139" s="907" t="s">
        <v>4019</v>
      </c>
      <c r="JE139" s="907" t="s">
        <v>4038</v>
      </c>
      <c r="JF139" s="855" t="s">
        <v>4057</v>
      </c>
      <c r="JG139" s="907" t="s">
        <v>4074</v>
      </c>
      <c r="JH139" s="907" t="s">
        <v>4089</v>
      </c>
      <c r="JI139" s="907" t="s">
        <v>4111</v>
      </c>
      <c r="JJ139" s="907" t="s">
        <v>4128</v>
      </c>
      <c r="JK139" s="910" t="s">
        <v>4138</v>
      </c>
      <c r="JL139" s="864" t="s">
        <v>4147</v>
      </c>
      <c r="JM139" s="907" t="s">
        <v>4155</v>
      </c>
      <c r="JN139" s="855"/>
      <c r="JO139" s="855"/>
      <c r="JP139" s="855"/>
      <c r="JQ139" s="858" t="s">
        <v>4183</v>
      </c>
      <c r="JR139" s="910" t="s">
        <v>4190</v>
      </c>
      <c r="JS139" s="910" t="s">
        <v>4200</v>
      </c>
      <c r="JT139" s="910" t="s">
        <v>4211</v>
      </c>
      <c r="JU139" s="910" t="s">
        <v>4220</v>
      </c>
      <c r="JV139" s="910" t="s">
        <v>4228</v>
      </c>
      <c r="JW139" s="910" t="s">
        <v>4238</v>
      </c>
      <c r="JX139" s="855"/>
      <c r="JY139" s="910" t="s">
        <v>4260</v>
      </c>
      <c r="JZ139" s="910" t="s">
        <v>4268</v>
      </c>
      <c r="KA139" s="910" t="s">
        <v>4278</v>
      </c>
      <c r="KB139" s="910" t="s">
        <v>4287</v>
      </c>
      <c r="KC139" s="907" t="s">
        <v>4297</v>
      </c>
      <c r="KD139" s="907" t="s">
        <v>4307</v>
      </c>
      <c r="KE139" s="862">
        <v>0</v>
      </c>
      <c r="KF139" s="862" t="s">
        <v>504</v>
      </c>
      <c r="KG139" s="862" t="s">
        <v>504</v>
      </c>
      <c r="KH139" s="862" t="s">
        <v>504</v>
      </c>
      <c r="KI139" s="862" t="s">
        <v>504</v>
      </c>
      <c r="KJ139" s="862" t="s">
        <v>504</v>
      </c>
      <c r="KK139" s="862" t="s">
        <v>504</v>
      </c>
      <c r="KL139" s="907" t="s">
        <v>4375</v>
      </c>
      <c r="KM139" s="864"/>
      <c r="KN139" s="864"/>
      <c r="KO139" s="864"/>
      <c r="KP139" s="864"/>
      <c r="KQ139" s="864"/>
      <c r="KR139" s="907" t="s">
        <v>4386</v>
      </c>
      <c r="KS139" s="864"/>
      <c r="KT139" s="908" t="s">
        <v>4404</v>
      </c>
      <c r="KU139" s="864"/>
      <c r="KV139" s="932" t="s">
        <v>4424</v>
      </c>
      <c r="KW139" s="910" t="s">
        <v>4449</v>
      </c>
      <c r="KX139" s="910" t="s">
        <v>4470</v>
      </c>
      <c r="KY139" s="934" t="s">
        <v>4488</v>
      </c>
      <c r="KZ139" s="936" t="s">
        <v>4513</v>
      </c>
      <c r="LA139" s="911" t="s">
        <v>4488</v>
      </c>
      <c r="LB139" s="936" t="s">
        <v>4551</v>
      </c>
      <c r="LC139" s="936" t="s">
        <v>4551</v>
      </c>
      <c r="LD139" s="936" t="s">
        <v>4563</v>
      </c>
      <c r="LE139" s="855" t="s">
        <v>4570</v>
      </c>
      <c r="LF139" s="858" t="s">
        <v>4589</v>
      </c>
      <c r="LG139" s="938" t="s">
        <v>4605</v>
      </c>
      <c r="LH139" s="938" t="s">
        <v>4615</v>
      </c>
      <c r="LI139" s="938" t="s">
        <v>4626</v>
      </c>
      <c r="LJ139" s="938" t="s">
        <v>4637</v>
      </c>
      <c r="LK139" s="938" t="s">
        <v>4645</v>
      </c>
      <c r="LL139" s="938" t="s">
        <v>4655</v>
      </c>
      <c r="LM139" s="938" t="s">
        <v>4665</v>
      </c>
      <c r="LN139" s="923" t="s">
        <v>4678</v>
      </c>
      <c r="LO139" s="923" t="s">
        <v>4687</v>
      </c>
      <c r="LP139" s="938" t="s">
        <v>4704</v>
      </c>
      <c r="LQ139" s="939" t="s">
        <v>4725</v>
      </c>
      <c r="LR139" s="923" t="s">
        <v>4741</v>
      </c>
      <c r="LS139" s="923" t="s">
        <v>4754</v>
      </c>
      <c r="LT139" s="923" t="s">
        <v>4763</v>
      </c>
      <c r="LU139" s="923" t="s">
        <v>4774</v>
      </c>
      <c r="LV139" s="940" t="s">
        <v>4789</v>
      </c>
      <c r="LW139" s="923"/>
      <c r="LX139" s="923" t="s">
        <v>4810</v>
      </c>
      <c r="LY139" s="923" t="s">
        <v>4818</v>
      </c>
    </row>
    <row r="140" spans="1:337" ht="409.5" x14ac:dyDescent="0.25">
      <c r="A140" s="1584"/>
      <c r="B140" s="1590"/>
      <c r="C140" s="353" t="s">
        <v>69</v>
      </c>
      <c r="D140" s="354" t="s">
        <v>5374</v>
      </c>
      <c r="E140" s="847" t="s">
        <v>50</v>
      </c>
      <c r="F140" s="853"/>
      <c r="G140" s="853"/>
      <c r="H140" s="864"/>
      <c r="I140" s="864"/>
      <c r="J140" s="864"/>
      <c r="K140" s="864"/>
      <c r="L140" s="864"/>
      <c r="M140" s="864"/>
      <c r="N140" s="852" t="s">
        <v>2658</v>
      </c>
      <c r="O140" s="864"/>
      <c r="P140" s="864"/>
      <c r="Q140" s="864"/>
      <c r="R140" s="864"/>
      <c r="S140" s="864"/>
      <c r="T140" s="864"/>
      <c r="U140" s="864"/>
      <c r="V140" s="907"/>
      <c r="W140" s="1076" t="s">
        <v>2692</v>
      </c>
      <c r="X140" s="855" t="s">
        <v>465</v>
      </c>
      <c r="Y140" s="855" t="s">
        <v>465</v>
      </c>
      <c r="Z140" s="855" t="s">
        <v>2726</v>
      </c>
      <c r="AA140" s="864"/>
      <c r="AB140" s="864"/>
      <c r="AC140" s="864"/>
      <c r="AD140" s="864"/>
      <c r="AE140" s="864"/>
      <c r="AF140" s="864"/>
      <c r="AG140" s="864"/>
      <c r="AH140" s="864"/>
      <c r="AI140" s="864"/>
      <c r="AJ140" s="864"/>
      <c r="AK140" s="864"/>
      <c r="AL140" s="864"/>
      <c r="AM140" s="864"/>
      <c r="AN140" s="864"/>
      <c r="AO140" s="864"/>
      <c r="AP140" s="864"/>
      <c r="AQ140" s="864"/>
      <c r="AR140" s="864"/>
      <c r="AS140" s="864"/>
      <c r="AT140" s="864"/>
      <c r="AU140" s="864"/>
      <c r="AV140" s="855"/>
      <c r="AW140" s="855" t="s">
        <v>2754</v>
      </c>
      <c r="AX140" s="864"/>
      <c r="AY140" s="864"/>
      <c r="AZ140" s="864"/>
      <c r="BA140" s="852" t="s">
        <v>2765</v>
      </c>
      <c r="BB140" s="855"/>
      <c r="BC140" s="907" t="s">
        <v>2796</v>
      </c>
      <c r="BD140" s="855"/>
      <c r="BE140" s="864"/>
      <c r="BF140" s="864"/>
      <c r="BG140" s="864"/>
      <c r="BH140" s="864"/>
      <c r="BI140" s="864"/>
      <c r="BJ140" s="864"/>
      <c r="BK140" s="864"/>
      <c r="BL140" s="864"/>
      <c r="BM140" s="864"/>
      <c r="BN140" s="864"/>
      <c r="BO140" s="864"/>
      <c r="BP140" s="864"/>
      <c r="BQ140" s="864"/>
      <c r="BR140" s="864"/>
      <c r="BS140" s="864"/>
      <c r="BT140" s="855" t="s">
        <v>2825</v>
      </c>
      <c r="BU140" s="855"/>
      <c r="BV140" s="855"/>
      <c r="BW140" s="855"/>
      <c r="BX140" s="864"/>
      <c r="BY140" s="864"/>
      <c r="BZ140" s="864"/>
      <c r="CA140" s="864"/>
      <c r="CB140" s="864"/>
      <c r="CC140" s="862"/>
      <c r="CD140" s="864"/>
      <c r="CE140" s="864"/>
      <c r="CF140" s="864"/>
      <c r="CG140" s="864"/>
      <c r="CH140" s="864"/>
      <c r="CI140" s="864"/>
      <c r="CJ140" s="864"/>
      <c r="CK140" s="855"/>
      <c r="CL140" s="855"/>
      <c r="CM140" s="864"/>
      <c r="CN140" s="864"/>
      <c r="CO140" s="864"/>
      <c r="CP140" s="864"/>
      <c r="CQ140" s="864"/>
      <c r="CR140" s="864"/>
      <c r="CS140" s="864"/>
      <c r="CT140" s="864"/>
      <c r="CU140" s="864"/>
      <c r="CV140" s="864"/>
      <c r="CW140" s="864"/>
      <c r="CX140" s="864"/>
      <c r="CY140" s="864"/>
      <c r="CZ140" s="864"/>
      <c r="DA140" s="864"/>
      <c r="DB140" s="864"/>
      <c r="DC140" s="864"/>
      <c r="DD140" s="864"/>
      <c r="DE140" s="864"/>
      <c r="DF140" s="855"/>
      <c r="DG140" s="864"/>
      <c r="DH140" s="855"/>
      <c r="DI140" s="855"/>
      <c r="DJ140" s="855"/>
      <c r="DK140" s="855" t="s">
        <v>504</v>
      </c>
      <c r="DL140" s="855"/>
      <c r="DM140" s="855" t="s">
        <v>2980</v>
      </c>
      <c r="DN140" s="864"/>
      <c r="DO140" s="864"/>
      <c r="DP140" s="855"/>
      <c r="DQ140" s="864"/>
      <c r="DR140" s="864"/>
      <c r="DS140" s="864"/>
      <c r="DT140" s="864"/>
      <c r="DU140" s="864"/>
      <c r="DV140" s="864"/>
      <c r="DW140" s="864"/>
      <c r="DX140" s="864"/>
      <c r="DY140" s="864"/>
      <c r="DZ140" s="864"/>
      <c r="EA140" s="864"/>
      <c r="EB140" s="864"/>
      <c r="EC140" s="864"/>
      <c r="ED140" s="864"/>
      <c r="EE140" s="864"/>
      <c r="EF140" s="855"/>
      <c r="EG140" s="855"/>
      <c r="EH140" s="915" t="s">
        <v>3033</v>
      </c>
      <c r="EI140" s="855" t="s">
        <v>504</v>
      </c>
      <c r="EJ140" s="916" t="s">
        <v>3057</v>
      </c>
      <c r="EK140" s="858"/>
      <c r="EL140" s="858"/>
      <c r="EM140" s="916" t="s">
        <v>3104</v>
      </c>
      <c r="EN140" s="858"/>
      <c r="EO140" s="858"/>
      <c r="EP140" s="858"/>
      <c r="EQ140" s="918" t="s">
        <v>3150</v>
      </c>
      <c r="ER140" s="858"/>
      <c r="ES140" s="858"/>
      <c r="ET140" s="858" t="s">
        <v>3196</v>
      </c>
      <c r="EU140" s="864"/>
      <c r="EV140" s="864"/>
      <c r="EW140" s="911" t="s">
        <v>3213</v>
      </c>
      <c r="EX140" s="864"/>
      <c r="EY140" s="864"/>
      <c r="EZ140" s="864"/>
      <c r="FA140" s="864"/>
      <c r="FB140" s="864"/>
      <c r="FC140" s="864"/>
      <c r="FD140" s="864"/>
      <c r="FE140" s="855"/>
      <c r="FF140" s="864"/>
      <c r="FG140" s="864"/>
      <c r="FH140" s="864"/>
      <c r="FI140" s="864"/>
      <c r="FJ140" s="864"/>
      <c r="FK140" s="852" t="s">
        <v>3239</v>
      </c>
      <c r="FL140" s="900" t="s">
        <v>3260</v>
      </c>
      <c r="FM140" s="855" t="s">
        <v>3281</v>
      </c>
      <c r="FN140" s="855"/>
      <c r="FO140" s="855" t="s">
        <v>3299</v>
      </c>
      <c r="FP140" s="855"/>
      <c r="FQ140" s="907" t="s">
        <v>3327</v>
      </c>
      <c r="FR140" s="864"/>
      <c r="FS140" s="864"/>
      <c r="FT140" s="864"/>
      <c r="FU140" s="864"/>
      <c r="FV140" s="864"/>
      <c r="FW140" s="864"/>
      <c r="FX140" s="864"/>
      <c r="FY140" s="864"/>
      <c r="FZ140" s="864"/>
      <c r="GA140" s="855"/>
      <c r="GB140" s="855" t="s">
        <v>504</v>
      </c>
      <c r="GC140" s="855" t="s">
        <v>504</v>
      </c>
      <c r="GD140" s="855"/>
      <c r="GE140" s="855"/>
      <c r="GF140" s="855"/>
      <c r="GG140" s="855" t="s">
        <v>465</v>
      </c>
      <c r="GH140" s="864"/>
      <c r="GI140" s="864"/>
      <c r="GJ140" s="864"/>
      <c r="GK140" s="864"/>
      <c r="GL140" s="864"/>
      <c r="GM140" s="864"/>
      <c r="GN140" s="864"/>
      <c r="GO140" s="859" t="s">
        <v>465</v>
      </c>
      <c r="GP140" s="866"/>
      <c r="GQ140" s="860" t="s">
        <v>3454</v>
      </c>
      <c r="GR140" s="864"/>
      <c r="GS140" s="864"/>
      <c r="GT140" s="864"/>
      <c r="GU140" s="864"/>
      <c r="GV140" s="864"/>
      <c r="GW140" s="864"/>
      <c r="GX140" s="864"/>
      <c r="GY140" s="864"/>
      <c r="GZ140" s="864"/>
      <c r="HA140" s="864"/>
      <c r="HB140" s="864"/>
      <c r="HC140" s="864"/>
      <c r="HD140" s="864"/>
      <c r="HE140" s="855" t="s">
        <v>3477</v>
      </c>
      <c r="HF140" s="855"/>
      <c r="HG140" s="864"/>
      <c r="HH140" s="916" t="s">
        <v>3504</v>
      </c>
      <c r="HI140" s="911" t="s">
        <v>3522</v>
      </c>
      <c r="HJ140" s="915" t="s">
        <v>3538</v>
      </c>
      <c r="HK140" s="858" t="s">
        <v>504</v>
      </c>
      <c r="HL140" s="864"/>
      <c r="HM140" s="864"/>
      <c r="HN140" s="864"/>
      <c r="HO140" s="861"/>
      <c r="HP140" s="855"/>
      <c r="HQ140" s="855"/>
      <c r="HR140" s="852" t="s">
        <v>504</v>
      </c>
      <c r="HS140" s="855"/>
      <c r="HT140" s="855"/>
      <c r="HU140" s="855"/>
      <c r="HV140" s="907" t="s">
        <v>3617</v>
      </c>
      <c r="HW140" s="855"/>
      <c r="HX140" s="855"/>
      <c r="HY140" s="855"/>
      <c r="HZ140" s="907" t="s">
        <v>3653</v>
      </c>
      <c r="IA140" s="855"/>
      <c r="IB140" s="855"/>
      <c r="IC140" s="855"/>
      <c r="ID140" s="855" t="s">
        <v>504</v>
      </c>
      <c r="IE140" s="855" t="s">
        <v>3713</v>
      </c>
      <c r="IF140" s="855"/>
      <c r="IG140" s="862"/>
      <c r="IH140" s="855" t="s">
        <v>3740</v>
      </c>
      <c r="II140" s="907" t="s">
        <v>3754</v>
      </c>
      <c r="IJ140" s="1075" t="s">
        <v>3754</v>
      </c>
      <c r="IK140" s="855"/>
      <c r="IL140" s="855" t="s">
        <v>504</v>
      </c>
      <c r="IM140" s="855" t="s">
        <v>3798</v>
      </c>
      <c r="IN140" s="855"/>
      <c r="IO140" s="864"/>
      <c r="IP140" s="864"/>
      <c r="IQ140" s="864"/>
      <c r="IR140" s="862" t="s">
        <v>504</v>
      </c>
      <c r="IS140" s="855"/>
      <c r="IT140" s="911" t="s">
        <v>3857</v>
      </c>
      <c r="IU140" s="1076" t="s">
        <v>3879</v>
      </c>
      <c r="IV140" s="855" t="s">
        <v>3900</v>
      </c>
      <c r="IW140" s="855"/>
      <c r="IX140" s="858" t="s">
        <v>3935</v>
      </c>
      <c r="IY140" s="855" t="s">
        <v>3949</v>
      </c>
      <c r="IZ140" s="907" t="s">
        <v>3963</v>
      </c>
      <c r="JA140" s="855" t="s">
        <v>3975</v>
      </c>
      <c r="JB140" s="855" t="s">
        <v>3991</v>
      </c>
      <c r="JC140" s="855"/>
      <c r="JD140" s="855" t="s">
        <v>504</v>
      </c>
      <c r="JE140" s="907" t="s">
        <v>4039</v>
      </c>
      <c r="JF140" s="855" t="s">
        <v>4058</v>
      </c>
      <c r="JG140" s="855"/>
      <c r="JH140" s="855"/>
      <c r="JI140" s="907"/>
      <c r="JJ140" s="855"/>
      <c r="JK140" s="855"/>
      <c r="JL140" s="1076" t="s">
        <v>4148</v>
      </c>
      <c r="JM140" s="907" t="s">
        <v>4156</v>
      </c>
      <c r="JN140" s="907" t="s">
        <v>5594</v>
      </c>
      <c r="JO140" s="855" t="s">
        <v>4167</v>
      </c>
      <c r="JP140" s="855" t="s">
        <v>5595</v>
      </c>
      <c r="JQ140" s="858"/>
      <c r="JR140" s="855"/>
      <c r="JS140" s="855"/>
      <c r="JT140" s="855"/>
      <c r="JU140" s="855"/>
      <c r="JV140" s="855"/>
      <c r="JW140" s="855" t="s">
        <v>4239</v>
      </c>
      <c r="JX140" s="855" t="s">
        <v>4251</v>
      </c>
      <c r="JY140" s="855"/>
      <c r="JZ140" s="855"/>
      <c r="KA140" s="910" t="s">
        <v>4279</v>
      </c>
      <c r="KB140" s="910" t="s">
        <v>4288</v>
      </c>
      <c r="KC140" s="855"/>
      <c r="KD140" s="907" t="s">
        <v>4308</v>
      </c>
      <c r="KE140" s="862" t="s">
        <v>4316</v>
      </c>
      <c r="KF140" s="862" t="s">
        <v>504</v>
      </c>
      <c r="KG140" s="862" t="s">
        <v>504</v>
      </c>
      <c r="KH140" s="862" t="s">
        <v>504</v>
      </c>
      <c r="KI140" s="862" t="s">
        <v>504</v>
      </c>
      <c r="KJ140" s="862" t="s">
        <v>504</v>
      </c>
      <c r="KK140" s="862" t="s">
        <v>504</v>
      </c>
      <c r="KL140" s="907" t="s">
        <v>4376</v>
      </c>
      <c r="KM140" s="864"/>
      <c r="KN140" s="864"/>
      <c r="KO140" s="864"/>
      <c r="KP140" s="864"/>
      <c r="KQ140" s="864"/>
      <c r="KR140" s="855" t="s">
        <v>504</v>
      </c>
      <c r="KS140" s="864"/>
      <c r="KT140" s="855" t="s">
        <v>465</v>
      </c>
      <c r="KU140" s="864"/>
      <c r="KV140" s="932" t="s">
        <v>4425</v>
      </c>
      <c r="KW140" s="855" t="s">
        <v>4450</v>
      </c>
      <c r="KX140" s="1077" t="s">
        <v>4471</v>
      </c>
      <c r="KY140" s="934" t="s">
        <v>4491</v>
      </c>
      <c r="KZ140" s="936" t="s">
        <v>4514</v>
      </c>
      <c r="LA140" s="855" t="s">
        <v>4533</v>
      </c>
      <c r="LB140" s="855" t="s">
        <v>4552</v>
      </c>
      <c r="LC140" s="855" t="s">
        <v>4552</v>
      </c>
      <c r="LD140" s="855"/>
      <c r="LE140" s="855"/>
      <c r="LF140" s="858" t="s">
        <v>4590</v>
      </c>
      <c r="LG140" s="858"/>
      <c r="LH140" s="938" t="s">
        <v>4616</v>
      </c>
      <c r="LI140" s="858"/>
      <c r="LJ140" s="858"/>
      <c r="LK140" s="858"/>
      <c r="LL140" s="858"/>
      <c r="LM140" s="938"/>
      <c r="LN140" s="858"/>
      <c r="LO140" s="858"/>
      <c r="LP140" s="938" t="s">
        <v>4705</v>
      </c>
      <c r="LQ140" s="858" t="s">
        <v>4726</v>
      </c>
      <c r="LR140" s="923" t="s">
        <v>4742</v>
      </c>
      <c r="LS140" s="923" t="s">
        <v>4755</v>
      </c>
      <c r="LT140" s="923" t="s">
        <v>4764</v>
      </c>
      <c r="LU140" s="923" t="s">
        <v>4775</v>
      </c>
      <c r="LV140" s="923" t="s">
        <v>4790</v>
      </c>
      <c r="LW140" s="923" t="s">
        <v>4802</v>
      </c>
      <c r="LX140" s="923" t="s">
        <v>504</v>
      </c>
      <c r="LY140" s="1056" t="s">
        <v>504</v>
      </c>
    </row>
    <row r="141" spans="1:337" ht="236.25" x14ac:dyDescent="0.25">
      <c r="A141" s="1584"/>
      <c r="B141" s="1590"/>
      <c r="C141" s="353" t="s">
        <v>70</v>
      </c>
      <c r="D141" s="354" t="s">
        <v>47</v>
      </c>
      <c r="E141" s="847" t="s">
        <v>155</v>
      </c>
      <c r="F141" s="853"/>
      <c r="G141" s="853"/>
      <c r="H141" s="864"/>
      <c r="I141" s="864"/>
      <c r="J141" s="864"/>
      <c r="K141" s="864"/>
      <c r="L141" s="864"/>
      <c r="M141" s="864"/>
      <c r="N141" s="852" t="s">
        <v>2657</v>
      </c>
      <c r="O141" s="864"/>
      <c r="P141" s="864"/>
      <c r="Q141" s="864"/>
      <c r="R141" s="864"/>
      <c r="S141" s="864"/>
      <c r="T141" s="864"/>
      <c r="U141" s="864"/>
      <c r="V141" s="855"/>
      <c r="W141" s="1062"/>
      <c r="X141" s="855" t="s">
        <v>465</v>
      </c>
      <c r="Y141" s="855" t="s">
        <v>465</v>
      </c>
      <c r="Z141" s="855"/>
      <c r="AA141" s="864"/>
      <c r="AB141" s="864"/>
      <c r="AC141" s="864"/>
      <c r="AD141" s="864"/>
      <c r="AE141" s="864"/>
      <c r="AF141" s="864"/>
      <c r="AG141" s="864"/>
      <c r="AH141" s="864"/>
      <c r="AI141" s="864"/>
      <c r="AJ141" s="864"/>
      <c r="AK141" s="864"/>
      <c r="AL141" s="864"/>
      <c r="AM141" s="864"/>
      <c r="AN141" s="864"/>
      <c r="AO141" s="864"/>
      <c r="AP141" s="864"/>
      <c r="AQ141" s="864"/>
      <c r="AR141" s="864"/>
      <c r="AS141" s="864"/>
      <c r="AT141" s="864"/>
      <c r="AU141" s="864"/>
      <c r="AV141" s="855"/>
      <c r="AW141" s="855"/>
      <c r="AX141" s="864"/>
      <c r="AY141" s="864"/>
      <c r="AZ141" s="864"/>
      <c r="BA141" s="852"/>
      <c r="BB141" s="855"/>
      <c r="BC141" s="855"/>
      <c r="BD141" s="855"/>
      <c r="BE141" s="864"/>
      <c r="BF141" s="864"/>
      <c r="BG141" s="864"/>
      <c r="BH141" s="864"/>
      <c r="BI141" s="864"/>
      <c r="BJ141" s="864"/>
      <c r="BK141" s="864"/>
      <c r="BL141" s="864"/>
      <c r="BM141" s="864"/>
      <c r="BN141" s="864"/>
      <c r="BO141" s="864"/>
      <c r="BP141" s="864"/>
      <c r="BQ141" s="864"/>
      <c r="BR141" s="864"/>
      <c r="BS141" s="864"/>
      <c r="BT141" s="855"/>
      <c r="BU141" s="855"/>
      <c r="BV141" s="855"/>
      <c r="BW141" s="855"/>
      <c r="BX141" s="864"/>
      <c r="BY141" s="864"/>
      <c r="BZ141" s="864"/>
      <c r="CA141" s="864"/>
      <c r="CB141" s="864"/>
      <c r="CC141" s="862"/>
      <c r="CD141" s="864"/>
      <c r="CE141" s="864"/>
      <c r="CF141" s="864"/>
      <c r="CG141" s="864"/>
      <c r="CH141" s="864"/>
      <c r="CI141" s="864"/>
      <c r="CJ141" s="864"/>
      <c r="CK141" s="1064" t="s">
        <v>2889</v>
      </c>
      <c r="CL141" s="1064" t="s">
        <v>2901</v>
      </c>
      <c r="CM141" s="864"/>
      <c r="CN141" s="864"/>
      <c r="CO141" s="864"/>
      <c r="CP141" s="864"/>
      <c r="CQ141" s="864"/>
      <c r="CR141" s="864"/>
      <c r="CS141" s="864"/>
      <c r="CT141" s="864"/>
      <c r="CU141" s="864"/>
      <c r="CV141" s="864"/>
      <c r="CW141" s="864"/>
      <c r="CX141" s="864"/>
      <c r="CY141" s="864"/>
      <c r="CZ141" s="864"/>
      <c r="DA141" s="864"/>
      <c r="DB141" s="864"/>
      <c r="DC141" s="864"/>
      <c r="DD141" s="864"/>
      <c r="DE141" s="864"/>
      <c r="DF141" s="855"/>
      <c r="DG141" s="864"/>
      <c r="DH141" s="855"/>
      <c r="DI141" s="855"/>
      <c r="DJ141" s="855"/>
      <c r="DK141" s="855" t="s">
        <v>504</v>
      </c>
      <c r="DL141" s="855"/>
      <c r="DM141" s="855"/>
      <c r="DN141" s="864"/>
      <c r="DO141" s="864"/>
      <c r="DP141" s="855"/>
      <c r="DQ141" s="864"/>
      <c r="DR141" s="864"/>
      <c r="DS141" s="864"/>
      <c r="DT141" s="864"/>
      <c r="DU141" s="864"/>
      <c r="DV141" s="864"/>
      <c r="DW141" s="864"/>
      <c r="DX141" s="864"/>
      <c r="DY141" s="864"/>
      <c r="DZ141" s="864"/>
      <c r="EA141" s="864"/>
      <c r="EB141" s="864"/>
      <c r="EC141" s="864"/>
      <c r="ED141" s="864"/>
      <c r="EE141" s="864"/>
      <c r="EF141" s="855" t="s">
        <v>2999</v>
      </c>
      <c r="EG141" s="855"/>
      <c r="EH141" s="915" t="s">
        <v>3033</v>
      </c>
      <c r="EI141" s="855" t="s">
        <v>3049</v>
      </c>
      <c r="EJ141" s="916" t="s">
        <v>3067</v>
      </c>
      <c r="EK141" s="858"/>
      <c r="EL141" s="858"/>
      <c r="EM141" s="853"/>
      <c r="EN141" s="916" t="s">
        <v>3119</v>
      </c>
      <c r="EO141" s="858"/>
      <c r="EP141" s="858"/>
      <c r="EQ141" s="918" t="s">
        <v>3151</v>
      </c>
      <c r="ER141" s="918" t="s">
        <v>3166</v>
      </c>
      <c r="ES141" s="858"/>
      <c r="ET141" s="858" t="s">
        <v>504</v>
      </c>
      <c r="EU141" s="864"/>
      <c r="EV141" s="864"/>
      <c r="EW141" s="855" t="s">
        <v>504</v>
      </c>
      <c r="EX141" s="864"/>
      <c r="EY141" s="864"/>
      <c r="EZ141" s="864"/>
      <c r="FA141" s="864"/>
      <c r="FB141" s="864"/>
      <c r="FC141" s="864"/>
      <c r="FD141" s="864"/>
      <c r="FE141" s="855"/>
      <c r="FF141" s="864"/>
      <c r="FG141" s="864"/>
      <c r="FH141" s="864"/>
      <c r="FI141" s="864"/>
      <c r="FJ141" s="864"/>
      <c r="FK141" s="911" t="s">
        <v>3240</v>
      </c>
      <c r="FL141" s="855" t="s">
        <v>504</v>
      </c>
      <c r="FM141" s="920" t="s">
        <v>3280</v>
      </c>
      <c r="FN141" s="855"/>
      <c r="FO141" s="855" t="s">
        <v>3300</v>
      </c>
      <c r="FP141" s="855" t="s">
        <v>465</v>
      </c>
      <c r="FQ141" s="855"/>
      <c r="FR141" s="864"/>
      <c r="FS141" s="864"/>
      <c r="FT141" s="864"/>
      <c r="FU141" s="864"/>
      <c r="FV141" s="864"/>
      <c r="FW141" s="864"/>
      <c r="FX141" s="864"/>
      <c r="FY141" s="864"/>
      <c r="FZ141" s="864"/>
      <c r="GA141" s="910" t="s">
        <v>3342</v>
      </c>
      <c r="GB141" s="855" t="s">
        <v>504</v>
      </c>
      <c r="GC141" s="855" t="s">
        <v>504</v>
      </c>
      <c r="GD141" s="855"/>
      <c r="GE141" s="855"/>
      <c r="GF141" s="855"/>
      <c r="GG141" s="855" t="s">
        <v>465</v>
      </c>
      <c r="GH141" s="864"/>
      <c r="GI141" s="864"/>
      <c r="GJ141" s="864"/>
      <c r="GK141" s="864"/>
      <c r="GL141" s="864"/>
      <c r="GM141" s="864"/>
      <c r="GN141" s="864"/>
      <c r="GO141" s="859" t="s">
        <v>465</v>
      </c>
      <c r="GP141" s="866"/>
      <c r="GQ141" s="867" t="s">
        <v>1104</v>
      </c>
      <c r="GR141" s="864"/>
      <c r="GS141" s="864"/>
      <c r="GT141" s="864"/>
      <c r="GU141" s="864"/>
      <c r="GV141" s="864"/>
      <c r="GW141" s="864"/>
      <c r="GX141" s="864"/>
      <c r="GY141" s="864"/>
      <c r="GZ141" s="864"/>
      <c r="HA141" s="864"/>
      <c r="HB141" s="864"/>
      <c r="HC141" s="864"/>
      <c r="HD141" s="864"/>
      <c r="HE141" s="907" t="s">
        <v>3478</v>
      </c>
      <c r="HF141" s="855"/>
      <c r="HG141" s="864"/>
      <c r="HH141" s="916" t="s">
        <v>3498</v>
      </c>
      <c r="HI141" s="911" t="s">
        <v>3523</v>
      </c>
      <c r="HJ141" s="855"/>
      <c r="HK141" s="858" t="s">
        <v>504</v>
      </c>
      <c r="HL141" s="864"/>
      <c r="HM141" s="864"/>
      <c r="HN141" s="864"/>
      <c r="HO141" s="861"/>
      <c r="HP141" s="855"/>
      <c r="HQ141" s="855"/>
      <c r="HR141" s="862"/>
      <c r="HS141" s="855"/>
      <c r="HT141" s="855"/>
      <c r="HU141" s="855"/>
      <c r="HV141" s="925"/>
      <c r="HW141" s="855"/>
      <c r="HX141" s="855"/>
      <c r="HY141" s="855"/>
      <c r="HZ141" s="855"/>
      <c r="IA141" s="855"/>
      <c r="IB141" s="855"/>
      <c r="IC141" s="855"/>
      <c r="ID141" s="855" t="s">
        <v>504</v>
      </c>
      <c r="IE141" s="855" t="s">
        <v>504</v>
      </c>
      <c r="IF141" s="855"/>
      <c r="IG141" s="862"/>
      <c r="IH141" s="907"/>
      <c r="II141" s="907" t="s">
        <v>3755</v>
      </c>
      <c r="IJ141" s="1075" t="s">
        <v>3755</v>
      </c>
      <c r="IK141" s="855"/>
      <c r="IL141" s="855" t="s">
        <v>504</v>
      </c>
      <c r="IM141" s="855"/>
      <c r="IN141" s="855"/>
      <c r="IO141" s="864"/>
      <c r="IP141" s="864"/>
      <c r="IQ141" s="864"/>
      <c r="IR141" s="862" t="s">
        <v>504</v>
      </c>
      <c r="IS141" s="855"/>
      <c r="IT141" s="911" t="s">
        <v>3858</v>
      </c>
      <c r="IU141" s="855" t="s">
        <v>504</v>
      </c>
      <c r="IV141" s="907" t="s">
        <v>3901</v>
      </c>
      <c r="IW141" s="855"/>
      <c r="IX141" s="858" t="s">
        <v>504</v>
      </c>
      <c r="IY141" s="855" t="s">
        <v>504</v>
      </c>
      <c r="IZ141" s="855"/>
      <c r="JA141" s="855" t="s">
        <v>504</v>
      </c>
      <c r="JB141" s="855" t="s">
        <v>465</v>
      </c>
      <c r="JC141" s="855"/>
      <c r="JD141" s="907" t="s">
        <v>4020</v>
      </c>
      <c r="JE141" s="907" t="s">
        <v>4040</v>
      </c>
      <c r="JF141" s="855" t="s">
        <v>4059</v>
      </c>
      <c r="JG141" s="855" t="s">
        <v>4075</v>
      </c>
      <c r="JH141" s="855"/>
      <c r="JI141" s="855"/>
      <c r="JJ141" s="855"/>
      <c r="JK141" s="855"/>
      <c r="JL141" s="855"/>
      <c r="JM141" s="855" t="s">
        <v>2008</v>
      </c>
      <c r="JN141" s="855"/>
      <c r="JO141" s="855"/>
      <c r="JP141" s="855" t="s">
        <v>504</v>
      </c>
      <c r="JQ141" s="858"/>
      <c r="JR141" s="855"/>
      <c r="JS141" s="855"/>
      <c r="JT141" s="855" t="s">
        <v>4212</v>
      </c>
      <c r="JU141" s="855"/>
      <c r="JV141" s="855"/>
      <c r="JW141" s="855"/>
      <c r="JX141" s="855"/>
      <c r="JY141" s="855"/>
      <c r="JZ141" s="855"/>
      <c r="KA141" s="855"/>
      <c r="KB141" s="855"/>
      <c r="KC141" s="855"/>
      <c r="KD141" s="855" t="s">
        <v>504</v>
      </c>
      <c r="KE141" s="862" t="s">
        <v>504</v>
      </c>
      <c r="KF141" s="862" t="s">
        <v>504</v>
      </c>
      <c r="KG141" s="862" t="s">
        <v>504</v>
      </c>
      <c r="KH141" s="862" t="s">
        <v>504</v>
      </c>
      <c r="KI141" s="862" t="s">
        <v>504</v>
      </c>
      <c r="KJ141" s="862" t="s">
        <v>504</v>
      </c>
      <c r="KK141" s="862" t="s">
        <v>504</v>
      </c>
      <c r="KL141" s="855" t="s">
        <v>504</v>
      </c>
      <c r="KM141" s="864"/>
      <c r="KN141" s="864"/>
      <c r="KO141" s="864"/>
      <c r="KP141" s="864"/>
      <c r="KQ141" s="864"/>
      <c r="KR141" s="855" t="s">
        <v>504</v>
      </c>
      <c r="KS141" s="864"/>
      <c r="KT141" s="855" t="s">
        <v>465</v>
      </c>
      <c r="KU141" s="864"/>
      <c r="KV141" s="932" t="s">
        <v>4426</v>
      </c>
      <c r="KW141" s="855" t="s">
        <v>4451</v>
      </c>
      <c r="KX141" s="855"/>
      <c r="KY141" s="934" t="s">
        <v>4478</v>
      </c>
      <c r="KZ141" s="855"/>
      <c r="LA141" s="936" t="s">
        <v>4534</v>
      </c>
      <c r="LB141" s="855"/>
      <c r="LC141" s="855"/>
      <c r="LD141" s="855"/>
      <c r="LE141" s="855" t="s">
        <v>465</v>
      </c>
      <c r="LF141" s="858" t="s">
        <v>4591</v>
      </c>
      <c r="LG141" s="858"/>
      <c r="LH141" s="858"/>
      <c r="LI141" s="858"/>
      <c r="LJ141" s="858"/>
      <c r="LK141" s="858"/>
      <c r="LL141" s="858"/>
      <c r="LM141" s="858"/>
      <c r="LN141" s="858"/>
      <c r="LO141" s="858"/>
      <c r="LP141" s="938" t="s">
        <v>4703</v>
      </c>
      <c r="LQ141" s="939" t="s">
        <v>4725</v>
      </c>
      <c r="LR141" s="858"/>
      <c r="LS141" s="858"/>
      <c r="LT141" s="858"/>
      <c r="LU141" s="858" t="s">
        <v>504</v>
      </c>
      <c r="LV141" s="909" t="s">
        <v>504</v>
      </c>
      <c r="LW141" s="858" t="s">
        <v>504</v>
      </c>
      <c r="LX141" s="858" t="s">
        <v>504</v>
      </c>
      <c r="LY141" s="858" t="s">
        <v>504</v>
      </c>
    </row>
    <row r="142" spans="1:337" ht="409.5" x14ac:dyDescent="0.25">
      <c r="A142" s="1584"/>
      <c r="B142" s="1590"/>
      <c r="C142" s="353" t="s">
        <v>5375</v>
      </c>
      <c r="D142" s="354" t="s">
        <v>5376</v>
      </c>
      <c r="E142" s="847" t="s">
        <v>48</v>
      </c>
      <c r="F142" s="853"/>
      <c r="G142" s="853"/>
      <c r="H142" s="864"/>
      <c r="I142" s="864"/>
      <c r="J142" s="864"/>
      <c r="K142" s="864"/>
      <c r="L142" s="864"/>
      <c r="M142" s="864"/>
      <c r="N142" s="852" t="s">
        <v>2659</v>
      </c>
      <c r="O142" s="864"/>
      <c r="P142" s="864"/>
      <c r="Q142" s="864"/>
      <c r="R142" s="864"/>
      <c r="S142" s="864"/>
      <c r="T142" s="864"/>
      <c r="U142" s="864"/>
      <c r="V142" s="900" t="s">
        <v>2677</v>
      </c>
      <c r="W142" s="855"/>
      <c r="X142" s="855" t="s">
        <v>2703</v>
      </c>
      <c r="Y142" s="855" t="s">
        <v>2712</v>
      </c>
      <c r="Z142" s="855"/>
      <c r="AA142" s="864"/>
      <c r="AB142" s="864"/>
      <c r="AC142" s="864"/>
      <c r="AD142" s="864"/>
      <c r="AE142" s="864"/>
      <c r="AF142" s="864"/>
      <c r="AG142" s="864"/>
      <c r="AH142" s="864"/>
      <c r="AI142" s="864"/>
      <c r="AJ142" s="864"/>
      <c r="AK142" s="864"/>
      <c r="AL142" s="864"/>
      <c r="AM142" s="864"/>
      <c r="AN142" s="864"/>
      <c r="AO142" s="864"/>
      <c r="AP142" s="864"/>
      <c r="AQ142" s="864"/>
      <c r="AR142" s="864"/>
      <c r="AS142" s="864"/>
      <c r="AT142" s="864"/>
      <c r="AU142" s="864"/>
      <c r="AV142" s="855" t="s">
        <v>2737</v>
      </c>
      <c r="AW142" s="855"/>
      <c r="AX142" s="864"/>
      <c r="AY142" s="864"/>
      <c r="AZ142" s="864"/>
      <c r="BA142" s="852" t="s">
        <v>2765</v>
      </c>
      <c r="BB142" s="855" t="s">
        <v>2783</v>
      </c>
      <c r="BC142" s="855" t="s">
        <v>2797</v>
      </c>
      <c r="BD142" s="855" t="s">
        <v>2812</v>
      </c>
      <c r="BE142" s="864"/>
      <c r="BF142" s="864"/>
      <c r="BG142" s="864"/>
      <c r="BH142" s="864"/>
      <c r="BI142" s="864"/>
      <c r="BJ142" s="864"/>
      <c r="BK142" s="864"/>
      <c r="BL142" s="864"/>
      <c r="BM142" s="864"/>
      <c r="BN142" s="864"/>
      <c r="BO142" s="864"/>
      <c r="BP142" s="864"/>
      <c r="BQ142" s="864"/>
      <c r="BR142" s="864"/>
      <c r="BS142" s="864"/>
      <c r="BT142" s="855" t="s">
        <v>2826</v>
      </c>
      <c r="BU142" s="855"/>
      <c r="BV142" s="855" t="s">
        <v>2847</v>
      </c>
      <c r="BW142" s="855"/>
      <c r="BX142" s="864"/>
      <c r="BY142" s="864"/>
      <c r="BZ142" s="864"/>
      <c r="CA142" s="864"/>
      <c r="CB142" s="864"/>
      <c r="CC142" s="862" t="s">
        <v>2871</v>
      </c>
      <c r="CD142" s="864"/>
      <c r="CE142" s="864"/>
      <c r="CF142" s="864"/>
      <c r="CG142" s="864"/>
      <c r="CH142" s="864"/>
      <c r="CI142" s="864"/>
      <c r="CJ142" s="864"/>
      <c r="CK142" s="855" t="s">
        <v>2890</v>
      </c>
      <c r="CL142" s="855" t="s">
        <v>2902</v>
      </c>
      <c r="CM142" s="864"/>
      <c r="CN142" s="864"/>
      <c r="CO142" s="864"/>
      <c r="CP142" s="864"/>
      <c r="CQ142" s="864"/>
      <c r="CR142" s="864"/>
      <c r="CS142" s="864"/>
      <c r="CT142" s="864"/>
      <c r="CU142" s="864"/>
      <c r="CV142" s="864"/>
      <c r="CW142" s="864"/>
      <c r="CX142" s="864"/>
      <c r="CY142" s="864"/>
      <c r="CZ142" s="864"/>
      <c r="DA142" s="864"/>
      <c r="DB142" s="864"/>
      <c r="DC142" s="864"/>
      <c r="DD142" s="864"/>
      <c r="DE142" s="864"/>
      <c r="DF142" s="855" t="s">
        <v>2918</v>
      </c>
      <c r="DG142" s="864"/>
      <c r="DH142" s="855" t="s">
        <v>2931</v>
      </c>
      <c r="DI142" s="855"/>
      <c r="DJ142" s="855"/>
      <c r="DK142" s="855" t="s">
        <v>2958</v>
      </c>
      <c r="DL142" s="855" t="s">
        <v>2968</v>
      </c>
      <c r="DM142" s="855"/>
      <c r="DN142" s="864"/>
      <c r="DO142" s="864"/>
      <c r="DP142" s="855"/>
      <c r="DQ142" s="864"/>
      <c r="DR142" s="864"/>
      <c r="DS142" s="864"/>
      <c r="DT142" s="864"/>
      <c r="DU142" s="864"/>
      <c r="DV142" s="864"/>
      <c r="DW142" s="864"/>
      <c r="DX142" s="864"/>
      <c r="DY142" s="864"/>
      <c r="DZ142" s="864"/>
      <c r="EA142" s="864"/>
      <c r="EB142" s="864"/>
      <c r="EC142" s="864"/>
      <c r="ED142" s="864"/>
      <c r="EE142" s="864"/>
      <c r="EF142" s="855"/>
      <c r="EG142" s="855" t="s">
        <v>3019</v>
      </c>
      <c r="EH142" s="855" t="s">
        <v>3034</v>
      </c>
      <c r="EI142" s="855" t="s">
        <v>3050</v>
      </c>
      <c r="EJ142" s="858"/>
      <c r="EK142" s="858"/>
      <c r="EL142" s="858" t="s">
        <v>3090</v>
      </c>
      <c r="EM142" s="858" t="s">
        <v>3105</v>
      </c>
      <c r="EN142" s="858" t="s">
        <v>3120</v>
      </c>
      <c r="EO142" s="858"/>
      <c r="EP142" s="858"/>
      <c r="EQ142" s="858" t="s">
        <v>3152</v>
      </c>
      <c r="ER142" s="858" t="s">
        <v>3167</v>
      </c>
      <c r="ES142" s="858" t="s">
        <v>3181</v>
      </c>
      <c r="ET142" s="858" t="s">
        <v>3197</v>
      </c>
      <c r="EU142" s="864"/>
      <c r="EV142" s="864"/>
      <c r="EW142" s="855" t="s">
        <v>3214</v>
      </c>
      <c r="EX142" s="864"/>
      <c r="EY142" s="864"/>
      <c r="EZ142" s="864"/>
      <c r="FA142" s="864"/>
      <c r="FB142" s="864"/>
      <c r="FC142" s="864"/>
      <c r="FD142" s="864"/>
      <c r="FE142" s="855"/>
      <c r="FF142" s="864"/>
      <c r="FG142" s="864"/>
      <c r="FH142" s="864"/>
      <c r="FI142" s="864"/>
      <c r="FJ142" s="864"/>
      <c r="FK142" s="852" t="s">
        <v>3241</v>
      </c>
      <c r="FL142" s="855" t="s">
        <v>3261</v>
      </c>
      <c r="FM142" s="855" t="s">
        <v>3282</v>
      </c>
      <c r="FN142" s="855"/>
      <c r="FO142" s="852" t="s">
        <v>3301</v>
      </c>
      <c r="FP142" s="855" t="s">
        <v>465</v>
      </c>
      <c r="FQ142" s="855"/>
      <c r="FR142" s="864"/>
      <c r="FS142" s="864"/>
      <c r="FT142" s="864"/>
      <c r="FU142" s="864"/>
      <c r="FV142" s="864"/>
      <c r="FW142" s="864"/>
      <c r="FX142" s="864"/>
      <c r="FY142" s="864"/>
      <c r="FZ142" s="864"/>
      <c r="GA142" s="855" t="s">
        <v>3343</v>
      </c>
      <c r="GB142" s="855" t="s">
        <v>504</v>
      </c>
      <c r="GC142" s="855" t="s">
        <v>504</v>
      </c>
      <c r="GD142" s="855" t="s">
        <v>3388</v>
      </c>
      <c r="GE142" s="855"/>
      <c r="GF142" s="855"/>
      <c r="GG142" s="855" t="s">
        <v>3421</v>
      </c>
      <c r="GH142" s="864"/>
      <c r="GI142" s="864"/>
      <c r="GJ142" s="864"/>
      <c r="GK142" s="864"/>
      <c r="GL142" s="864"/>
      <c r="GM142" s="864"/>
      <c r="GN142" s="864"/>
      <c r="GO142" s="859"/>
      <c r="GP142" s="866" t="s">
        <v>504</v>
      </c>
      <c r="GQ142" s="867" t="s">
        <v>1104</v>
      </c>
      <c r="GR142" s="864"/>
      <c r="GS142" s="864"/>
      <c r="GT142" s="864"/>
      <c r="GU142" s="864"/>
      <c r="GV142" s="864"/>
      <c r="GW142" s="864"/>
      <c r="GX142" s="864"/>
      <c r="GY142" s="864"/>
      <c r="GZ142" s="864"/>
      <c r="HA142" s="864"/>
      <c r="HB142" s="864"/>
      <c r="HC142" s="864"/>
      <c r="HD142" s="864"/>
      <c r="HE142" s="855" t="s">
        <v>3479</v>
      </c>
      <c r="HF142" s="855" t="s">
        <v>465</v>
      </c>
      <c r="HG142" s="864"/>
      <c r="HH142" s="853" t="s">
        <v>3505</v>
      </c>
      <c r="HI142" s="855" t="s">
        <v>3524</v>
      </c>
      <c r="HJ142" s="855"/>
      <c r="HK142" s="858"/>
      <c r="HL142" s="864"/>
      <c r="HM142" s="864"/>
      <c r="HN142" s="864"/>
      <c r="HO142" s="861" t="s">
        <v>3558</v>
      </c>
      <c r="HP142" s="855" t="s">
        <v>3568</v>
      </c>
      <c r="HQ142" s="855" t="s">
        <v>3580</v>
      </c>
      <c r="HR142" s="862" t="s">
        <v>3590</v>
      </c>
      <c r="HS142" s="855" t="s">
        <v>3598</v>
      </c>
      <c r="HT142" s="855" t="s">
        <v>3602</v>
      </c>
      <c r="HU142" s="855" t="s">
        <v>3602</v>
      </c>
      <c r="HV142" s="855"/>
      <c r="HW142" s="855" t="s">
        <v>3622</v>
      </c>
      <c r="HX142" s="855" t="s">
        <v>3635</v>
      </c>
      <c r="HY142" s="855" t="s">
        <v>3643</v>
      </c>
      <c r="HZ142" s="855"/>
      <c r="IA142" s="852" t="s">
        <v>3662</v>
      </c>
      <c r="IB142" s="855" t="s">
        <v>3676</v>
      </c>
      <c r="IC142" s="855" t="s">
        <v>3688</v>
      </c>
      <c r="ID142" s="855" t="s">
        <v>3701</v>
      </c>
      <c r="IE142" s="855"/>
      <c r="IF142" s="855" t="s">
        <v>3602</v>
      </c>
      <c r="IG142" s="862" t="s">
        <v>3730</v>
      </c>
      <c r="IH142" s="907" t="s">
        <v>3741</v>
      </c>
      <c r="II142" s="852" t="s">
        <v>3756</v>
      </c>
      <c r="IJ142" s="857" t="s">
        <v>3756</v>
      </c>
      <c r="IK142" s="855" t="s">
        <v>3602</v>
      </c>
      <c r="IL142" s="855" t="s">
        <v>5596</v>
      </c>
      <c r="IM142" s="855"/>
      <c r="IN142" s="855"/>
      <c r="IO142" s="864"/>
      <c r="IP142" s="864"/>
      <c r="IQ142" s="864"/>
      <c r="IR142" s="862" t="s">
        <v>3820</v>
      </c>
      <c r="IS142" s="855" t="s">
        <v>3838</v>
      </c>
      <c r="IT142" s="855" t="s">
        <v>3859</v>
      </c>
      <c r="IU142" s="869" t="s">
        <v>3880</v>
      </c>
      <c r="IV142" s="855" t="s">
        <v>3902</v>
      </c>
      <c r="IW142" s="911" t="s">
        <v>3920</v>
      </c>
      <c r="IX142" s="858" t="s">
        <v>3936</v>
      </c>
      <c r="IY142" s="855" t="s">
        <v>3950</v>
      </c>
      <c r="IZ142" s="855"/>
      <c r="JA142" s="855" t="s">
        <v>3976</v>
      </c>
      <c r="JB142" s="852" t="s">
        <v>3992</v>
      </c>
      <c r="JC142" s="855"/>
      <c r="JD142" s="855" t="s">
        <v>5597</v>
      </c>
      <c r="JE142" s="855" t="s">
        <v>4041</v>
      </c>
      <c r="JF142" s="855" t="s">
        <v>4060</v>
      </c>
      <c r="JG142" s="855" t="s">
        <v>4076</v>
      </c>
      <c r="JH142" s="855"/>
      <c r="JI142" s="855" t="s">
        <v>4112</v>
      </c>
      <c r="JJ142" s="855" t="s">
        <v>4129</v>
      </c>
      <c r="JK142" s="855" t="s">
        <v>504</v>
      </c>
      <c r="JL142" s="855" t="s">
        <v>504</v>
      </c>
      <c r="JM142" s="907" t="s">
        <v>4157</v>
      </c>
      <c r="JN142" s="855" t="s">
        <v>504</v>
      </c>
      <c r="JO142" s="855" t="s">
        <v>504</v>
      </c>
      <c r="JP142" s="855" t="s">
        <v>4175</v>
      </c>
      <c r="JQ142" s="858" t="s">
        <v>504</v>
      </c>
      <c r="JR142" s="855"/>
      <c r="JS142" s="855"/>
      <c r="JT142" s="855"/>
      <c r="JU142" s="855" t="s">
        <v>4221</v>
      </c>
      <c r="JV142" s="855"/>
      <c r="JW142" s="910" t="s">
        <v>5598</v>
      </c>
      <c r="JX142" s="855" t="s">
        <v>4252</v>
      </c>
      <c r="JY142" s="855" t="s">
        <v>4261</v>
      </c>
      <c r="JZ142" s="855"/>
      <c r="KA142" s="855" t="s">
        <v>4280</v>
      </c>
      <c r="KB142" s="855" t="s">
        <v>4289</v>
      </c>
      <c r="KC142" s="855"/>
      <c r="KD142" s="855"/>
      <c r="KE142" s="862" t="s">
        <v>4317</v>
      </c>
      <c r="KF142" s="862" t="s">
        <v>4326</v>
      </c>
      <c r="KG142" s="862" t="s">
        <v>4326</v>
      </c>
      <c r="KH142" s="862" t="s">
        <v>4326</v>
      </c>
      <c r="KI142" s="862" t="s">
        <v>4326</v>
      </c>
      <c r="KJ142" s="862" t="s">
        <v>4326</v>
      </c>
      <c r="KK142" s="862" t="s">
        <v>4326</v>
      </c>
      <c r="KL142" s="855" t="s">
        <v>4377</v>
      </c>
      <c r="KM142" s="864"/>
      <c r="KN142" s="864"/>
      <c r="KO142" s="864"/>
      <c r="KP142" s="864"/>
      <c r="KQ142" s="864"/>
      <c r="KR142" s="855" t="s">
        <v>4387</v>
      </c>
      <c r="KS142" s="864"/>
      <c r="KT142" s="908" t="s">
        <v>4405</v>
      </c>
      <c r="KU142" s="864"/>
      <c r="KV142" s="855" t="s">
        <v>4427</v>
      </c>
      <c r="KW142" s="855" t="s">
        <v>5599</v>
      </c>
      <c r="KX142" s="855" t="s">
        <v>4472</v>
      </c>
      <c r="KY142" s="858" t="s">
        <v>4492</v>
      </c>
      <c r="KZ142" s="855" t="s">
        <v>4515</v>
      </c>
      <c r="LA142" s="855" t="s">
        <v>4535</v>
      </c>
      <c r="LB142" s="855" t="s">
        <v>4553</v>
      </c>
      <c r="LC142" s="855" t="s">
        <v>4553</v>
      </c>
      <c r="LD142" s="855"/>
      <c r="LE142" s="855" t="s">
        <v>465</v>
      </c>
      <c r="LF142" s="858" t="s">
        <v>4592</v>
      </c>
      <c r="LG142" s="858"/>
      <c r="LH142" s="858" t="s">
        <v>4617</v>
      </c>
      <c r="LI142" s="858" t="s">
        <v>4627</v>
      </c>
      <c r="LJ142" s="858" t="s">
        <v>4638</v>
      </c>
      <c r="LK142" s="858" t="s">
        <v>4646</v>
      </c>
      <c r="LL142" s="858" t="s">
        <v>4627</v>
      </c>
      <c r="LM142" s="858" t="s">
        <v>4666</v>
      </c>
      <c r="LN142" s="858"/>
      <c r="LO142" s="858"/>
      <c r="LP142" s="858" t="s">
        <v>4706</v>
      </c>
      <c r="LQ142" s="858" t="s">
        <v>4727</v>
      </c>
      <c r="LR142" s="858" t="s">
        <v>4743</v>
      </c>
      <c r="LS142" s="858" t="s">
        <v>4756</v>
      </c>
      <c r="LT142" s="858" t="s">
        <v>4756</v>
      </c>
      <c r="LU142" s="858" t="s">
        <v>4776</v>
      </c>
      <c r="LV142" s="909" t="s">
        <v>4791</v>
      </c>
      <c r="LW142" s="858" t="s">
        <v>4803</v>
      </c>
      <c r="LX142" s="858" t="s">
        <v>4811</v>
      </c>
      <c r="LY142" s="858" t="s">
        <v>4819</v>
      </c>
    </row>
    <row r="143" spans="1:337" ht="409.6" thickBot="1" x14ac:dyDescent="0.3">
      <c r="A143" s="1585"/>
      <c r="B143" s="1591"/>
      <c r="C143" s="357" t="s">
        <v>5377</v>
      </c>
      <c r="D143" s="358" t="s">
        <v>209</v>
      </c>
      <c r="E143" s="848" t="s">
        <v>48</v>
      </c>
      <c r="F143" s="863"/>
      <c r="G143" s="863"/>
      <c r="H143" s="864"/>
      <c r="I143" s="864"/>
      <c r="J143" s="864"/>
      <c r="K143" s="864"/>
      <c r="L143" s="864"/>
      <c r="M143" s="864"/>
      <c r="N143" s="852" t="s">
        <v>2660</v>
      </c>
      <c r="O143" s="864"/>
      <c r="P143" s="864"/>
      <c r="Q143" s="864"/>
      <c r="R143" s="864"/>
      <c r="S143" s="864"/>
      <c r="T143" s="864"/>
      <c r="U143" s="864"/>
      <c r="V143" s="855" t="s">
        <v>2678</v>
      </c>
      <c r="W143" s="907" t="s">
        <v>2693</v>
      </c>
      <c r="X143" s="855" t="s">
        <v>2704</v>
      </c>
      <c r="Y143" s="855" t="s">
        <v>2713</v>
      </c>
      <c r="Z143" s="855"/>
      <c r="AA143" s="864"/>
      <c r="AB143" s="864"/>
      <c r="AC143" s="864"/>
      <c r="AD143" s="864"/>
      <c r="AE143" s="864"/>
      <c r="AF143" s="864"/>
      <c r="AG143" s="864"/>
      <c r="AH143" s="864"/>
      <c r="AI143" s="864"/>
      <c r="AJ143" s="864"/>
      <c r="AK143" s="864"/>
      <c r="AL143" s="864"/>
      <c r="AM143" s="864"/>
      <c r="AN143" s="864"/>
      <c r="AO143" s="864"/>
      <c r="AP143" s="864"/>
      <c r="AQ143" s="864"/>
      <c r="AR143" s="864"/>
      <c r="AS143" s="864"/>
      <c r="AT143" s="864"/>
      <c r="AU143" s="864"/>
      <c r="AV143" s="855"/>
      <c r="AW143" s="855"/>
      <c r="AX143" s="864"/>
      <c r="AY143" s="864"/>
      <c r="AZ143" s="864"/>
      <c r="BA143" s="852" t="s">
        <v>2764</v>
      </c>
      <c r="BB143" s="855"/>
      <c r="BC143" s="855"/>
      <c r="BD143" s="855"/>
      <c r="BE143" s="864"/>
      <c r="BF143" s="864"/>
      <c r="BG143" s="864"/>
      <c r="BH143" s="864"/>
      <c r="BI143" s="864"/>
      <c r="BJ143" s="864"/>
      <c r="BK143" s="864"/>
      <c r="BL143" s="864"/>
      <c r="BM143" s="864"/>
      <c r="BN143" s="864"/>
      <c r="BO143" s="864"/>
      <c r="BP143" s="864"/>
      <c r="BQ143" s="864"/>
      <c r="BR143" s="864"/>
      <c r="BS143" s="864"/>
      <c r="BT143" s="855" t="s">
        <v>2827</v>
      </c>
      <c r="BU143" s="855"/>
      <c r="BV143" s="855" t="s">
        <v>2848</v>
      </c>
      <c r="BW143" s="855"/>
      <c r="BX143" s="864"/>
      <c r="BY143" s="864"/>
      <c r="BZ143" s="864"/>
      <c r="CA143" s="864"/>
      <c r="CB143" s="864"/>
      <c r="CC143" s="862"/>
      <c r="CD143" s="864"/>
      <c r="CE143" s="864"/>
      <c r="CF143" s="864"/>
      <c r="CG143" s="864"/>
      <c r="CH143" s="864"/>
      <c r="CI143" s="864"/>
      <c r="CJ143" s="864"/>
      <c r="CK143" s="1064" t="s">
        <v>2891</v>
      </c>
      <c r="CL143" s="855" t="s">
        <v>2903</v>
      </c>
      <c r="CM143" s="864"/>
      <c r="CN143" s="864"/>
      <c r="CO143" s="864"/>
      <c r="CP143" s="864"/>
      <c r="CQ143" s="864"/>
      <c r="CR143" s="864"/>
      <c r="CS143" s="864"/>
      <c r="CT143" s="864"/>
      <c r="CU143" s="864"/>
      <c r="CV143" s="864"/>
      <c r="CW143" s="864"/>
      <c r="CX143" s="864"/>
      <c r="CY143" s="864"/>
      <c r="CZ143" s="864"/>
      <c r="DA143" s="864"/>
      <c r="DB143" s="864"/>
      <c r="DC143" s="864"/>
      <c r="DD143" s="864"/>
      <c r="DE143" s="864"/>
      <c r="DF143" s="855" t="s">
        <v>465</v>
      </c>
      <c r="DG143" s="864"/>
      <c r="DH143" s="855"/>
      <c r="DI143" s="855"/>
      <c r="DJ143" s="855"/>
      <c r="DK143" s="855" t="s">
        <v>504</v>
      </c>
      <c r="DL143" s="855"/>
      <c r="DM143" s="855"/>
      <c r="DN143" s="864"/>
      <c r="DO143" s="864"/>
      <c r="DP143" s="855"/>
      <c r="DQ143" s="864"/>
      <c r="DR143" s="864"/>
      <c r="DS143" s="864"/>
      <c r="DT143" s="864"/>
      <c r="DU143" s="864"/>
      <c r="DV143" s="864"/>
      <c r="DW143" s="864"/>
      <c r="DX143" s="864"/>
      <c r="DY143" s="864"/>
      <c r="DZ143" s="864"/>
      <c r="EA143" s="864"/>
      <c r="EB143" s="864"/>
      <c r="EC143" s="864"/>
      <c r="ED143" s="864"/>
      <c r="EE143" s="864"/>
      <c r="EF143" s="855"/>
      <c r="EG143" s="855"/>
      <c r="EH143" s="855" t="s">
        <v>3035</v>
      </c>
      <c r="EI143" s="855" t="s">
        <v>504</v>
      </c>
      <c r="EJ143" s="858"/>
      <c r="EK143" s="858"/>
      <c r="EL143" s="858"/>
      <c r="EM143" s="853" t="s">
        <v>3106</v>
      </c>
      <c r="EN143" s="916" t="s">
        <v>3121</v>
      </c>
      <c r="EO143" s="858"/>
      <c r="EP143" s="858"/>
      <c r="EQ143" s="858"/>
      <c r="ER143" s="1054"/>
      <c r="ES143" s="858" t="s">
        <v>1104</v>
      </c>
      <c r="ET143" s="858" t="s">
        <v>3198</v>
      </c>
      <c r="EU143" s="864"/>
      <c r="EV143" s="864"/>
      <c r="EW143" s="855"/>
      <c r="EX143" s="864"/>
      <c r="EY143" s="864"/>
      <c r="EZ143" s="864"/>
      <c r="FA143" s="864"/>
      <c r="FB143" s="864"/>
      <c r="FC143" s="864"/>
      <c r="FD143" s="864"/>
      <c r="FE143" s="855"/>
      <c r="FF143" s="864"/>
      <c r="FG143" s="864"/>
      <c r="FH143" s="864"/>
      <c r="FI143" s="864"/>
      <c r="FJ143" s="864"/>
      <c r="FK143" s="855" t="s">
        <v>3242</v>
      </c>
      <c r="FL143" s="855" t="s">
        <v>504</v>
      </c>
      <c r="FM143" s="855" t="s">
        <v>3283</v>
      </c>
      <c r="FN143" s="855"/>
      <c r="FO143" s="855" t="s">
        <v>3302</v>
      </c>
      <c r="FP143" s="855"/>
      <c r="FQ143" s="855"/>
      <c r="FR143" s="864"/>
      <c r="FS143" s="864"/>
      <c r="FT143" s="864"/>
      <c r="FU143" s="864"/>
      <c r="FV143" s="864"/>
      <c r="FW143" s="864"/>
      <c r="FX143" s="864"/>
      <c r="FY143" s="864"/>
      <c r="FZ143" s="864"/>
      <c r="GA143" s="855"/>
      <c r="GB143" s="855" t="s">
        <v>504</v>
      </c>
      <c r="GC143" s="855" t="s">
        <v>504</v>
      </c>
      <c r="GD143" s="855" t="s">
        <v>504</v>
      </c>
      <c r="GE143" s="855"/>
      <c r="GF143" s="855"/>
      <c r="GG143" s="855" t="s">
        <v>465</v>
      </c>
      <c r="GH143" s="864"/>
      <c r="GI143" s="864"/>
      <c r="GJ143" s="864"/>
      <c r="GK143" s="864"/>
      <c r="GL143" s="864"/>
      <c r="GM143" s="864"/>
      <c r="GN143" s="864"/>
      <c r="GO143" s="859"/>
      <c r="GP143" s="866" t="s">
        <v>504</v>
      </c>
      <c r="GQ143" s="867"/>
      <c r="GR143" s="864"/>
      <c r="GS143" s="864"/>
      <c r="GT143" s="864"/>
      <c r="GU143" s="864"/>
      <c r="GV143" s="864"/>
      <c r="GW143" s="864"/>
      <c r="GX143" s="864"/>
      <c r="GY143" s="864"/>
      <c r="GZ143" s="864"/>
      <c r="HA143" s="864"/>
      <c r="HB143" s="864"/>
      <c r="HC143" s="864"/>
      <c r="HD143" s="864"/>
      <c r="HE143" s="855" t="s">
        <v>504</v>
      </c>
      <c r="HF143" s="855"/>
      <c r="HG143" s="864"/>
      <c r="HH143" s="853" t="s">
        <v>3506</v>
      </c>
      <c r="HI143" s="855" t="s">
        <v>504</v>
      </c>
      <c r="HJ143" s="855"/>
      <c r="HK143" s="858"/>
      <c r="HL143" s="864"/>
      <c r="HM143" s="864"/>
      <c r="HN143" s="864"/>
      <c r="HO143" s="861"/>
      <c r="HP143" s="855"/>
      <c r="HQ143" s="855"/>
      <c r="HR143" s="862"/>
      <c r="HS143" s="855"/>
      <c r="HT143" s="855"/>
      <c r="HU143" s="855"/>
      <c r="HV143" s="855"/>
      <c r="HW143" s="855"/>
      <c r="HX143" s="855"/>
      <c r="HY143" s="855"/>
      <c r="HZ143" s="855"/>
      <c r="IA143" s="855"/>
      <c r="IB143" s="855"/>
      <c r="IC143" s="855"/>
      <c r="ID143" s="855" t="s">
        <v>504</v>
      </c>
      <c r="IE143" s="855" t="s">
        <v>504</v>
      </c>
      <c r="IF143" s="855"/>
      <c r="IG143" s="862"/>
      <c r="IH143" s="907"/>
      <c r="II143" s="855" t="s">
        <v>465</v>
      </c>
      <c r="IJ143" s="862" t="s">
        <v>465</v>
      </c>
      <c r="IK143" s="855"/>
      <c r="IL143" s="855" t="s">
        <v>3784</v>
      </c>
      <c r="IM143" s="855"/>
      <c r="IN143" s="855"/>
      <c r="IO143" s="864"/>
      <c r="IP143" s="864"/>
      <c r="IQ143" s="864"/>
      <c r="IR143" s="930" t="s">
        <v>3821</v>
      </c>
      <c r="IS143" s="855" t="s">
        <v>3839</v>
      </c>
      <c r="IT143" s="911" t="s">
        <v>3860</v>
      </c>
      <c r="IU143" s="855" t="s">
        <v>3881</v>
      </c>
      <c r="IV143" s="855" t="s">
        <v>3903</v>
      </c>
      <c r="IW143" s="855"/>
      <c r="IX143" s="858" t="s">
        <v>3937</v>
      </c>
      <c r="IY143" s="855" t="s">
        <v>504</v>
      </c>
      <c r="IZ143" s="855"/>
      <c r="JA143" s="855" t="s">
        <v>3977</v>
      </c>
      <c r="JB143" s="855" t="s">
        <v>3993</v>
      </c>
      <c r="JC143" s="855"/>
      <c r="JD143" s="855" t="s">
        <v>504</v>
      </c>
      <c r="JE143" s="855" t="s">
        <v>4042</v>
      </c>
      <c r="JF143" s="855" t="s">
        <v>4061</v>
      </c>
      <c r="JG143" s="855" t="s">
        <v>4075</v>
      </c>
      <c r="JH143" s="855"/>
      <c r="JI143" s="855" t="s">
        <v>4113</v>
      </c>
      <c r="JJ143" s="855"/>
      <c r="JK143" s="855"/>
      <c r="JL143" s="855"/>
      <c r="JM143" s="907" t="s">
        <v>4158</v>
      </c>
      <c r="JN143" s="855"/>
      <c r="JO143" s="855"/>
      <c r="JP143" s="855"/>
      <c r="JQ143" s="858"/>
      <c r="JR143" s="855"/>
      <c r="JS143" s="855"/>
      <c r="JT143" s="855"/>
      <c r="JU143" s="855"/>
      <c r="JV143" s="855"/>
      <c r="JW143" s="855"/>
      <c r="JX143" s="855"/>
      <c r="JY143" s="855"/>
      <c r="JZ143" s="855"/>
      <c r="KA143" s="855"/>
      <c r="KB143" s="855"/>
      <c r="KC143" s="855"/>
      <c r="KD143" s="855"/>
      <c r="KE143" s="862" t="s">
        <v>504</v>
      </c>
      <c r="KF143" s="862" t="s">
        <v>504</v>
      </c>
      <c r="KG143" s="862" t="s">
        <v>504</v>
      </c>
      <c r="KH143" s="862" t="s">
        <v>504</v>
      </c>
      <c r="KI143" s="862" t="s">
        <v>504</v>
      </c>
      <c r="KJ143" s="862" t="s">
        <v>504</v>
      </c>
      <c r="KK143" s="862" t="s">
        <v>504</v>
      </c>
      <c r="KL143" s="855" t="s">
        <v>504</v>
      </c>
      <c r="KM143" s="864"/>
      <c r="KN143" s="864"/>
      <c r="KO143" s="864"/>
      <c r="KP143" s="864"/>
      <c r="KQ143" s="864"/>
      <c r="KR143" s="855" t="s">
        <v>504</v>
      </c>
      <c r="KS143" s="864"/>
      <c r="KT143" s="908" t="s">
        <v>4406</v>
      </c>
      <c r="KU143" s="864"/>
      <c r="KV143" s="855" t="s">
        <v>4428</v>
      </c>
      <c r="KW143" s="855" t="s">
        <v>4452</v>
      </c>
      <c r="KX143" s="855"/>
      <c r="KY143" s="858" t="s">
        <v>4493</v>
      </c>
      <c r="KZ143" s="855" t="s">
        <v>4516</v>
      </c>
      <c r="LA143" s="855" t="s">
        <v>4536</v>
      </c>
      <c r="LB143" s="855" t="s">
        <v>504</v>
      </c>
      <c r="LC143" s="855" t="s">
        <v>504</v>
      </c>
      <c r="LD143" s="855"/>
      <c r="LE143" s="855"/>
      <c r="LF143" s="858" t="s">
        <v>4593</v>
      </c>
      <c r="LG143" s="858"/>
      <c r="LH143" s="858"/>
      <c r="LI143" s="858"/>
      <c r="LJ143" s="858"/>
      <c r="LK143" s="858"/>
      <c r="LL143" s="858"/>
      <c r="LM143" s="858"/>
      <c r="LN143" s="858"/>
      <c r="LO143" s="858"/>
      <c r="LP143" s="858" t="s">
        <v>4707</v>
      </c>
      <c r="LQ143" s="858"/>
      <c r="LR143" s="858"/>
      <c r="LS143" s="858"/>
      <c r="LT143" s="858"/>
      <c r="LU143" s="858"/>
      <c r="LV143" s="909"/>
      <c r="LW143" s="858"/>
      <c r="LX143" s="858"/>
      <c r="LY143" s="858"/>
    </row>
    <row r="144" spans="1:337" ht="281.45" customHeight="1" x14ac:dyDescent="0.25">
      <c r="A144" s="1583" t="s">
        <v>37</v>
      </c>
      <c r="B144" s="1589" t="s">
        <v>187</v>
      </c>
      <c r="C144" s="331" t="s">
        <v>68</v>
      </c>
      <c r="D144" s="332" t="s">
        <v>5378</v>
      </c>
      <c r="E144" s="833" t="s">
        <v>48</v>
      </c>
      <c r="F144" s="863"/>
      <c r="G144" s="863"/>
      <c r="H144" s="864"/>
      <c r="I144" s="864"/>
      <c r="J144" s="864"/>
      <c r="K144" s="864"/>
      <c r="L144" s="864"/>
      <c r="M144" s="864"/>
      <c r="N144" s="852" t="s">
        <v>504</v>
      </c>
      <c r="O144" s="864"/>
      <c r="P144" s="864"/>
      <c r="Q144" s="864"/>
      <c r="R144" s="864"/>
      <c r="S144" s="864"/>
      <c r="T144" s="864"/>
      <c r="U144" s="864"/>
      <c r="V144" s="855" t="s">
        <v>2679</v>
      </c>
      <c r="W144" s="855" t="s">
        <v>2679</v>
      </c>
      <c r="X144" s="855" t="s">
        <v>2679</v>
      </c>
      <c r="Y144" s="855" t="s">
        <v>2714</v>
      </c>
      <c r="Z144" s="855"/>
      <c r="AA144" s="864"/>
      <c r="AB144" s="864"/>
      <c r="AC144" s="864"/>
      <c r="AD144" s="864"/>
      <c r="AE144" s="864"/>
      <c r="AF144" s="864"/>
      <c r="AG144" s="864"/>
      <c r="AH144" s="864"/>
      <c r="AI144" s="864"/>
      <c r="AJ144" s="864"/>
      <c r="AK144" s="864"/>
      <c r="AL144" s="864"/>
      <c r="AM144" s="864"/>
      <c r="AN144" s="864"/>
      <c r="AO144" s="864"/>
      <c r="AP144" s="864"/>
      <c r="AQ144" s="864"/>
      <c r="AR144" s="864"/>
      <c r="AS144" s="864"/>
      <c r="AT144" s="864"/>
      <c r="AU144" s="864"/>
      <c r="AV144" s="855" t="s">
        <v>2738</v>
      </c>
      <c r="AW144" s="855" t="s">
        <v>504</v>
      </c>
      <c r="AX144" s="864"/>
      <c r="AY144" s="864"/>
      <c r="AZ144" s="864"/>
      <c r="BA144" s="852" t="s">
        <v>2766</v>
      </c>
      <c r="BB144" s="855"/>
      <c r="BC144" s="855"/>
      <c r="BD144" s="855"/>
      <c r="BE144" s="864"/>
      <c r="BF144" s="864"/>
      <c r="BG144" s="864"/>
      <c r="BH144" s="864"/>
      <c r="BI144" s="864"/>
      <c r="BJ144" s="864"/>
      <c r="BK144" s="864"/>
      <c r="BL144" s="864"/>
      <c r="BM144" s="864"/>
      <c r="BN144" s="864"/>
      <c r="BO144" s="864"/>
      <c r="BP144" s="864"/>
      <c r="BQ144" s="864"/>
      <c r="BR144" s="864"/>
      <c r="BS144" s="864"/>
      <c r="BT144" s="855" t="s">
        <v>2828</v>
      </c>
      <c r="BU144" s="855"/>
      <c r="BV144" s="855" t="s">
        <v>2849</v>
      </c>
      <c r="BW144" s="855"/>
      <c r="BX144" s="864"/>
      <c r="BY144" s="864"/>
      <c r="BZ144" s="864"/>
      <c r="CA144" s="864"/>
      <c r="CB144" s="864"/>
      <c r="CC144" s="862"/>
      <c r="CD144" s="864"/>
      <c r="CE144" s="864"/>
      <c r="CF144" s="864"/>
      <c r="CG144" s="864"/>
      <c r="CH144" s="864"/>
      <c r="CI144" s="864"/>
      <c r="CJ144" s="864"/>
      <c r="CK144" s="855"/>
      <c r="CL144" s="855"/>
      <c r="CM144" s="864"/>
      <c r="CN144" s="864"/>
      <c r="CO144" s="864"/>
      <c r="CP144" s="864"/>
      <c r="CQ144" s="864"/>
      <c r="CR144" s="864"/>
      <c r="CS144" s="864"/>
      <c r="CT144" s="864"/>
      <c r="CU144" s="864"/>
      <c r="CV144" s="864"/>
      <c r="CW144" s="864"/>
      <c r="CX144" s="864"/>
      <c r="CY144" s="864"/>
      <c r="CZ144" s="864"/>
      <c r="DA144" s="864"/>
      <c r="DB144" s="864"/>
      <c r="DC144" s="864"/>
      <c r="DD144" s="864"/>
      <c r="DE144" s="864"/>
      <c r="DF144" s="855" t="s">
        <v>2919</v>
      </c>
      <c r="DG144" s="864"/>
      <c r="DH144" s="855" t="s">
        <v>2932</v>
      </c>
      <c r="DI144" s="855"/>
      <c r="DJ144" s="855"/>
      <c r="DK144" s="855" t="s">
        <v>504</v>
      </c>
      <c r="DL144" s="855" t="s">
        <v>2969</v>
      </c>
      <c r="DM144" s="855"/>
      <c r="DN144" s="864"/>
      <c r="DO144" s="864"/>
      <c r="DP144" s="855" t="s">
        <v>2008</v>
      </c>
      <c r="DQ144" s="864"/>
      <c r="DR144" s="864"/>
      <c r="DS144" s="864"/>
      <c r="DT144" s="864"/>
      <c r="DU144" s="864"/>
      <c r="DV144" s="864"/>
      <c r="DW144" s="864"/>
      <c r="DX144" s="864"/>
      <c r="DY144" s="864"/>
      <c r="DZ144" s="864"/>
      <c r="EA144" s="864"/>
      <c r="EB144" s="864"/>
      <c r="EC144" s="864"/>
      <c r="ED144" s="864"/>
      <c r="EE144" s="864"/>
      <c r="EF144" s="855"/>
      <c r="EG144" s="855"/>
      <c r="EH144" s="855" t="s">
        <v>3036</v>
      </c>
      <c r="EI144" s="855" t="s">
        <v>3051</v>
      </c>
      <c r="EJ144" s="858"/>
      <c r="EK144" s="858" t="s">
        <v>3080</v>
      </c>
      <c r="EL144" s="858" t="s">
        <v>3091</v>
      </c>
      <c r="EM144" s="853" t="s">
        <v>3107</v>
      </c>
      <c r="EN144" s="858" t="s">
        <v>3122</v>
      </c>
      <c r="EO144" s="858" t="s">
        <v>504</v>
      </c>
      <c r="EP144" s="853" t="s">
        <v>3139</v>
      </c>
      <c r="EQ144" s="858" t="s">
        <v>3153</v>
      </c>
      <c r="ER144" s="858" t="s">
        <v>3168</v>
      </c>
      <c r="ES144" s="858" t="s">
        <v>3182</v>
      </c>
      <c r="ET144" s="858" t="s">
        <v>3199</v>
      </c>
      <c r="EU144" s="864"/>
      <c r="EV144" s="864"/>
      <c r="EW144" s="855" t="s">
        <v>3215</v>
      </c>
      <c r="EX144" s="864"/>
      <c r="EY144" s="864"/>
      <c r="EZ144" s="864"/>
      <c r="FA144" s="864"/>
      <c r="FB144" s="864"/>
      <c r="FC144" s="864"/>
      <c r="FD144" s="864"/>
      <c r="FE144" s="855"/>
      <c r="FF144" s="864"/>
      <c r="FG144" s="864"/>
      <c r="FH144" s="864"/>
      <c r="FI144" s="864"/>
      <c r="FJ144" s="864"/>
      <c r="FK144" s="855" t="s">
        <v>3243</v>
      </c>
      <c r="FL144" s="852" t="s">
        <v>3262</v>
      </c>
      <c r="FM144" s="855" t="s">
        <v>3284</v>
      </c>
      <c r="FN144" s="855"/>
      <c r="FO144" s="855"/>
      <c r="FP144" s="855" t="s">
        <v>3313</v>
      </c>
      <c r="FQ144" s="855" t="s">
        <v>3328</v>
      </c>
      <c r="FR144" s="864"/>
      <c r="FS144" s="864"/>
      <c r="FT144" s="864"/>
      <c r="FU144" s="864"/>
      <c r="FV144" s="864"/>
      <c r="FW144" s="864"/>
      <c r="FX144" s="864"/>
      <c r="FY144" s="864"/>
      <c r="FZ144" s="864"/>
      <c r="GA144" s="855"/>
      <c r="GB144" s="855" t="s">
        <v>504</v>
      </c>
      <c r="GC144" s="855" t="s">
        <v>504</v>
      </c>
      <c r="GD144" s="855" t="s">
        <v>504</v>
      </c>
      <c r="GE144" s="855" t="s">
        <v>504</v>
      </c>
      <c r="GF144" s="855"/>
      <c r="GG144" s="855" t="s">
        <v>3422</v>
      </c>
      <c r="GH144" s="864"/>
      <c r="GI144" s="864"/>
      <c r="GJ144" s="864"/>
      <c r="GK144" s="864"/>
      <c r="GL144" s="864"/>
      <c r="GM144" s="864"/>
      <c r="GN144" s="864"/>
      <c r="GO144" s="859" t="s">
        <v>465</v>
      </c>
      <c r="GP144" s="866" t="s">
        <v>3450</v>
      </c>
      <c r="GQ144" s="867"/>
      <c r="GR144" s="864"/>
      <c r="GS144" s="864"/>
      <c r="GT144" s="864"/>
      <c r="GU144" s="864"/>
      <c r="GV144" s="864"/>
      <c r="GW144" s="864"/>
      <c r="GX144" s="864"/>
      <c r="GY144" s="864"/>
      <c r="GZ144" s="864"/>
      <c r="HA144" s="864"/>
      <c r="HB144" s="864"/>
      <c r="HC144" s="864"/>
      <c r="HD144" s="864"/>
      <c r="HE144" s="855" t="s">
        <v>3480</v>
      </c>
      <c r="HF144" s="855"/>
      <c r="HG144" s="864"/>
      <c r="HH144" s="853" t="s">
        <v>3507</v>
      </c>
      <c r="HI144" s="855" t="s">
        <v>3525</v>
      </c>
      <c r="HJ144" s="855"/>
      <c r="HK144" s="858" t="s">
        <v>504</v>
      </c>
      <c r="HL144" s="864"/>
      <c r="HM144" s="864"/>
      <c r="HN144" s="864"/>
      <c r="HO144" s="861" t="s">
        <v>3559</v>
      </c>
      <c r="HP144" s="852" t="s">
        <v>3569</v>
      </c>
      <c r="HQ144" s="855" t="s">
        <v>940</v>
      </c>
      <c r="HR144" s="862"/>
      <c r="HS144" s="855"/>
      <c r="HT144" s="855" t="s">
        <v>940</v>
      </c>
      <c r="HU144" s="855" t="s">
        <v>940</v>
      </c>
      <c r="HV144" s="864"/>
      <c r="HW144" s="855" t="s">
        <v>940</v>
      </c>
      <c r="HX144" s="855" t="s">
        <v>504</v>
      </c>
      <c r="HY144" s="855" t="s">
        <v>504</v>
      </c>
      <c r="HZ144" s="855"/>
      <c r="IA144" s="852" t="s">
        <v>3663</v>
      </c>
      <c r="IB144" s="855" t="s">
        <v>3677</v>
      </c>
      <c r="IC144" s="855"/>
      <c r="ID144" s="855" t="s">
        <v>504</v>
      </c>
      <c r="IE144" s="855" t="s">
        <v>504</v>
      </c>
      <c r="IF144" s="855" t="s">
        <v>940</v>
      </c>
      <c r="IG144" s="862"/>
      <c r="IH144" s="855" t="s">
        <v>3742</v>
      </c>
      <c r="II144" s="852" t="s">
        <v>3757</v>
      </c>
      <c r="IJ144" s="857" t="s">
        <v>3757</v>
      </c>
      <c r="IK144" s="855" t="s">
        <v>940</v>
      </c>
      <c r="IL144" s="855" t="s">
        <v>3785</v>
      </c>
      <c r="IM144" s="855" t="s">
        <v>3799</v>
      </c>
      <c r="IN144" s="855"/>
      <c r="IO144" s="864"/>
      <c r="IP144" s="864"/>
      <c r="IQ144" s="864"/>
      <c r="IR144" s="862" t="s">
        <v>3822</v>
      </c>
      <c r="IS144" s="855" t="s">
        <v>504</v>
      </c>
      <c r="IT144" s="855" t="s">
        <v>3861</v>
      </c>
      <c r="IU144" s="855" t="s">
        <v>500</v>
      </c>
      <c r="IV144" s="855" t="s">
        <v>3904</v>
      </c>
      <c r="IW144" s="855" t="s">
        <v>3921</v>
      </c>
      <c r="IX144" s="858" t="s">
        <v>3938</v>
      </c>
      <c r="IY144" s="855" t="s">
        <v>504</v>
      </c>
      <c r="IZ144" s="855" t="s">
        <v>504</v>
      </c>
      <c r="JA144" s="855">
        <v>0</v>
      </c>
      <c r="JB144" s="855" t="s">
        <v>465</v>
      </c>
      <c r="JC144" s="855"/>
      <c r="JD144" s="855" t="s">
        <v>4021</v>
      </c>
      <c r="JE144" s="855" t="s">
        <v>4043</v>
      </c>
      <c r="JF144" s="855" t="s">
        <v>4062</v>
      </c>
      <c r="JG144" s="855" t="s">
        <v>4077</v>
      </c>
      <c r="JH144" s="855"/>
      <c r="JI144" s="855" t="s">
        <v>4114</v>
      </c>
      <c r="JJ144" s="855" t="s">
        <v>4130</v>
      </c>
      <c r="JK144" s="855" t="s">
        <v>4139</v>
      </c>
      <c r="JL144" s="855" t="s">
        <v>504</v>
      </c>
      <c r="JM144" s="855" t="s">
        <v>504</v>
      </c>
      <c r="JN144" s="855" t="s">
        <v>504</v>
      </c>
      <c r="JO144" s="855" t="s">
        <v>504</v>
      </c>
      <c r="JP144" s="855"/>
      <c r="JQ144" s="858"/>
      <c r="JR144" s="855"/>
      <c r="JS144" s="855"/>
      <c r="JT144" s="855" t="s">
        <v>4213</v>
      </c>
      <c r="JU144" s="855"/>
      <c r="JV144" s="855"/>
      <c r="JW144" s="855"/>
      <c r="JX144" s="855"/>
      <c r="JY144" s="855" t="s">
        <v>4262</v>
      </c>
      <c r="JZ144" s="855"/>
      <c r="KA144" s="855"/>
      <c r="KB144" s="855"/>
      <c r="KC144" s="855" t="s">
        <v>504</v>
      </c>
      <c r="KD144" s="855" t="s">
        <v>504</v>
      </c>
      <c r="KE144" s="862" t="s">
        <v>3822</v>
      </c>
      <c r="KF144" s="862" t="s">
        <v>3822</v>
      </c>
      <c r="KG144" s="862" t="s">
        <v>3822</v>
      </c>
      <c r="KH144" s="862" t="s">
        <v>3822</v>
      </c>
      <c r="KI144" s="862" t="s">
        <v>3822</v>
      </c>
      <c r="KJ144" s="862" t="s">
        <v>3822</v>
      </c>
      <c r="KK144" s="862" t="s">
        <v>3822</v>
      </c>
      <c r="KL144" s="855" t="s">
        <v>504</v>
      </c>
      <c r="KM144" s="864"/>
      <c r="KN144" s="864"/>
      <c r="KO144" s="864"/>
      <c r="KP144" s="864"/>
      <c r="KQ144" s="864"/>
      <c r="KR144" s="855" t="s">
        <v>4388</v>
      </c>
      <c r="KS144" s="864"/>
      <c r="KT144" s="855" t="s">
        <v>4407</v>
      </c>
      <c r="KU144" s="864"/>
      <c r="KV144" s="855" t="s">
        <v>4429</v>
      </c>
      <c r="KW144" s="855" t="s">
        <v>4453</v>
      </c>
      <c r="KX144" s="855" t="s">
        <v>4473</v>
      </c>
      <c r="KY144" s="858" t="s">
        <v>4494</v>
      </c>
      <c r="KZ144" s="855" t="s">
        <v>504</v>
      </c>
      <c r="LA144" s="855" t="s">
        <v>4537</v>
      </c>
      <c r="LB144" s="855"/>
      <c r="LC144" s="855"/>
      <c r="LD144" s="855"/>
      <c r="LE144" s="855" t="s">
        <v>465</v>
      </c>
      <c r="LF144" s="858" t="s">
        <v>500</v>
      </c>
      <c r="LG144" s="858"/>
      <c r="LH144" s="858"/>
      <c r="LI144" s="858" t="s">
        <v>504</v>
      </c>
      <c r="LJ144" s="858"/>
      <c r="LK144" s="858"/>
      <c r="LL144" s="858" t="s">
        <v>504</v>
      </c>
      <c r="LM144" s="858"/>
      <c r="LN144" s="858"/>
      <c r="LO144" s="858" t="s">
        <v>504</v>
      </c>
      <c r="LP144" s="858" t="s">
        <v>4708</v>
      </c>
      <c r="LQ144" s="858"/>
      <c r="LR144" s="858" t="s">
        <v>4744</v>
      </c>
      <c r="LS144" s="858" t="s">
        <v>4744</v>
      </c>
      <c r="LT144" s="858"/>
      <c r="LU144" s="858" t="s">
        <v>4777</v>
      </c>
      <c r="LV144" s="909"/>
      <c r="LW144" s="858" t="s">
        <v>4777</v>
      </c>
      <c r="LX144" s="858"/>
      <c r="LY144" s="858"/>
    </row>
    <row r="145" spans="1:337" ht="234.6" customHeight="1" x14ac:dyDescent="0.25">
      <c r="A145" s="1592"/>
      <c r="B145" s="1590"/>
      <c r="C145" s="353" t="s">
        <v>69</v>
      </c>
      <c r="D145" s="354" t="s">
        <v>189</v>
      </c>
      <c r="E145" s="840" t="s">
        <v>53</v>
      </c>
      <c r="F145" s="1058"/>
      <c r="G145" s="1058"/>
      <c r="H145" s="864"/>
      <c r="I145" s="864"/>
      <c r="J145" s="864"/>
      <c r="K145" s="864"/>
      <c r="L145" s="864"/>
      <c r="M145" s="864"/>
      <c r="N145" s="852"/>
      <c r="O145" s="864"/>
      <c r="P145" s="864"/>
      <c r="Q145" s="864"/>
      <c r="R145" s="864"/>
      <c r="S145" s="864"/>
      <c r="T145" s="864"/>
      <c r="U145" s="864"/>
      <c r="V145" s="855">
        <v>1</v>
      </c>
      <c r="W145" s="855">
        <v>2</v>
      </c>
      <c r="X145" s="855">
        <v>1</v>
      </c>
      <c r="Y145" s="855">
        <v>1</v>
      </c>
      <c r="Z145" s="855"/>
      <c r="AA145" s="864"/>
      <c r="AB145" s="864"/>
      <c r="AC145" s="864"/>
      <c r="AD145" s="864"/>
      <c r="AE145" s="864"/>
      <c r="AF145" s="864"/>
      <c r="AG145" s="864"/>
      <c r="AH145" s="864"/>
      <c r="AI145" s="864"/>
      <c r="AJ145" s="864"/>
      <c r="AK145" s="864"/>
      <c r="AL145" s="864"/>
      <c r="AM145" s="864"/>
      <c r="AN145" s="864"/>
      <c r="AO145" s="864"/>
      <c r="AP145" s="864"/>
      <c r="AQ145" s="864"/>
      <c r="AR145" s="864"/>
      <c r="AS145" s="864"/>
      <c r="AT145" s="864"/>
      <c r="AU145" s="864"/>
      <c r="AV145" s="855">
        <v>1</v>
      </c>
      <c r="AW145" s="855"/>
      <c r="AX145" s="864"/>
      <c r="AY145" s="864"/>
      <c r="AZ145" s="864"/>
      <c r="BA145" s="852">
        <v>59</v>
      </c>
      <c r="BB145" s="855"/>
      <c r="BC145" s="855" t="s">
        <v>2798</v>
      </c>
      <c r="BD145" s="855"/>
      <c r="BE145" s="864"/>
      <c r="BF145" s="864"/>
      <c r="BG145" s="864"/>
      <c r="BH145" s="864"/>
      <c r="BI145" s="864"/>
      <c r="BJ145" s="864"/>
      <c r="BK145" s="864"/>
      <c r="BL145" s="864"/>
      <c r="BM145" s="864"/>
      <c r="BN145" s="864"/>
      <c r="BO145" s="864"/>
      <c r="BP145" s="864"/>
      <c r="BQ145" s="864"/>
      <c r="BR145" s="864"/>
      <c r="BS145" s="864"/>
      <c r="BT145" s="855">
        <v>3</v>
      </c>
      <c r="BU145" s="855"/>
      <c r="BV145" s="855">
        <v>1</v>
      </c>
      <c r="BW145" s="855"/>
      <c r="BX145" s="864"/>
      <c r="BY145" s="864"/>
      <c r="BZ145" s="864"/>
      <c r="CA145" s="864"/>
      <c r="CB145" s="864"/>
      <c r="CC145" s="862"/>
      <c r="CD145" s="864"/>
      <c r="CE145" s="864"/>
      <c r="CF145" s="864"/>
      <c r="CG145" s="864"/>
      <c r="CH145" s="864"/>
      <c r="CI145" s="864"/>
      <c r="CJ145" s="864"/>
      <c r="CK145" s="855"/>
      <c r="CL145" s="855"/>
      <c r="CM145" s="864"/>
      <c r="CN145" s="864"/>
      <c r="CO145" s="864"/>
      <c r="CP145" s="864"/>
      <c r="CQ145" s="864"/>
      <c r="CR145" s="864"/>
      <c r="CS145" s="864"/>
      <c r="CT145" s="864"/>
      <c r="CU145" s="864"/>
      <c r="CV145" s="864"/>
      <c r="CW145" s="864"/>
      <c r="CX145" s="864"/>
      <c r="CY145" s="864"/>
      <c r="CZ145" s="864"/>
      <c r="DA145" s="864"/>
      <c r="DB145" s="864"/>
      <c r="DC145" s="864"/>
      <c r="DD145" s="864"/>
      <c r="DE145" s="864"/>
      <c r="DF145" s="855">
        <v>2</v>
      </c>
      <c r="DG145" s="864"/>
      <c r="DH145" s="855" t="s">
        <v>2933</v>
      </c>
      <c r="DI145" s="855"/>
      <c r="DJ145" s="855"/>
      <c r="DK145" s="855" t="s">
        <v>504</v>
      </c>
      <c r="DL145" s="855">
        <v>6</v>
      </c>
      <c r="DM145" s="855"/>
      <c r="DN145" s="864"/>
      <c r="DO145" s="864"/>
      <c r="DP145" s="855"/>
      <c r="DQ145" s="864"/>
      <c r="DR145" s="864"/>
      <c r="DS145" s="864"/>
      <c r="DT145" s="864"/>
      <c r="DU145" s="864"/>
      <c r="DV145" s="864"/>
      <c r="DW145" s="864"/>
      <c r="DX145" s="864"/>
      <c r="DY145" s="864"/>
      <c r="DZ145" s="864"/>
      <c r="EA145" s="864"/>
      <c r="EB145" s="864"/>
      <c r="EC145" s="864"/>
      <c r="ED145" s="864"/>
      <c r="EE145" s="864"/>
      <c r="EF145" s="855"/>
      <c r="EG145" s="855"/>
      <c r="EH145" s="855">
        <v>6</v>
      </c>
      <c r="EI145" s="855">
        <v>1</v>
      </c>
      <c r="EJ145" s="858"/>
      <c r="EK145" s="858">
        <v>12</v>
      </c>
      <c r="EL145" s="858">
        <v>2</v>
      </c>
      <c r="EM145" s="853">
        <v>4</v>
      </c>
      <c r="EN145" s="858">
        <v>4</v>
      </c>
      <c r="EO145" s="858"/>
      <c r="EP145" s="858">
        <v>4</v>
      </c>
      <c r="EQ145" s="858"/>
      <c r="ER145" s="858">
        <v>2</v>
      </c>
      <c r="ES145" s="858">
        <v>3</v>
      </c>
      <c r="ET145" s="858">
        <v>2</v>
      </c>
      <c r="EU145" s="864"/>
      <c r="EV145" s="864"/>
      <c r="EW145" s="855">
        <v>12</v>
      </c>
      <c r="EX145" s="864"/>
      <c r="EY145" s="864"/>
      <c r="EZ145" s="864"/>
      <c r="FA145" s="864"/>
      <c r="FB145" s="864"/>
      <c r="FC145" s="864"/>
      <c r="FD145" s="864"/>
      <c r="FE145" s="855"/>
      <c r="FF145" s="864"/>
      <c r="FG145" s="864"/>
      <c r="FH145" s="864"/>
      <c r="FI145" s="864"/>
      <c r="FJ145" s="864"/>
      <c r="FK145" s="855">
        <v>21</v>
      </c>
      <c r="FL145" s="852">
        <v>21</v>
      </c>
      <c r="FM145" s="855"/>
      <c r="FN145" s="855"/>
      <c r="FO145" s="855"/>
      <c r="FP145" s="855">
        <v>4</v>
      </c>
      <c r="FQ145" s="855">
        <v>16</v>
      </c>
      <c r="FR145" s="864"/>
      <c r="FS145" s="864"/>
      <c r="FT145" s="864"/>
      <c r="FU145" s="864"/>
      <c r="FV145" s="864"/>
      <c r="FW145" s="864"/>
      <c r="FX145" s="864"/>
      <c r="FY145" s="864"/>
      <c r="FZ145" s="864"/>
      <c r="GA145" s="855"/>
      <c r="GB145" s="855"/>
      <c r="GC145" s="855">
        <v>0</v>
      </c>
      <c r="GD145" s="855" t="s">
        <v>504</v>
      </c>
      <c r="GE145" s="855">
        <v>0</v>
      </c>
      <c r="GF145" s="855"/>
      <c r="GG145" s="855" t="s">
        <v>465</v>
      </c>
      <c r="GH145" s="864"/>
      <c r="GI145" s="864"/>
      <c r="GJ145" s="864"/>
      <c r="GK145" s="864"/>
      <c r="GL145" s="864"/>
      <c r="GM145" s="864"/>
      <c r="GN145" s="864"/>
      <c r="GO145" s="859" t="s">
        <v>465</v>
      </c>
      <c r="GP145" s="866">
        <v>1</v>
      </c>
      <c r="GQ145" s="867" t="s">
        <v>1104</v>
      </c>
      <c r="GR145" s="864"/>
      <c r="GS145" s="864"/>
      <c r="GT145" s="864"/>
      <c r="GU145" s="864"/>
      <c r="GV145" s="864"/>
      <c r="GW145" s="864"/>
      <c r="GX145" s="864"/>
      <c r="GY145" s="864"/>
      <c r="GZ145" s="864"/>
      <c r="HA145" s="864"/>
      <c r="HB145" s="864"/>
      <c r="HC145" s="864"/>
      <c r="HD145" s="864"/>
      <c r="HE145" s="855">
        <v>1</v>
      </c>
      <c r="HF145" s="855" t="s">
        <v>465</v>
      </c>
      <c r="HG145" s="864"/>
      <c r="HH145" s="853">
        <v>1</v>
      </c>
      <c r="HI145" s="855">
        <v>0</v>
      </c>
      <c r="HJ145" s="855"/>
      <c r="HK145" s="858"/>
      <c r="HL145" s="864"/>
      <c r="HM145" s="864"/>
      <c r="HN145" s="864"/>
      <c r="HO145" s="861">
        <v>19</v>
      </c>
      <c r="HP145" s="852">
        <v>1</v>
      </c>
      <c r="HQ145" s="855"/>
      <c r="HR145" s="862"/>
      <c r="HS145" s="855"/>
      <c r="HT145" s="855"/>
      <c r="HU145" s="855"/>
      <c r="HV145" s="855"/>
      <c r="HW145" s="855"/>
      <c r="HX145" s="855"/>
      <c r="HY145" s="855"/>
      <c r="HZ145" s="855"/>
      <c r="IA145" s="855">
        <v>1</v>
      </c>
      <c r="IB145" s="855">
        <v>2</v>
      </c>
      <c r="IC145" s="855"/>
      <c r="ID145" s="855"/>
      <c r="IE145" s="855"/>
      <c r="IF145" s="855"/>
      <c r="IG145" s="862"/>
      <c r="IH145" s="855"/>
      <c r="II145" s="855">
        <v>2</v>
      </c>
      <c r="IJ145" s="862">
        <v>2</v>
      </c>
      <c r="IK145" s="855"/>
      <c r="IL145" s="855">
        <v>1</v>
      </c>
      <c r="IM145" s="855">
        <v>3</v>
      </c>
      <c r="IN145" s="855"/>
      <c r="IO145" s="864"/>
      <c r="IP145" s="864"/>
      <c r="IQ145" s="864"/>
      <c r="IR145" s="862">
        <v>1</v>
      </c>
      <c r="IS145" s="855"/>
      <c r="IT145" s="855">
        <v>4</v>
      </c>
      <c r="IU145" s="855">
        <v>1</v>
      </c>
      <c r="IV145" s="855">
        <v>8</v>
      </c>
      <c r="IW145" s="855">
        <v>1</v>
      </c>
      <c r="IX145" s="858">
        <v>17</v>
      </c>
      <c r="IY145" s="855"/>
      <c r="IZ145" s="855"/>
      <c r="JA145" s="855">
        <v>0</v>
      </c>
      <c r="JB145" s="855" t="s">
        <v>465</v>
      </c>
      <c r="JC145" s="855">
        <v>0</v>
      </c>
      <c r="JD145" s="855">
        <v>1</v>
      </c>
      <c r="JE145" s="855">
        <v>8</v>
      </c>
      <c r="JF145" s="855" t="s">
        <v>4062</v>
      </c>
      <c r="JG145" s="855">
        <v>2</v>
      </c>
      <c r="JH145" s="855"/>
      <c r="JI145" s="855" t="s">
        <v>4115</v>
      </c>
      <c r="JJ145" s="855">
        <v>1</v>
      </c>
      <c r="JK145" s="855">
        <v>1</v>
      </c>
      <c r="JL145" s="855"/>
      <c r="JM145" s="855"/>
      <c r="JN145" s="855"/>
      <c r="JO145" s="855"/>
      <c r="JP145" s="855"/>
      <c r="JQ145" s="858"/>
      <c r="JR145" s="855"/>
      <c r="JS145" s="855"/>
      <c r="JT145" s="855">
        <v>4</v>
      </c>
      <c r="JU145" s="855"/>
      <c r="JV145" s="855"/>
      <c r="JW145" s="855"/>
      <c r="JX145" s="855"/>
      <c r="JY145" s="855"/>
      <c r="JZ145" s="855"/>
      <c r="KA145" s="855"/>
      <c r="KB145" s="855"/>
      <c r="KC145" s="855"/>
      <c r="KD145" s="855"/>
      <c r="KE145" s="862">
        <v>1</v>
      </c>
      <c r="KF145" s="862">
        <v>1</v>
      </c>
      <c r="KG145" s="862">
        <v>1</v>
      </c>
      <c r="KH145" s="862">
        <v>1</v>
      </c>
      <c r="KI145" s="862">
        <v>1</v>
      </c>
      <c r="KJ145" s="862">
        <v>1</v>
      </c>
      <c r="KK145" s="862">
        <v>1</v>
      </c>
      <c r="KL145" s="855">
        <v>0</v>
      </c>
      <c r="KM145" s="864"/>
      <c r="KN145" s="864"/>
      <c r="KO145" s="864"/>
      <c r="KP145" s="864"/>
      <c r="KQ145" s="864"/>
      <c r="KR145" s="855"/>
      <c r="KS145" s="864"/>
      <c r="KT145" s="855" t="s">
        <v>465</v>
      </c>
      <c r="KU145" s="864"/>
      <c r="KV145" s="855">
        <v>1</v>
      </c>
      <c r="KW145" s="855">
        <v>17</v>
      </c>
      <c r="KX145" s="855">
        <v>3</v>
      </c>
      <c r="KY145" s="858">
        <v>1</v>
      </c>
      <c r="KZ145" s="855"/>
      <c r="LA145" s="855">
        <v>7</v>
      </c>
      <c r="LB145" s="855"/>
      <c r="LC145" s="855"/>
      <c r="LD145" s="855"/>
      <c r="LE145" s="855" t="s">
        <v>465</v>
      </c>
      <c r="LF145" s="858">
        <v>1</v>
      </c>
      <c r="LG145" s="858"/>
      <c r="LH145" s="858">
        <v>0</v>
      </c>
      <c r="LI145" s="858"/>
      <c r="LJ145" s="858"/>
      <c r="LK145" s="858">
        <v>0</v>
      </c>
      <c r="LL145" s="858"/>
      <c r="LM145" s="858">
        <v>0</v>
      </c>
      <c r="LN145" s="858">
        <v>0</v>
      </c>
      <c r="LO145" s="858"/>
      <c r="LP145" s="858">
        <v>26</v>
      </c>
      <c r="LQ145" s="858"/>
      <c r="LR145" s="858">
        <v>1</v>
      </c>
      <c r="LS145" s="858">
        <v>1</v>
      </c>
      <c r="LT145" s="858"/>
      <c r="LU145" s="858">
        <v>1</v>
      </c>
      <c r="LV145" s="909"/>
      <c r="LW145" s="858">
        <v>1</v>
      </c>
      <c r="LX145" s="858"/>
      <c r="LY145" s="858"/>
    </row>
    <row r="146" spans="1:337" ht="48" thickBot="1" x14ac:dyDescent="0.3">
      <c r="A146" s="1593"/>
      <c r="B146" s="1591"/>
      <c r="C146" s="335" t="s">
        <v>70</v>
      </c>
      <c r="D146" s="336" t="s">
        <v>188</v>
      </c>
      <c r="E146" s="836" t="s">
        <v>53</v>
      </c>
      <c r="F146" s="863"/>
      <c r="G146" s="863"/>
      <c r="H146" s="864"/>
      <c r="I146" s="864"/>
      <c r="J146" s="864"/>
      <c r="K146" s="864"/>
      <c r="L146" s="864"/>
      <c r="M146" s="864"/>
      <c r="N146" s="852"/>
      <c r="O146" s="864"/>
      <c r="P146" s="864"/>
      <c r="Q146" s="864"/>
      <c r="R146" s="864"/>
      <c r="S146" s="864"/>
      <c r="T146" s="864"/>
      <c r="U146" s="864"/>
      <c r="V146" s="855">
        <v>15</v>
      </c>
      <c r="W146" s="855">
        <v>16</v>
      </c>
      <c r="X146" s="855">
        <v>22</v>
      </c>
      <c r="Y146" s="855">
        <v>13</v>
      </c>
      <c r="Z146" s="855"/>
      <c r="AA146" s="864"/>
      <c r="AB146" s="864"/>
      <c r="AC146" s="864"/>
      <c r="AD146" s="864"/>
      <c r="AE146" s="864"/>
      <c r="AF146" s="864"/>
      <c r="AG146" s="864"/>
      <c r="AH146" s="864"/>
      <c r="AI146" s="864"/>
      <c r="AJ146" s="864"/>
      <c r="AK146" s="864"/>
      <c r="AL146" s="864"/>
      <c r="AM146" s="864"/>
      <c r="AN146" s="864"/>
      <c r="AO146" s="864"/>
      <c r="AP146" s="864"/>
      <c r="AQ146" s="864"/>
      <c r="AR146" s="864"/>
      <c r="AS146" s="864"/>
      <c r="AT146" s="864"/>
      <c r="AU146" s="864"/>
      <c r="AV146" s="855">
        <v>6</v>
      </c>
      <c r="AW146" s="855"/>
      <c r="AX146" s="864"/>
      <c r="AY146" s="864"/>
      <c r="AZ146" s="864"/>
      <c r="BA146" s="852">
        <v>1180</v>
      </c>
      <c r="BB146" s="855"/>
      <c r="BC146" s="855"/>
      <c r="BD146" s="855"/>
      <c r="BE146" s="864"/>
      <c r="BF146" s="864"/>
      <c r="BG146" s="864"/>
      <c r="BH146" s="864"/>
      <c r="BI146" s="864"/>
      <c r="BJ146" s="864"/>
      <c r="BK146" s="864"/>
      <c r="BL146" s="864"/>
      <c r="BM146" s="864"/>
      <c r="BN146" s="864"/>
      <c r="BO146" s="864"/>
      <c r="BP146" s="864"/>
      <c r="BQ146" s="864"/>
      <c r="BR146" s="864"/>
      <c r="BS146" s="864"/>
      <c r="BT146" s="855">
        <v>150</v>
      </c>
      <c r="BU146" s="855"/>
      <c r="BV146" s="855">
        <v>3</v>
      </c>
      <c r="BW146" s="855"/>
      <c r="BX146" s="864"/>
      <c r="BY146" s="864"/>
      <c r="BZ146" s="864"/>
      <c r="CA146" s="864"/>
      <c r="CB146" s="864"/>
      <c r="CC146" s="862"/>
      <c r="CD146" s="864"/>
      <c r="CE146" s="864"/>
      <c r="CF146" s="864"/>
      <c r="CG146" s="864"/>
      <c r="CH146" s="864"/>
      <c r="CI146" s="864"/>
      <c r="CJ146" s="864"/>
      <c r="CK146" s="855"/>
      <c r="CL146" s="855"/>
      <c r="CM146" s="864"/>
      <c r="CN146" s="864"/>
      <c r="CO146" s="864"/>
      <c r="CP146" s="864"/>
      <c r="CQ146" s="864"/>
      <c r="CR146" s="864"/>
      <c r="CS146" s="864"/>
      <c r="CT146" s="864"/>
      <c r="CU146" s="864"/>
      <c r="CV146" s="864"/>
      <c r="CW146" s="864"/>
      <c r="CX146" s="864"/>
      <c r="CY146" s="864"/>
      <c r="CZ146" s="864"/>
      <c r="DA146" s="864"/>
      <c r="DB146" s="864"/>
      <c r="DC146" s="864"/>
      <c r="DD146" s="864"/>
      <c r="DE146" s="864"/>
      <c r="DF146" s="855">
        <v>70</v>
      </c>
      <c r="DG146" s="864"/>
      <c r="DH146" s="855"/>
      <c r="DI146" s="855"/>
      <c r="DJ146" s="855"/>
      <c r="DK146" s="855" t="s">
        <v>504</v>
      </c>
      <c r="DL146" s="855">
        <v>140</v>
      </c>
      <c r="DM146" s="855"/>
      <c r="DN146" s="864"/>
      <c r="DO146" s="864"/>
      <c r="DP146" s="855"/>
      <c r="DQ146" s="864"/>
      <c r="DR146" s="864"/>
      <c r="DS146" s="864"/>
      <c r="DT146" s="864"/>
      <c r="DU146" s="864"/>
      <c r="DV146" s="864"/>
      <c r="DW146" s="864"/>
      <c r="DX146" s="864"/>
      <c r="DY146" s="864"/>
      <c r="DZ146" s="864"/>
      <c r="EA146" s="864"/>
      <c r="EB146" s="864"/>
      <c r="EC146" s="864"/>
      <c r="ED146" s="864"/>
      <c r="EE146" s="864"/>
      <c r="EF146" s="855"/>
      <c r="EG146" s="855"/>
      <c r="EH146" s="855">
        <v>18</v>
      </c>
      <c r="EI146" s="855">
        <v>708</v>
      </c>
      <c r="EJ146" s="858"/>
      <c r="EK146" s="858">
        <v>438</v>
      </c>
      <c r="EL146" s="858">
        <v>45</v>
      </c>
      <c r="EM146" s="853" t="s">
        <v>3108</v>
      </c>
      <c r="EN146" s="858">
        <v>96</v>
      </c>
      <c r="EO146" s="858"/>
      <c r="EP146" s="858">
        <v>60</v>
      </c>
      <c r="EQ146" s="858"/>
      <c r="ER146" s="858">
        <v>45</v>
      </c>
      <c r="ES146" s="858">
        <v>50</v>
      </c>
      <c r="ET146" s="858">
        <v>36</v>
      </c>
      <c r="EU146" s="864"/>
      <c r="EV146" s="864"/>
      <c r="EW146" s="855">
        <v>230</v>
      </c>
      <c r="EX146" s="864"/>
      <c r="EY146" s="864"/>
      <c r="EZ146" s="864"/>
      <c r="FA146" s="864"/>
      <c r="FB146" s="864"/>
      <c r="FC146" s="864"/>
      <c r="FD146" s="864"/>
      <c r="FE146" s="855"/>
      <c r="FF146" s="864"/>
      <c r="FG146" s="864"/>
      <c r="FH146" s="864"/>
      <c r="FI146" s="864"/>
      <c r="FJ146" s="864"/>
      <c r="FK146" s="855">
        <v>375</v>
      </c>
      <c r="FL146" s="852">
        <v>21</v>
      </c>
      <c r="FM146" s="855">
        <v>4203</v>
      </c>
      <c r="FN146" s="855"/>
      <c r="FO146" s="855"/>
      <c r="FP146" s="855">
        <v>25</v>
      </c>
      <c r="FQ146" s="855">
        <v>6511</v>
      </c>
      <c r="FR146" s="864"/>
      <c r="FS146" s="864"/>
      <c r="FT146" s="864"/>
      <c r="FU146" s="864"/>
      <c r="FV146" s="864"/>
      <c r="FW146" s="864"/>
      <c r="FX146" s="864"/>
      <c r="FY146" s="864"/>
      <c r="FZ146" s="864"/>
      <c r="GA146" s="855"/>
      <c r="GB146" s="855"/>
      <c r="GC146" s="855">
        <v>0</v>
      </c>
      <c r="GD146" s="855" t="s">
        <v>504</v>
      </c>
      <c r="GE146" s="855">
        <v>0</v>
      </c>
      <c r="GF146" s="855"/>
      <c r="GG146" s="855" t="s">
        <v>465</v>
      </c>
      <c r="GH146" s="864"/>
      <c r="GI146" s="864"/>
      <c r="GJ146" s="864"/>
      <c r="GK146" s="864"/>
      <c r="GL146" s="864"/>
      <c r="GM146" s="864"/>
      <c r="GN146" s="864"/>
      <c r="GO146" s="859" t="s">
        <v>465</v>
      </c>
      <c r="GP146" s="866">
        <v>40</v>
      </c>
      <c r="GQ146" s="867" t="s">
        <v>1104</v>
      </c>
      <c r="GR146" s="864"/>
      <c r="GS146" s="864"/>
      <c r="GT146" s="864"/>
      <c r="GU146" s="864"/>
      <c r="GV146" s="864"/>
      <c r="GW146" s="864"/>
      <c r="GX146" s="864"/>
      <c r="GY146" s="864"/>
      <c r="GZ146" s="864"/>
      <c r="HA146" s="864"/>
      <c r="HB146" s="864"/>
      <c r="HC146" s="864"/>
      <c r="HD146" s="864"/>
      <c r="HE146" s="855">
        <v>130</v>
      </c>
      <c r="HF146" s="855" t="s">
        <v>465</v>
      </c>
      <c r="HG146" s="864"/>
      <c r="HH146" s="853">
        <v>30</v>
      </c>
      <c r="HI146" s="855">
        <v>0</v>
      </c>
      <c r="HJ146" s="855"/>
      <c r="HK146" s="858"/>
      <c r="HL146" s="864"/>
      <c r="HM146" s="864"/>
      <c r="HN146" s="864"/>
      <c r="HO146" s="861" t="s">
        <v>3560</v>
      </c>
      <c r="HP146" s="852">
        <v>13</v>
      </c>
      <c r="HQ146" s="855"/>
      <c r="HR146" s="862"/>
      <c r="HS146" s="855"/>
      <c r="HT146" s="855"/>
      <c r="HU146" s="855"/>
      <c r="HV146" s="855"/>
      <c r="HW146" s="855"/>
      <c r="HX146" s="855"/>
      <c r="HY146" s="855"/>
      <c r="HZ146" s="855"/>
      <c r="IA146" s="855">
        <v>11</v>
      </c>
      <c r="IB146" s="855">
        <v>50</v>
      </c>
      <c r="IC146" s="855"/>
      <c r="ID146" s="855"/>
      <c r="IE146" s="855"/>
      <c r="IF146" s="855"/>
      <c r="IG146" s="862"/>
      <c r="IH146" s="907"/>
      <c r="II146" s="855">
        <v>20</v>
      </c>
      <c r="IJ146" s="862">
        <v>20</v>
      </c>
      <c r="IK146" s="855"/>
      <c r="IL146" s="855">
        <v>35</v>
      </c>
      <c r="IM146" s="855">
        <v>21</v>
      </c>
      <c r="IN146" s="855"/>
      <c r="IO146" s="864"/>
      <c r="IP146" s="864"/>
      <c r="IQ146" s="864"/>
      <c r="IR146" s="862">
        <v>49</v>
      </c>
      <c r="IS146" s="855"/>
      <c r="IT146" s="855">
        <v>36</v>
      </c>
      <c r="IU146" s="855">
        <v>24</v>
      </c>
      <c r="IV146" s="855">
        <v>24</v>
      </c>
      <c r="IW146" s="855">
        <v>50</v>
      </c>
      <c r="IX146" s="858">
        <v>153</v>
      </c>
      <c r="IY146" s="855"/>
      <c r="IZ146" s="855"/>
      <c r="JA146" s="855">
        <v>0</v>
      </c>
      <c r="JB146" s="855" t="s">
        <v>465</v>
      </c>
      <c r="JC146" s="855">
        <v>0</v>
      </c>
      <c r="JD146" s="855">
        <v>2</v>
      </c>
      <c r="JE146" s="855">
        <v>27</v>
      </c>
      <c r="JF146" s="855" t="s">
        <v>4062</v>
      </c>
      <c r="JG146" s="855">
        <v>25</v>
      </c>
      <c r="JH146" s="855"/>
      <c r="JI146" s="855">
        <v>3</v>
      </c>
      <c r="JJ146" s="855">
        <v>50</v>
      </c>
      <c r="JK146" s="855">
        <v>1</v>
      </c>
      <c r="JL146" s="855"/>
      <c r="JM146" s="855"/>
      <c r="JN146" s="855"/>
      <c r="JO146" s="855"/>
      <c r="JP146" s="855"/>
      <c r="JQ146" s="858"/>
      <c r="JR146" s="855"/>
      <c r="JS146" s="855"/>
      <c r="JT146" s="855">
        <v>120</v>
      </c>
      <c r="JU146" s="855"/>
      <c r="JV146" s="855"/>
      <c r="JW146" s="855"/>
      <c r="JX146" s="855"/>
      <c r="JY146" s="855"/>
      <c r="JZ146" s="855"/>
      <c r="KA146" s="855"/>
      <c r="KB146" s="855"/>
      <c r="KC146" s="855"/>
      <c r="KD146" s="855"/>
      <c r="KE146" s="862">
        <v>31</v>
      </c>
      <c r="KF146" s="862">
        <v>3</v>
      </c>
      <c r="KG146" s="862">
        <v>3</v>
      </c>
      <c r="KH146" s="862">
        <v>3</v>
      </c>
      <c r="KI146" s="862">
        <v>3</v>
      </c>
      <c r="KJ146" s="862">
        <v>3</v>
      </c>
      <c r="KK146" s="862">
        <v>3</v>
      </c>
      <c r="KL146" s="855">
        <v>0</v>
      </c>
      <c r="KM146" s="864"/>
      <c r="KN146" s="864"/>
      <c r="KO146" s="864"/>
      <c r="KP146" s="864"/>
      <c r="KQ146" s="864"/>
      <c r="KR146" s="855"/>
      <c r="KS146" s="864"/>
      <c r="KT146" s="855" t="s">
        <v>465</v>
      </c>
      <c r="KU146" s="864"/>
      <c r="KV146" s="855">
        <v>10</v>
      </c>
      <c r="KW146" s="855">
        <v>2683</v>
      </c>
      <c r="KX146" s="855">
        <v>36</v>
      </c>
      <c r="KY146" s="858">
        <v>112</v>
      </c>
      <c r="KZ146" s="855"/>
      <c r="LA146" s="855">
        <v>141</v>
      </c>
      <c r="LB146" s="855"/>
      <c r="LC146" s="855"/>
      <c r="LD146" s="855"/>
      <c r="LE146" s="855" t="s">
        <v>465</v>
      </c>
      <c r="LF146" s="858">
        <v>40</v>
      </c>
      <c r="LG146" s="858"/>
      <c r="LH146" s="858"/>
      <c r="LI146" s="858"/>
      <c r="LJ146" s="858"/>
      <c r="LK146" s="858"/>
      <c r="LL146" s="858"/>
      <c r="LM146" s="858"/>
      <c r="LN146" s="858">
        <v>0</v>
      </c>
      <c r="LO146" s="858"/>
      <c r="LP146" s="858">
        <v>1200</v>
      </c>
      <c r="LQ146" s="858"/>
      <c r="LR146" s="858"/>
      <c r="LS146" s="858"/>
      <c r="LT146" s="858"/>
      <c r="LU146" s="858"/>
      <c r="LV146" s="909"/>
      <c r="LW146" s="858"/>
      <c r="LX146" s="858"/>
      <c r="LY146" s="858"/>
    </row>
    <row r="147" spans="1:337" ht="28.5" customHeight="1" x14ac:dyDescent="0.25">
      <c r="F147" s="338"/>
      <c r="G147" s="338"/>
    </row>
    <row r="148" spans="1:337" ht="21" customHeight="1" x14ac:dyDescent="0.25">
      <c r="F148" s="338"/>
      <c r="G148" s="338"/>
    </row>
    <row r="149" spans="1:337" ht="18" customHeight="1" x14ac:dyDescent="0.25">
      <c r="F149" s="338"/>
      <c r="G149" s="338"/>
    </row>
    <row r="150" spans="1:337" ht="15.75" customHeight="1" x14ac:dyDescent="0.25">
      <c r="F150" s="338"/>
      <c r="G150" s="338"/>
    </row>
    <row r="151" spans="1:337" x14ac:dyDescent="0.25">
      <c r="F151" s="338"/>
      <c r="G151" s="338"/>
    </row>
    <row r="152" spans="1:337" x14ac:dyDescent="0.25">
      <c r="F152" s="338"/>
      <c r="G152" s="338"/>
    </row>
    <row r="153" spans="1:337" ht="15.75" customHeight="1" x14ac:dyDescent="0.25"/>
  </sheetData>
  <sheetProtection sheet="1" objects="1" scenarios="1" formatCells="0" formatColumns="0" formatRows="0" insertColumns="0" insertRows="0" insertHyperlinks="0" deleteColumns="0" deleteRows="0" sort="0" autoFilter="0" pivotTables="0"/>
  <mergeCells count="78">
    <mergeCell ref="A3:A4"/>
    <mergeCell ref="B3:B4"/>
    <mergeCell ref="A5:A6"/>
    <mergeCell ref="B5:B6"/>
    <mergeCell ref="A8:A9"/>
    <mergeCell ref="B8:B9"/>
    <mergeCell ref="C8:C9"/>
    <mergeCell ref="D8:D9"/>
    <mergeCell ref="A21:A22"/>
    <mergeCell ref="B21:B22"/>
    <mergeCell ref="C21:C22"/>
    <mergeCell ref="D21:D22"/>
    <mergeCell ref="A24:A26"/>
    <mergeCell ref="B24:B26"/>
    <mergeCell ref="A31:A33"/>
    <mergeCell ref="B31:B33"/>
    <mergeCell ref="A34:A35"/>
    <mergeCell ref="B34:B35"/>
    <mergeCell ref="A36:A37"/>
    <mergeCell ref="B36:B37"/>
    <mergeCell ref="A43:A46"/>
    <mergeCell ref="B43:B46"/>
    <mergeCell ref="A47:A48"/>
    <mergeCell ref="B47:B48"/>
    <mergeCell ref="A80:A85"/>
    <mergeCell ref="B80:B85"/>
    <mergeCell ref="A49:A51"/>
    <mergeCell ref="B49:B51"/>
    <mergeCell ref="A52:A73"/>
    <mergeCell ref="B52:B73"/>
    <mergeCell ref="A74:A79"/>
    <mergeCell ref="B74:B79"/>
    <mergeCell ref="C92:C94"/>
    <mergeCell ref="D92:D94"/>
    <mergeCell ref="C95:C97"/>
    <mergeCell ref="D95:D97"/>
    <mergeCell ref="C75:C76"/>
    <mergeCell ref="D75:D76"/>
    <mergeCell ref="C78:C79"/>
    <mergeCell ref="D78:D79"/>
    <mergeCell ref="C98:C100"/>
    <mergeCell ref="D98:D100"/>
    <mergeCell ref="C101:C103"/>
    <mergeCell ref="D101:D103"/>
    <mergeCell ref="C104:C106"/>
    <mergeCell ref="D104:D106"/>
    <mergeCell ref="C107:C109"/>
    <mergeCell ref="D107:D109"/>
    <mergeCell ref="A110:A133"/>
    <mergeCell ref="B110:B133"/>
    <mergeCell ref="C110:C112"/>
    <mergeCell ref="D110:D112"/>
    <mergeCell ref="C113:C115"/>
    <mergeCell ref="D113:D115"/>
    <mergeCell ref="C116:C118"/>
    <mergeCell ref="D116:D118"/>
    <mergeCell ref="A86:A109"/>
    <mergeCell ref="B86:B109"/>
    <mergeCell ref="C86:C88"/>
    <mergeCell ref="D86:D88"/>
    <mergeCell ref="C89:C91"/>
    <mergeCell ref="D89:D91"/>
    <mergeCell ref="C119:C121"/>
    <mergeCell ref="D119:D121"/>
    <mergeCell ref="C122:C124"/>
    <mergeCell ref="D122:D124"/>
    <mergeCell ref="C125:C127"/>
    <mergeCell ref="D125:D127"/>
    <mergeCell ref="C128:C130"/>
    <mergeCell ref="D128:D130"/>
    <mergeCell ref="C131:C133"/>
    <mergeCell ref="D131:D133"/>
    <mergeCell ref="A137:A138"/>
    <mergeCell ref="B137:B138"/>
    <mergeCell ref="A139:A143"/>
    <mergeCell ref="B139:B143"/>
    <mergeCell ref="A144:A146"/>
    <mergeCell ref="B144:B146"/>
  </mergeCells>
  <hyperlinks>
    <hyperlink ref="HH22" r:id="rId1"/>
    <hyperlink ref="HH76" r:id="rId2"/>
    <hyperlink ref="HH139" r:id="rId3"/>
    <hyperlink ref="HH141" r:id="rId4"/>
    <hyperlink ref="HH140" r:id="rId5"/>
    <hyperlink ref="KV22" r:id="rId6" display="https://docs.cntd.ru/document/561701850"/>
    <hyperlink ref="KV108" r:id="rId7"/>
    <hyperlink ref="KV111" r:id="rId8" display="https://xn--80adblbabq1bk1bi8r.xn--p1ai/votings/1297"/>
    <hyperlink ref="KV126" r:id="rId9"/>
    <hyperlink ref="KV139" r:id="rId10"/>
    <hyperlink ref="KV141" r:id="rId11"/>
    <hyperlink ref="KV79" r:id="rId12" location="1"/>
    <hyperlink ref="KV140" r:id="rId13" display="http://sh2.edushd.ru/partisipatornoe-byudzhetirovanie/index.php"/>
    <hyperlink ref="KW139" r:id="rId14"/>
    <hyperlink ref="KX22" r:id="rId15"/>
    <hyperlink ref="KX139" r:id="rId16"/>
    <hyperlink ref="KX140" r:id="rId17" display="http://www.newurengoy.ru/"/>
    <hyperlink ref="KY22" r:id="rId18"/>
    <hyperlink ref="KY90" r:id="rId19"/>
    <hyperlink ref="KY108" r:id="rId20"/>
    <hyperlink ref="KY139" r:id="rId21"/>
    <hyperlink ref="KY140" r:id="rId22" display="http://budget.depfinnbr.ru/initsiativnoe-byudzhetirovanie/proekt-ritm"/>
    <hyperlink ref="KY141" r:id="rId23"/>
    <hyperlink ref="KZ139" r:id="rId24"/>
    <hyperlink ref="KZ140" r:id="rId25" display="http://www.muravlenko24.ru/"/>
    <hyperlink ref="KZ22" r:id="rId26" display="http://muravlenko.yanao.ru/ekonomika-i-zhkh/municipalnye-finansy/bjudzhetnaya-iniciativa-grazhdan/dokumenty-bjudzhetnaya-iniciativa-grazhdan/49980-postanovlenie-o-realizacii-proekta-byudzhetnaya-iniciativa-grazhdan-na-territorii-goroda-muravlenko.html"/>
    <hyperlink ref="LA79" r:id="rId27"/>
    <hyperlink ref="LA111" r:id="rId28"/>
    <hyperlink ref="LA141" r:id="rId29"/>
    <hyperlink ref="LA139" r:id="rId30"/>
    <hyperlink ref="LB22" r:id="rId31"/>
    <hyperlink ref="LB139" r:id="rId32"/>
    <hyperlink ref="LB79" r:id="rId33"/>
    <hyperlink ref="LB76" r:id="rId34"/>
    <hyperlink ref="LC22" r:id="rId35"/>
    <hyperlink ref="LC139" r:id="rId36"/>
    <hyperlink ref="LC79" r:id="rId37"/>
    <hyperlink ref="LC76" r:id="rId38"/>
    <hyperlink ref="LD139" r:id="rId39"/>
    <hyperlink ref="LF22" r:id="rId40"/>
    <hyperlink ref="LF79" r:id="rId41"/>
    <hyperlink ref="LF126" r:id="rId42"/>
    <hyperlink ref="LF129" r:id="rId43"/>
    <hyperlink ref="LF111" r:id="rId44"/>
    <hyperlink ref="LF140" r:id="rId45"/>
    <hyperlink ref="LF141" r:id="rId46"/>
    <hyperlink ref="LG22" r:id="rId47" display="http://azov-adm.ru/documents/2777.html"/>
    <hyperlink ref="LG139" r:id="rId48"/>
    <hyperlink ref="LH22" r:id="rId49" display="http://adm-gorki.ru/documents/224.html"/>
    <hyperlink ref="LH139" r:id="rId50"/>
    <hyperlink ref="LH140" r:id="rId51"/>
    <hyperlink ref="LI22" r:id="rId52"/>
    <hyperlink ref="LI139" r:id="rId53"/>
    <hyperlink ref="LJ22" r:id="rId54" display="http://adm-muji.ru/dokumenty-0.html"/>
    <hyperlink ref="LJ139" r:id="rId55"/>
    <hyperlink ref="LK22" r:id="rId56" display="http://www.admin-moovg.ru/documents/1255.html; "/>
    <hyperlink ref="LK139" r:id="rId57"/>
    <hyperlink ref="LL139" r:id="rId58"/>
    <hyperlink ref="LL22" r:id="rId59"/>
    <hyperlink ref="LM22" r:id="rId60" display="http://adminshur.ru/budjetnaya_iniciativa_grajdan_2019"/>
    <hyperlink ref="LN22" r:id="rId61"/>
    <hyperlink ref="LN139" r:id="rId62"/>
    <hyperlink ref="LO22" r:id="rId63"/>
    <hyperlink ref="LO90" r:id="rId64"/>
    <hyperlink ref="LO129" r:id="rId65"/>
    <hyperlink ref="LO139" r:id="rId66"/>
    <hyperlink ref="LO87" r:id="rId67"/>
    <hyperlink ref="LP111" r:id="rId68"/>
    <hyperlink ref="LP102" r:id="rId69"/>
    <hyperlink ref="LP140" r:id="rId70" display="https://vk.com/yamaltv"/>
    <hyperlink ref="LP90" r:id="rId71"/>
    <hyperlink ref="LP79" r:id="rId72"/>
    <hyperlink ref="LP114" r:id="rId73"/>
    <hyperlink ref="LP141" r:id="rId74"/>
    <hyperlink ref="LQ22" r:id="rId75" display="https://tasu.ru/files/819.pdf "/>
    <hyperlink ref="LQ139" r:id="rId76" display="https://tasu.ru/ekonomika-i-finansy/initsiativnoe-byudzhetirovanie/, "/>
    <hyperlink ref="LQ141" r:id="rId77" display="https://tasu.ru/ekonomika-i-finansy/initsiativnoe-byudzhetirovanie/, "/>
    <hyperlink ref="LR22" r:id="rId78" display="https://www.puradm.ru/one-doc/8209"/>
    <hyperlink ref="LR79" r:id="rId79"/>
    <hyperlink ref="LR126" r:id="rId80"/>
    <hyperlink ref="LS22" r:id="rId81"/>
    <hyperlink ref="LS79" r:id="rId82"/>
    <hyperlink ref="LS140" r:id="rId83" display="https://trk-luch.ru/news/the-urengoy-budget-for-next-year-amounted-to-almost-half-a-billion-rubles/"/>
    <hyperlink ref="LS126" r:id="rId84"/>
    <hyperlink ref="LT22" r:id="rId85"/>
    <hyperlink ref="LT79" r:id="rId86"/>
    <hyperlink ref="LT139" r:id="rId87"/>
    <hyperlink ref="LT126" r:id="rId88"/>
    <hyperlink ref="LT140" r:id="rId89"/>
    <hyperlink ref="LU22" r:id="rId90"/>
    <hyperlink ref="LU79" r:id="rId91"/>
    <hyperlink ref="LU90" r:id="rId92"/>
    <hyperlink ref="LU126" r:id="rId93"/>
    <hyperlink ref="LU139" r:id="rId94"/>
    <hyperlink ref="LU140" r:id="rId95" display="https://trk-luch.ru/news/from-idea-to-implementation/?sphrase_id=66413"/>
    <hyperlink ref="LV22" r:id="rId96"/>
    <hyperlink ref="LV90" r:id="rId97"/>
    <hyperlink ref="LV139" r:id="rId98"/>
    <hyperlink ref="LV140" r:id="rId99" display="https://vk.com/purovskoe?w=wall-171792864_1132%2Fall"/>
    <hyperlink ref="LV79" r:id="rId100"/>
    <hyperlink ref="LW79" r:id="rId101"/>
    <hyperlink ref="LW22" r:id="rId102"/>
    <hyperlink ref="LW140" r:id="rId103"/>
    <hyperlink ref="LX22" r:id="rId104"/>
    <hyperlink ref="LX79" r:id="rId105"/>
    <hyperlink ref="LX139" r:id="rId106"/>
    <hyperlink ref="LX126" r:id="rId107"/>
    <hyperlink ref="LY79" r:id="rId108"/>
    <hyperlink ref="LY22" r:id="rId109"/>
    <hyperlink ref="LY139" r:id="rId110"/>
    <hyperlink ref="HI22" r:id="rId111"/>
    <hyperlink ref="HI141" r:id="rId112"/>
    <hyperlink ref="HI139" r:id="rId113"/>
    <hyperlink ref="HI129" r:id="rId114"/>
    <hyperlink ref="HI140" r:id="rId115"/>
    <hyperlink ref="HI79" r:id="rId116"/>
    <hyperlink ref="HJ22" r:id="rId117"/>
    <hyperlink ref="HJ79" r:id="rId118"/>
    <hyperlink ref="HJ139" r:id="rId119"/>
    <hyperlink ref="HJ140" r:id="rId120"/>
    <hyperlink ref="HJ126" r:id="rId121"/>
    <hyperlink ref="HK22" r:id="rId122"/>
    <hyperlink ref="HK79" r:id="rId123"/>
    <hyperlink ref="EH22" r:id="rId124"/>
    <hyperlink ref="EH79" r:id="rId125"/>
    <hyperlink ref="EH111" r:id="rId126"/>
    <hyperlink ref="EH139" r:id="rId127"/>
    <hyperlink ref="EH140" r:id="rId128"/>
    <hyperlink ref="EH141" r:id="rId129"/>
    <hyperlink ref="EI22" r:id="rId130"/>
    <hyperlink ref="EI111" r:id="rId131"/>
    <hyperlink ref="EI139" r:id="rId132"/>
    <hyperlink ref="EI142" r:id="rId133"/>
    <hyperlink ref="EI141" r:id="rId134"/>
    <hyperlink ref="EJ22" r:id="rId135"/>
    <hyperlink ref="EJ102" r:id="rId136"/>
    <hyperlink ref="EJ132" r:id="rId137"/>
    <hyperlink ref="EJ139" r:id="rId138"/>
    <hyperlink ref="EJ140" r:id="rId139"/>
    <hyperlink ref="EJ79" r:id="rId140"/>
    <hyperlink ref="EJ141" r:id="rId141"/>
    <hyperlink ref="EK111" r:id="rId142"/>
    <hyperlink ref="EK139" r:id="rId143"/>
    <hyperlink ref="EK22" r:id="rId144"/>
    <hyperlink ref="EL79" r:id="rId145"/>
    <hyperlink ref="EL22" r:id="rId146"/>
    <hyperlink ref="EM79" r:id="rId147"/>
    <hyperlink ref="EM140" r:id="rId148" display="https://bz.orb.ru/files/documents/narod-budget-itogi.rar"/>
    <hyperlink ref="EN22" r:id="rId149"/>
    <hyperlink ref="EN139" r:id="rId150"/>
    <hyperlink ref="EN141" r:id="rId151"/>
    <hyperlink ref="EN143" r:id="rId152"/>
    <hyperlink ref="EN79" r:id="rId153"/>
    <hyperlink ref="EO22" r:id="rId154"/>
    <hyperlink ref="EO139" r:id="rId155"/>
    <hyperlink ref="EQ22" r:id="rId156" location="content"/>
    <hyperlink ref="EQ76" r:id="rId157" location="content"/>
    <hyperlink ref="EQ126" r:id="rId158" location="content"/>
    <hyperlink ref="EQ139" r:id="rId159" location="content"/>
    <hyperlink ref="EQ140" r:id="rId160"/>
    <hyperlink ref="EQ141" r:id="rId161" location="content"/>
    <hyperlink ref="ER22" r:id="rId162"/>
    <hyperlink ref="ER79" r:id="rId163"/>
    <hyperlink ref="ER139" r:id="rId164"/>
    <hyperlink ref="ER141" r:id="rId165"/>
    <hyperlink ref="ET22" r:id="rId166"/>
    <hyperlink ref="ET139" r:id="rId167"/>
    <hyperlink ref="ET111" r:id="rId168"/>
    <hyperlink ref="KR22" r:id="rId169" display="http://gcheb.cap.ru/doc/laws/2018/02/09/postanovlenie201_x000a_"/>
    <hyperlink ref="KR139" r:id="rId170"/>
    <hyperlink ref="KR79" r:id="rId171"/>
    <hyperlink ref="AV79" r:id="rId172"/>
    <hyperlink ref="AW79" r:id="rId173"/>
    <hyperlink ref="BA139" r:id="rId174"/>
    <hyperlink ref="BA143" r:id="rId175"/>
    <hyperlink ref="BB22" r:id="rId176"/>
    <hyperlink ref="BB79" r:id="rId177"/>
    <hyperlink ref="BC140" r:id="rId178"/>
    <hyperlink ref="BC139" r:id="rId179"/>
    <hyperlink ref="BC79" r:id="rId180"/>
    <hyperlink ref="BD22" display="http://maloyar.ru/wp-content/uploads/2020/03/Постановление-от-5-02-2019-N101.pdf"/>
    <hyperlink ref="BD79" display="http://kalugastat.old.gks.ru/wps/wcm/connect/rosstat_ts/kalugastat/ru/statistics/population/"/>
    <hyperlink ref="BD139" display="http://berezovka-adm.ru/programma-podderzhki-mestnyh-iniciativ.html;  http://admdetchino.ru/category/ppmi/; http://selokudinovo.ru/programma-podderzhki-mestnyh-iniciativ.html; "/>
    <hyperlink ref="CC22" r:id="rId181"/>
    <hyperlink ref="CC79" r:id="rId182"/>
    <hyperlink ref="KL22" r:id="rId183"/>
    <hyperlink ref="KL139" r:id="rId184" display="http://budget.magnitogorsk.ru/Menu/Presentation/110?ItemId=110"/>
    <hyperlink ref="KL140" r:id="rId185"/>
    <hyperlink ref="DF22" r:id="rId186"/>
    <hyperlink ref="DF139" r:id="rId187"/>
    <hyperlink ref="DF79" r:id="rId188"/>
    <hyperlink ref="DP22" r:id="rId189"/>
    <hyperlink ref="EW139" r:id="rId190"/>
    <hyperlink ref="EW140" r:id="rId191" display="https://penza-gorod.ru/news/na_grantovuyu_podderzhku_initsiativ_zhiteley_v_2020_godu_napravleno_18_millionov_rubley/"/>
    <hyperlink ref="CK79" r:id="rId192"/>
    <hyperlink ref="CK141" r:id="rId193"/>
    <hyperlink ref="CK129" r:id="rId194"/>
    <hyperlink ref="CK143" r:id="rId195" display="https://dzhankoy.rk.gov.ru/uploads/txteditor/dzhankoy/attachments//d4/1d/8c/d98f00b204e9800998ecf8427e/php6WgYuY_1.pdf"/>
    <hyperlink ref="CL129" r:id="rId196"/>
    <hyperlink ref="HE79" r:id="rId197"/>
    <hyperlink ref="HE141" r:id="rId198"/>
    <hyperlink ref="HF22" r:id="rId199"/>
    <hyperlink ref="HF79" r:id="rId200"/>
    <hyperlink ref="HF139" r:id="rId201"/>
    <hyperlink ref="IM22" r:id="rId202"/>
    <hyperlink ref="IM126" r:id="rId203"/>
    <hyperlink ref="IM139" r:id="rId204"/>
    <hyperlink ref="GO22" r:id="rId205" display="http://www.georgievsk.ru/duma/reshen/469-24.doc"/>
    <hyperlink ref="GO79" r:id="rId206"/>
    <hyperlink ref="GP22" r:id="rId207"/>
    <hyperlink ref="GP76" r:id="rId208"/>
    <hyperlink ref="GQ22" r:id="rId209"/>
    <hyperlink ref="BT22" r:id="rId210"/>
    <hyperlink ref="BU22" display="https://www.adm-kavkaz.ru/munitsipalnye-pravovye-akty/munitsipalnye-programmy/aktualnye-redaktsii/5624-postanovlenie-ot-20-02-2021-goda-52-o-vnesenii-izmenenij-v-postanovlenie-administratsii-kavkazskogo-selskogo-poseleniya-kavkazskogo-rajona-ot-13-noyabry"/>
    <hyperlink ref="BV22" display="http://adm-nezaymanovskaya.ru/index.php/o-nezajmanovskoj/novosti/1863-reshenie-soveta-nezajmanovskogo-selskogo-poseleniya-timashevskogo-rajona-38-ot-25-11-2020-goda-ob-utverzhdeniya-polozheniya-o-poryadke-realizatsii-initsiativnykh-proektov-v-nezajmanovsk"/>
    <hyperlink ref="BW22" display="http://adm-yeisk.ru/docs?date%5Bmin%5D%5Bmonth%5D=&amp;date%5Bmin%5D%5Bday%5D=&amp;date%5Bmin%5D%5Byear%5D=&amp;date%5Bmax%5D%5Bmonth%5D=&amp;date%5Bmax%5D%5Bday%5D=&amp;date%5Bmax%5D%5Byear%5D=&amp;field_number_value=&amp;title=342&amp;shs_term_node_tid_depth=All&amp;shs_term_node_tid_dept"/>
    <hyperlink ref="BW79" r:id="rId211"/>
    <hyperlink ref="V22" r:id="rId212"/>
    <hyperlink ref="V79" r:id="rId213"/>
    <hyperlink ref="W22" r:id="rId214"/>
    <hyperlink ref="W140" r:id="rId215" display="https://blagoveshensk.bashkortostan.ru/presscenter/news/277712/"/>
    <hyperlink ref="W79" r:id="rId216"/>
    <hyperlink ref="W143" r:id="rId217"/>
    <hyperlink ref="X22" r:id="rId218"/>
    <hyperlink ref="X79" r:id="rId219"/>
    <hyperlink ref="Y22" r:id="rId220"/>
    <hyperlink ref="Y79" r:id="rId221"/>
    <hyperlink ref="KT22" r:id="rId222"/>
    <hyperlink ref="HO22" r:id="rId223"/>
    <hyperlink ref="HO79" r:id="rId224"/>
    <hyperlink ref="HO139" r:id="rId225"/>
    <hyperlink ref="HP22" r:id="rId226"/>
    <hyperlink ref="HP79" r:id="rId227"/>
    <hyperlink ref="HP139" r:id="rId228"/>
    <hyperlink ref="HQ139" r:id="rId229"/>
    <hyperlink ref="HQ79" r:id="rId230"/>
    <hyperlink ref="HR139" r:id="rId231"/>
    <hyperlink ref="HR22" r:id="rId232"/>
    <hyperlink ref="HS139" r:id="rId233"/>
    <hyperlink ref="HS22" r:id="rId234"/>
    <hyperlink ref="HS79" r:id="rId235"/>
    <hyperlink ref="HT139" r:id="rId236"/>
    <hyperlink ref="HT79" r:id="rId237"/>
    <hyperlink ref="HT22" r:id="rId238"/>
    <hyperlink ref="HU139" r:id="rId239"/>
    <hyperlink ref="HU79" r:id="rId240"/>
    <hyperlink ref="HV22" r:id="rId241"/>
    <hyperlink ref="HV139" r:id="rId242"/>
    <hyperlink ref="HV140" r:id="rId243"/>
    <hyperlink ref="HW139" r:id="rId244"/>
    <hyperlink ref="HW79" r:id="rId245"/>
    <hyperlink ref="HW22" r:id="rId246"/>
    <hyperlink ref="HX79" r:id="rId247"/>
    <hyperlink ref="HX22" r:id="rId248"/>
    <hyperlink ref="HY22" r:id="rId249"/>
    <hyperlink ref="HY139" r:id="rId250"/>
    <hyperlink ref="HY79" r:id="rId251"/>
    <hyperlink ref="HZ76" r:id="rId252"/>
    <hyperlink ref="HZ139" r:id="rId253"/>
    <hyperlink ref="HZ140" r:id="rId254"/>
    <hyperlink ref="HZ91" r:id="rId255" display="kuz-fu@mail.ru."/>
    <hyperlink ref="HZ124" r:id="rId256" display="kuz-fu@mail.ru."/>
    <hyperlink ref="HZ22" r:id="rId257"/>
    <hyperlink ref="HZ79" r:id="rId258"/>
    <hyperlink ref="IA22" r:id="rId259"/>
    <hyperlink ref="IA139" r:id="rId260"/>
    <hyperlink ref="IA79" r:id="rId261"/>
    <hyperlink ref="IB22" r:id="rId262"/>
    <hyperlink ref="IB79" r:id="rId263"/>
    <hyperlink ref="IC22" r:id="rId264"/>
    <hyperlink ref="IC139" r:id="rId265"/>
    <hyperlink ref="ID139" r:id="rId266"/>
    <hyperlink ref="ID22" r:id="rId267"/>
    <hyperlink ref="IE139" r:id="rId268"/>
    <hyperlink ref="IF139" r:id="rId269"/>
    <hyperlink ref="IF79" r:id="rId270"/>
    <hyperlink ref="IF22" r:id="rId271"/>
    <hyperlink ref="IG139" r:id="rId272"/>
    <hyperlink ref="IG79" r:id="rId273"/>
    <hyperlink ref="IH22" r:id="rId274"/>
    <hyperlink ref="IH142" r:id="rId275" display="http://ulraion.ru/news/7109"/>
    <hyperlink ref="II22" r:id="rId276"/>
    <hyperlink ref="II140" r:id="rId277"/>
    <hyperlink ref="II141" r:id="rId278"/>
    <hyperlink ref="II79" r:id="rId279"/>
    <hyperlink ref="IJ22" r:id="rId280"/>
    <hyperlink ref="IJ139" r:id="rId281"/>
    <hyperlink ref="IK139" r:id="rId282"/>
    <hyperlink ref="IK79" r:id="rId283"/>
    <hyperlink ref="IK22" r:id="rId284"/>
    <hyperlink ref="IL22" r:id="rId285"/>
    <hyperlink ref="IL79" r:id="rId286"/>
    <hyperlink ref="IL139" r:id="rId287"/>
    <hyperlink ref="DH79" r:id="rId288"/>
    <hyperlink ref="DI22" r:id="rId289"/>
    <hyperlink ref="DI79" r:id="rId290"/>
    <hyperlink ref="DJ22" r:id="rId291"/>
    <hyperlink ref="DJ123" r:id="rId292"/>
    <hyperlink ref="DJ79" r:id="rId293"/>
    <hyperlink ref="DK79" r:id="rId294"/>
    <hyperlink ref="DL22" r:id="rId295"/>
    <hyperlink ref="DL79" r:id="rId296"/>
    <hyperlink ref="DM22" r:id="rId297"/>
    <hyperlink ref="DM79" r:id="rId298"/>
    <hyperlink ref="FK22" r:id="rId299" display="http://adm.syzran.ru/index.php?id=43&amp;tx_documents_fe%5Bdocument%5D=3086&amp;tx_documents_fe%5Baction%5D=show&amp;tx_documents_fe%5Bcontroller%5D=Document&amp;cHash=c5bb408fc2dbc6c4c21bc396e7836212"/>
    <hyperlink ref="FK139" r:id="rId300"/>
    <hyperlink ref="FK141" r:id="rId301"/>
    <hyperlink ref="FL79" r:id="rId302"/>
    <hyperlink ref="FM22" r:id="rId303"/>
    <hyperlink ref="FM76" r:id="rId304"/>
    <hyperlink ref="FM117" r:id="rId305"/>
    <hyperlink ref="FM141" r:id="rId306"/>
    <hyperlink ref="FM139" r:id="rId307"/>
    <hyperlink ref="FM126" r:id="rId308"/>
    <hyperlink ref="FO22" r:id="rId309"/>
    <hyperlink ref="FQ79" r:id="rId310"/>
    <hyperlink ref="FQ139" r:id="rId311"/>
    <hyperlink ref="FQ140" r:id="rId312" display="https://twitter.com/AdmSamRna/status/1372144550836379663"/>
    <hyperlink ref="FQ22" r:id="rId313"/>
    <hyperlink ref="GA22" r:id="rId314"/>
    <hyperlink ref="GA79" r:id="rId315"/>
    <hyperlink ref="GA139" r:id="rId316"/>
    <hyperlink ref="GA141" r:id="rId317"/>
    <hyperlink ref="GB79" r:id="rId318"/>
    <hyperlink ref="GC79" r:id="rId319"/>
    <hyperlink ref="GD22" r:id="rId320"/>
    <hyperlink ref="GD76" r:id="rId321" display="https://www.gks.ru/scripts/db_inet2/passport/munr.aspx?base=munst65"/>
    <hyperlink ref="GD79" r:id="rId322"/>
    <hyperlink ref="GD139" r:id="rId323"/>
    <hyperlink ref="GG22" r:id="rId324"/>
    <hyperlink ref="GG79" r:id="rId325"/>
    <hyperlink ref="GG139" r:id="rId326"/>
    <hyperlink ref="IR22" r:id="rId327"/>
    <hyperlink ref="IR79" r:id="rId328"/>
    <hyperlink ref="IR102" r:id="rId329"/>
    <hyperlink ref="IR111" r:id="rId330"/>
    <hyperlink ref="IR139" r:id="rId331"/>
    <hyperlink ref="IR143" r:id="rId332"/>
    <hyperlink ref="IS139" r:id="rId333"/>
    <hyperlink ref="IS79" r:id="rId334"/>
    <hyperlink ref="IT21" r:id="rId335" tooltip="постановление от 20.01.2020 0:00:00 №74 Администрация города Урай_x000a__x000a_О внесении изменений в приложение к постановлению администрации города Урай от 16.08.2019 № 2041" display="C:\content\act\35581dd1-0443-46c4-8a2c-722cb44c855c.doc"/>
    <hyperlink ref="IT22" r:id="rId336"/>
    <hyperlink ref="IT139" r:id="rId337"/>
    <hyperlink ref="IT140" r:id="rId338" display="http://uray.ru/"/>
    <hyperlink ref="IT141" r:id="rId339"/>
    <hyperlink ref="IT143" r:id="rId340"/>
    <hyperlink ref="IU139" r:id="rId341"/>
    <hyperlink ref="IU79" r:id="rId342"/>
    <hyperlink ref="IU22" r:id="rId343"/>
    <hyperlink ref="IU140" r:id="rId344" display="https://instagram.com/budget_news_admsr?igshid=1lzenc868lcxw"/>
    <hyperlink ref="IV76" r:id="rId345"/>
    <hyperlink ref="IV79" r:id="rId346"/>
    <hyperlink ref="IV141" r:id="rId347"/>
    <hyperlink ref="IV22" r:id="rId348"/>
    <hyperlink ref="IW22" r:id="rId349"/>
    <hyperlink ref="IW79" r:id="rId350" display="https://www.admrad.ru/%d0%b8%d1%82%d0%be%d0%b3%d0%b8-%d1%81%d0%be%d1%86%d0%b8%d0%b0%d0%bb%d1%8c%d0%bd%d0%be-%d1%8d%d0%ba%d0%be%d0%bd%d0%be%d0%bc%d0%b8%d1%87%d0%b5%d1%81%d0%ba%d0%be%d0%b3%d0%be-%d1%80%d0%b0%d0%b7%d0%b2-16/"/>
    <hyperlink ref="IW142" r:id="rId351"/>
    <hyperlink ref="IX22" r:id="rId352" display="http://oktregion.ru/ekonomika-i-finansy/byudzhet-dlya-grazhdan/initsiativnoe-byudzhetirovanie/konkursy-proektov-initsiativnogo-byudzhetirovaniya/konkurs-proektov-initsiativnogo-byudzhetirovaniya-2020-god-55/"/>
    <hyperlink ref="IX139" r:id="rId353"/>
    <hyperlink ref="IX79" r:id="rId354"/>
    <hyperlink ref="IY22" r:id="rId355"/>
    <hyperlink ref="IY139" r:id="rId356"/>
    <hyperlink ref="IY79" r:id="rId357"/>
    <hyperlink ref="IZ22" r:id="rId358"/>
    <hyperlink ref="IZ129" r:id="rId359"/>
    <hyperlink ref="IZ139" r:id="rId360"/>
    <hyperlink ref="IZ140" r:id="rId361"/>
    <hyperlink ref="JA22" r:id="rId362"/>
    <hyperlink ref="JA79" r:id="rId363"/>
    <hyperlink ref="JB22" r:id="rId364"/>
    <hyperlink ref="JB79" r:id="rId365" display="http://xn----7sbiew6aadnema7p.xn--p1ai/sity_id.php?id=72"/>
    <hyperlink ref="JB111" r:id="rId366" display="https://www.n-vartovsk.ru/ibudget/"/>
    <hyperlink ref="JC111" r:id="rId367"/>
    <hyperlink ref="JC139" r:id="rId368"/>
    <hyperlink ref="JC22" r:id="rId369"/>
    <hyperlink ref="JC129" r:id="rId370"/>
    <hyperlink ref="JD139" r:id="rId371" display="http://www.admnyagan.ru/?page=inf_dlj_nas/info.php&amp;razd_id=30"/>
    <hyperlink ref="JD141" r:id="rId372"/>
    <hyperlink ref="JD79" r:id="rId373"/>
    <hyperlink ref="JE139" r:id="rId374" display="https://www.gp-izluchinsk.ru/budjetgp/initsiativnoe-byudzhetirovanie/2020.php  "/>
    <hyperlink ref="JE22" r:id="rId375" display="http://nvraion.ru/ekonomika-i-finansy/initsiativnoe-byudzhetirovanie/"/>
    <hyperlink ref="JE141" r:id="rId376"/>
    <hyperlink ref="JE79" r:id="rId377"/>
    <hyperlink ref="JE87" r:id="rId378"/>
    <hyperlink ref="JE102" r:id="rId379" display="https://gp-izluchinsk.ru/obshchestvennoe-obsuzhdenie2/2430-1/_x000a_"/>
    <hyperlink ref="JG22" r:id="rId380" display="http://www.admugansk.ru/category/1496?page=2_x000a_"/>
    <hyperlink ref="JG79" r:id="rId381"/>
    <hyperlink ref="JG139" r:id="rId382"/>
    <hyperlink ref="JH22" r:id="rId383"/>
    <hyperlink ref="JH79" r:id="rId384"/>
    <hyperlink ref="JH139" r:id="rId385"/>
    <hyperlink ref="JI22" r:id="rId386" display="http://admlangepas.ru/open-budget/proactive-budgeting/legal-regulation2870/municipal-legal-acts5266/"/>
    <hyperlink ref="JI76" r:id="rId387"/>
    <hyperlink ref="JI139" r:id="rId388"/>
    <hyperlink ref="JJ22" display="http://www.admkogalym.ru/economics/budget/initsiativnoe-byudzhetirovanie/proekt-po-podderzhke-mestnykh-initsiativ-v-gorode-kogalyme/konkursnyy-otbor-proektov-initsiativ-grazhdan-po-voprosam-mestnogo-znacheniya-v-gorode-kogalyme/2020/normativno-pravovye-ak"/>
    <hyperlink ref="JJ79" r:id="rId389"/>
    <hyperlink ref="JJ139" r:id="rId390"/>
    <hyperlink ref="JK139" r:id="rId391"/>
    <hyperlink ref="JK22" r:id="rId392"/>
    <hyperlink ref="JK87" r:id="rId393"/>
    <hyperlink ref="JK90" r:id="rId394"/>
    <hyperlink ref="JK126" r:id="rId395"/>
    <hyperlink ref="JL108" r:id="rId396" display="https://taiga.admsov.com/action/in-bu.php"/>
    <hyperlink ref="JL102" r:id="rId397"/>
    <hyperlink ref="JL140" r:id="rId398"/>
    <hyperlink ref="JM22" r:id="rId399"/>
    <hyperlink ref="JM139" r:id="rId400"/>
    <hyperlink ref="JM140" r:id="rId401"/>
    <hyperlink ref="JM142" r:id="rId402"/>
    <hyperlink ref="JM143" r:id="rId403"/>
    <hyperlink ref="JM79" r:id="rId404"/>
    <hyperlink ref="JN140" r:id="rId405" display="http://adm.samza.ru/initsiativnoe-byudzhetirovanie/ "/>
    <hyperlink ref="JO79" r:id="rId406"/>
    <hyperlink ref="JP22" r:id="rId407"/>
    <hyperlink ref="JP112" r:id="rId408" display="https://vk.com/id84654767?w=wall84654767_1304"/>
    <hyperlink ref="JP79" r:id="rId409"/>
    <hyperlink ref="JP111" r:id="rId410"/>
    <hyperlink ref="JQ79" r:id="rId411"/>
    <hyperlink ref="JR22" r:id="rId412"/>
    <hyperlink ref="JT22" r:id="rId413"/>
    <hyperlink ref="JU22" r:id="rId414"/>
    <hyperlink ref="JU90" r:id="rId415"/>
    <hyperlink ref="JU129" r:id="rId416"/>
    <hyperlink ref="JV22" r:id="rId417"/>
    <hyperlink ref="JW22" r:id="rId418"/>
    <hyperlink ref="JW126" r:id="rId419"/>
    <hyperlink ref="JW139" r:id="rId420" display="http://lugovoikonda.ru/narodnyy-byudzhet.html"/>
    <hyperlink ref="JW142" r:id="rId421" display="https://ok.ru/group/60701864427563/topic/152131261537067"/>
    <hyperlink ref="JW87" r:id="rId422" display="https://ok.ru/group/60701864427563/topic/152131261537067 "/>
    <hyperlink ref="JW102" r:id="rId423"/>
    <hyperlink ref="JX22" r:id="rId424"/>
    <hyperlink ref="JX126" r:id="rId425"/>
    <hyperlink ref="JY22" r:id="rId426"/>
    <hyperlink ref="JY129" r:id="rId427"/>
    <hyperlink ref="JY139" r:id="rId428"/>
    <hyperlink ref="JZ22" r:id="rId429"/>
    <hyperlink ref="JZ79" r:id="rId430"/>
    <hyperlink ref="JZ126" r:id="rId431"/>
    <hyperlink ref="JZ139" r:id="rId432"/>
    <hyperlink ref="KA22" r:id="rId433"/>
    <hyperlink ref="KA79" r:id="rId434"/>
    <hyperlink ref="KA126" r:id="rId435"/>
    <hyperlink ref="KA139" r:id="rId436" location="prettyPhoto"/>
    <hyperlink ref="KB87" r:id="rId437"/>
    <hyperlink ref="KB111" r:id="rId438"/>
    <hyperlink ref="KB22" r:id="rId439"/>
    <hyperlink ref="KC22" r:id="rId440"/>
    <hyperlink ref="KC139" r:id="rId441"/>
    <hyperlink ref="KC79" r:id="rId442"/>
    <hyperlink ref="KD22" r:id="rId443"/>
    <hyperlink ref="KD139" r:id="rId444"/>
    <hyperlink ref="KD140" r:id="rId445"/>
    <hyperlink ref="KE79" r:id="rId446"/>
    <hyperlink ref="KE129" r:id="rId447"/>
    <hyperlink ref="KF22" r:id="rId448" location="tabs-container1"/>
    <hyperlink ref="KF79" r:id="rId449"/>
    <hyperlink ref="KF87" r:id="rId450" location="tabs-container3"/>
    <hyperlink ref="KF129" r:id="rId451" location="tabs-container4"/>
    <hyperlink ref="KG22" r:id="rId452" location="tabs-container1"/>
    <hyperlink ref="KG79" r:id="rId453"/>
    <hyperlink ref="KH22" r:id="rId454" location="tabs-container1"/>
    <hyperlink ref="KH79" r:id="rId455"/>
    <hyperlink ref="KH90" r:id="rId456" location="tabs-container5"/>
    <hyperlink ref="KH129" r:id="rId457" location="tabs-container2"/>
    <hyperlink ref="KI22" r:id="rId458" location="tabs-container2"/>
    <hyperlink ref="KI79" r:id="rId459"/>
    <hyperlink ref="KI129" r:id="rId460"/>
    <hyperlink ref="KJ22" r:id="rId461"/>
    <hyperlink ref="KJ79" r:id="rId462"/>
    <hyperlink ref="KJ129" r:id="rId463"/>
    <hyperlink ref="KK79" r:id="rId464"/>
    <hyperlink ref="KK129" r:id="rId465"/>
  </hyperlinks>
  <pageMargins left="0.7" right="0.7" top="0.75" bottom="0.75" header="0.3" footer="0.3"/>
  <pageSetup paperSize="8" scale="10" fitToHeight="0" orientation="landscape" r:id="rId466"/>
  <drawing r:id="rId467"/>
  <legacyDrawing r:id="rId46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C1:EX311"/>
  <sheetViews>
    <sheetView zoomScale="60" zoomScaleNormal="60" workbookViewId="0">
      <pane xSplit="6" ySplit="4" topLeftCell="EO302" activePane="bottomRight" state="frozen"/>
      <selection pane="topRight" activeCell="G1" sqref="G1"/>
      <selection pane="bottomLeft" activeCell="A5" sqref="A5"/>
      <selection pane="bottomRight" activeCell="EU336" sqref="EU336"/>
    </sheetView>
  </sheetViews>
  <sheetFormatPr defaultColWidth="11.42578125" defaultRowHeight="12.75" x14ac:dyDescent="0.2"/>
  <cols>
    <col min="1" max="2" width="11.42578125" style="376"/>
    <col min="3" max="3" width="14.85546875" style="105" customWidth="1"/>
    <col min="4" max="4" width="16.85546875" style="105" customWidth="1"/>
    <col min="5" max="5" width="18" style="376" customWidth="1"/>
    <col min="6" max="6" width="19.140625" style="376" customWidth="1"/>
    <col min="7" max="7" width="21.140625" style="376" customWidth="1"/>
    <col min="8" max="8" width="36.28515625" style="376" customWidth="1"/>
    <col min="9" max="9" width="26" style="376" customWidth="1"/>
    <col min="10" max="10" width="16.140625" style="376" customWidth="1"/>
    <col min="11" max="11" width="21" style="378" customWidth="1"/>
    <col min="12" max="12" width="19.7109375" style="378" bestFit="1" customWidth="1"/>
    <col min="13" max="13" width="22.28515625" style="376" customWidth="1"/>
    <col min="14" max="14" width="15.28515625" style="376" customWidth="1"/>
    <col min="15" max="15" width="15.7109375" style="376" customWidth="1"/>
    <col min="16" max="27" width="11.42578125" style="376"/>
    <col min="28" max="28" width="21.42578125" style="376" customWidth="1"/>
    <col min="29" max="30" width="11.42578125" style="376"/>
    <col min="31" max="31" width="24.42578125" style="376" customWidth="1"/>
    <col min="32" max="32" width="19.42578125" style="376" customWidth="1"/>
    <col min="33" max="33" width="18.85546875" style="376" customWidth="1"/>
    <col min="34" max="34" width="16" style="376" customWidth="1"/>
    <col min="35" max="36" width="11.85546875" style="376" bestFit="1" customWidth="1"/>
    <col min="37" max="37" width="13.140625" style="376" bestFit="1" customWidth="1"/>
    <col min="38" max="38" width="11.85546875" style="376" bestFit="1" customWidth="1"/>
    <col min="39" max="39" width="14.42578125" style="376" customWidth="1"/>
    <col min="40" max="40" width="15.7109375" style="376" customWidth="1"/>
    <col min="41" max="41" width="19.7109375" style="376" customWidth="1"/>
    <col min="42" max="42" width="15.42578125" style="376" customWidth="1"/>
    <col min="43" max="43" width="18" style="376" customWidth="1"/>
    <col min="44" max="44" width="15.28515625" style="376" customWidth="1"/>
    <col min="45" max="45" width="11.85546875" style="376" bestFit="1" customWidth="1"/>
    <col min="46" max="49" width="11.42578125" style="376"/>
    <col min="50" max="50" width="22" style="376" customWidth="1"/>
    <col min="51" max="52" width="11.28515625" style="376" bestFit="1" customWidth="1"/>
    <col min="53" max="54" width="11.85546875" style="376" bestFit="1" customWidth="1"/>
    <col min="55" max="55" width="15" style="376" customWidth="1"/>
    <col min="56" max="57" width="11.7109375" style="376" bestFit="1" customWidth="1"/>
    <col min="58" max="59" width="11.28515625" style="376" bestFit="1" customWidth="1"/>
    <col min="60" max="62" width="11.140625" style="376" bestFit="1" customWidth="1"/>
    <col min="63" max="63" width="11.7109375" style="376" bestFit="1" customWidth="1"/>
    <col min="64" max="64" width="11.28515625" style="376" bestFit="1" customWidth="1"/>
    <col min="65" max="68" width="11.42578125" style="376" bestFit="1" customWidth="1"/>
    <col min="69" max="69" width="11.7109375" style="376" bestFit="1" customWidth="1"/>
    <col min="70" max="70" width="11.42578125" style="376" bestFit="1" customWidth="1"/>
    <col min="71" max="71" width="11.140625" style="376" bestFit="1" customWidth="1"/>
    <col min="72" max="72" width="11.28515625" style="376" bestFit="1" customWidth="1"/>
    <col min="73" max="77" width="11.140625" style="376" bestFit="1" customWidth="1"/>
    <col min="78" max="78" width="11.42578125" style="376" bestFit="1" customWidth="1"/>
    <col min="79" max="79" width="11.85546875" style="376" bestFit="1" customWidth="1"/>
    <col min="80" max="81" width="11.7109375" style="376" customWidth="1"/>
    <col min="82" max="82" width="12.28515625" style="376" bestFit="1" customWidth="1"/>
    <col min="83" max="84" width="11.42578125" style="376"/>
    <col min="85" max="85" width="12" style="376" bestFit="1" customWidth="1"/>
    <col min="86" max="86" width="12.42578125" style="376" bestFit="1" customWidth="1"/>
    <col min="87" max="90" width="11.42578125" style="376"/>
    <col min="91" max="91" width="11.42578125" style="376" bestFit="1" customWidth="1"/>
    <col min="92" max="92" width="11.140625" style="376" bestFit="1" customWidth="1"/>
    <col min="93" max="93" width="11.7109375" style="376" bestFit="1" customWidth="1"/>
    <col min="94" max="95" width="11.42578125" style="376"/>
    <col min="96" max="96" width="16.42578125" style="376" customWidth="1"/>
    <col min="97" max="97" width="11.42578125" style="376"/>
    <col min="98" max="98" width="18" style="376" customWidth="1"/>
    <col min="99" max="99" width="21.140625" style="376" customWidth="1"/>
    <col min="100" max="100" width="11.42578125" style="376"/>
    <col min="101" max="101" width="11" style="376" bestFit="1" customWidth="1"/>
    <col min="102" max="102" width="11.28515625" style="376" bestFit="1" customWidth="1"/>
    <col min="103" max="103" width="11.42578125" style="376"/>
    <col min="104" max="104" width="11" style="376" bestFit="1" customWidth="1"/>
    <col min="105" max="105" width="11.28515625" style="434" bestFit="1" customWidth="1"/>
    <col min="106" max="107" width="11.42578125" style="376"/>
    <col min="108" max="108" width="11.140625" style="434" bestFit="1" customWidth="1"/>
    <col min="109" max="110" width="11.42578125" style="376"/>
    <col min="111" max="111" width="11.28515625" style="434" bestFit="1" customWidth="1"/>
    <col min="112" max="113" width="11.42578125" style="376"/>
    <col min="114" max="114" width="11.140625" style="434" bestFit="1" customWidth="1"/>
    <col min="115" max="116" width="11.42578125" style="376"/>
    <col min="117" max="117" width="11.42578125" style="434" bestFit="1" customWidth="1"/>
    <col min="118" max="119" width="11.42578125" style="376"/>
    <col min="120" max="120" width="11.42578125" style="376" bestFit="1" customWidth="1"/>
    <col min="121" max="122" width="11.42578125" style="376"/>
    <col min="123" max="123" width="11.42578125" style="376" bestFit="1" customWidth="1"/>
    <col min="124" max="124" width="11.140625" style="376" bestFit="1" customWidth="1"/>
    <col min="125" max="125" width="11.42578125" style="376"/>
    <col min="126" max="126" width="11.140625" style="376" bestFit="1" customWidth="1"/>
    <col min="127" max="128" width="11.42578125" style="376"/>
    <col min="129" max="129" width="11.140625" style="376" bestFit="1" customWidth="1"/>
    <col min="130" max="131" width="11.42578125" style="376"/>
    <col min="132" max="132" width="17" style="376" customWidth="1"/>
    <col min="133" max="134" width="11.42578125" style="376"/>
    <col min="135" max="135" width="11.42578125" style="376" bestFit="1" customWidth="1"/>
    <col min="136" max="137" width="11.42578125" style="376"/>
    <col min="138" max="138" width="11.42578125" style="376" bestFit="1" customWidth="1"/>
    <col min="139" max="139" width="11.140625" style="376" bestFit="1" customWidth="1"/>
    <col min="140" max="140" width="11.42578125" style="376"/>
    <col min="141" max="141" width="11.140625" style="376" bestFit="1" customWidth="1"/>
    <col min="142" max="142" width="11.85546875" style="376" bestFit="1" customWidth="1"/>
    <col min="143" max="143" width="11.42578125" style="376"/>
    <col min="144" max="144" width="11.85546875" style="376" bestFit="1" customWidth="1"/>
    <col min="145" max="146" width="11.42578125" style="376"/>
    <col min="147" max="147" width="11" style="376" bestFit="1" customWidth="1"/>
    <col min="148" max="151" width="11.42578125" style="376"/>
    <col min="152" max="152" width="11.140625" style="376" bestFit="1" customWidth="1"/>
    <col min="153" max="154" width="11.7109375" style="376" bestFit="1" customWidth="1"/>
    <col min="155" max="16384" width="11.42578125" style="376"/>
  </cols>
  <sheetData>
    <row r="1" spans="3:154" ht="80.099999999999994" customHeight="1" x14ac:dyDescent="0.2">
      <c r="C1" s="1156" t="s">
        <v>5380</v>
      </c>
      <c r="D1" s="1103" t="s">
        <v>5276</v>
      </c>
      <c r="E1" s="1156"/>
      <c r="F1" s="1087" t="s">
        <v>148</v>
      </c>
      <c r="G1" s="1087"/>
      <c r="H1" s="1620" t="s">
        <v>691</v>
      </c>
      <c r="I1" s="1620"/>
      <c r="J1" s="1087" t="s">
        <v>7</v>
      </c>
      <c r="K1" s="1620" t="s">
        <v>8</v>
      </c>
      <c r="L1" s="1620"/>
      <c r="M1" s="1629" t="s">
        <v>4820</v>
      </c>
      <c r="N1" s="1620" t="s">
        <v>163</v>
      </c>
      <c r="O1" s="1620"/>
      <c r="P1" s="1620"/>
      <c r="Q1" s="1620"/>
      <c r="R1" s="1620"/>
      <c r="S1" s="1620"/>
      <c r="T1" s="1620"/>
      <c r="U1" s="1620"/>
      <c r="V1" s="1620"/>
      <c r="W1" s="1620"/>
      <c r="X1" s="1620"/>
      <c r="Y1" s="1620"/>
      <c r="Z1" s="1620"/>
      <c r="AA1" s="1087" t="s">
        <v>10</v>
      </c>
      <c r="AB1" s="1620" t="s">
        <v>164</v>
      </c>
      <c r="AC1" s="1620"/>
      <c r="AD1" s="1620"/>
      <c r="AE1" s="1087" t="s">
        <v>262</v>
      </c>
      <c r="AF1" s="1629" t="s">
        <v>4821</v>
      </c>
      <c r="AG1" s="1629" t="s">
        <v>4822</v>
      </c>
      <c r="AH1" s="1620" t="s">
        <v>165</v>
      </c>
      <c r="AI1" s="1620"/>
      <c r="AJ1" s="1620"/>
      <c r="AK1" s="1620" t="s">
        <v>232</v>
      </c>
      <c r="AL1" s="1620"/>
      <c r="AM1" s="1620"/>
      <c r="AN1" s="1620" t="s">
        <v>266</v>
      </c>
      <c r="AO1" s="1620"/>
      <c r="AP1" s="1620" t="s">
        <v>268</v>
      </c>
      <c r="AQ1" s="1620"/>
      <c r="AR1" s="1620" t="s">
        <v>166</v>
      </c>
      <c r="AS1" s="1620"/>
      <c r="AT1" s="1620"/>
      <c r="AU1" s="1620"/>
      <c r="AV1" s="1620"/>
      <c r="AW1" s="1620" t="s">
        <v>271</v>
      </c>
      <c r="AX1" s="1620"/>
      <c r="AY1" s="1620"/>
      <c r="AZ1" s="1621"/>
      <c r="BA1" s="1620" t="s">
        <v>272</v>
      </c>
      <c r="BB1" s="1620"/>
      <c r="BC1" s="1620" t="s">
        <v>275</v>
      </c>
      <c r="BD1" s="1620"/>
      <c r="BE1" s="1620"/>
      <c r="BF1" s="1620" t="s">
        <v>276</v>
      </c>
      <c r="BG1" s="1620"/>
      <c r="BH1" s="1620"/>
      <c r="BI1" s="1620"/>
      <c r="BJ1" s="1620"/>
      <c r="BK1" s="1620"/>
      <c r="BL1" s="1620"/>
      <c r="BM1" s="1620"/>
      <c r="BN1" s="1620"/>
      <c r="BO1" s="1620"/>
      <c r="BP1" s="1620"/>
      <c r="BQ1" s="1620"/>
      <c r="BR1" s="1620"/>
      <c r="BS1" s="1620"/>
      <c r="BT1" s="1620"/>
      <c r="BU1" s="1620"/>
      <c r="BV1" s="1620"/>
      <c r="BW1" s="1620"/>
      <c r="BX1" s="1620"/>
      <c r="BY1" s="1620"/>
      <c r="BZ1" s="1620"/>
      <c r="CA1" s="1620"/>
      <c r="CB1" s="1629" t="s">
        <v>4823</v>
      </c>
      <c r="CC1" s="1629" t="s">
        <v>4822</v>
      </c>
      <c r="CD1" s="1620" t="s">
        <v>277</v>
      </c>
      <c r="CE1" s="1620"/>
      <c r="CF1" s="1620"/>
      <c r="CG1" s="1620"/>
      <c r="CH1" s="1620"/>
      <c r="CI1" s="1621"/>
      <c r="CJ1" s="1620" t="s">
        <v>201</v>
      </c>
      <c r="CK1" s="1620"/>
      <c r="CL1" s="1620"/>
      <c r="CM1" s="1620"/>
      <c r="CN1" s="1620"/>
      <c r="CO1" s="1620"/>
      <c r="CP1" s="1620"/>
      <c r="CQ1" s="1620"/>
      <c r="CR1" s="1620"/>
      <c r="CS1" s="1620"/>
      <c r="CT1" s="1620"/>
      <c r="CU1" s="1620"/>
      <c r="CV1" s="1620"/>
      <c r="CW1" s="1620"/>
      <c r="CX1" s="1620"/>
      <c r="CY1" s="1620"/>
      <c r="CZ1" s="1620"/>
      <c r="DA1" s="1630"/>
      <c r="DB1" s="1620"/>
      <c r="DC1" s="1620"/>
      <c r="DD1" s="1630"/>
      <c r="DE1" s="1620"/>
      <c r="DF1" s="1620"/>
      <c r="DG1" s="1630"/>
      <c r="DH1" s="1620"/>
      <c r="DI1" s="1620"/>
      <c r="DJ1" s="1630"/>
      <c r="DK1" s="1620"/>
      <c r="DL1" s="1620"/>
      <c r="DM1" s="1630"/>
      <c r="DN1" s="1620" t="s">
        <v>206</v>
      </c>
      <c r="DO1" s="1620"/>
      <c r="DP1" s="1620"/>
      <c r="DQ1" s="1620"/>
      <c r="DR1" s="1620"/>
      <c r="DS1" s="1620"/>
      <c r="DT1" s="1620"/>
      <c r="DU1" s="1620"/>
      <c r="DV1" s="1620"/>
      <c r="DW1" s="1620"/>
      <c r="DX1" s="1620"/>
      <c r="DY1" s="1620"/>
      <c r="DZ1" s="1620"/>
      <c r="EA1" s="1620"/>
      <c r="EB1" s="1620"/>
      <c r="EC1" s="1620"/>
      <c r="ED1" s="1620"/>
      <c r="EE1" s="1620"/>
      <c r="EF1" s="1620"/>
      <c r="EG1" s="1620"/>
      <c r="EH1" s="1620"/>
      <c r="EI1" s="1620"/>
      <c r="EJ1" s="1620"/>
      <c r="EK1" s="1620"/>
      <c r="EL1" s="1620" t="s">
        <v>216</v>
      </c>
      <c r="EM1" s="1620"/>
      <c r="EN1" s="1087" t="s">
        <v>282</v>
      </c>
      <c r="EO1" s="1620" t="s">
        <v>207</v>
      </c>
      <c r="EP1" s="1620"/>
      <c r="EQ1" s="1620" t="s">
        <v>175</v>
      </c>
      <c r="ER1" s="1620"/>
      <c r="ES1" s="1620"/>
      <c r="ET1" s="1620"/>
      <c r="EU1" s="1620"/>
      <c r="EV1" s="1620" t="s">
        <v>187</v>
      </c>
      <c r="EW1" s="1620"/>
      <c r="EX1" s="1620"/>
    </row>
    <row r="2" spans="3:154" x14ac:dyDescent="0.2">
      <c r="C2" s="1156"/>
      <c r="D2" s="1156"/>
      <c r="E2" s="1156"/>
      <c r="F2" s="1088" t="s">
        <v>151</v>
      </c>
      <c r="G2" s="1089" t="s">
        <v>2556</v>
      </c>
      <c r="H2" s="1090" t="s">
        <v>71</v>
      </c>
      <c r="I2" s="1090" t="s">
        <v>72</v>
      </c>
      <c r="J2" s="1090" t="s">
        <v>73</v>
      </c>
      <c r="K2" s="1625" t="s">
        <v>74</v>
      </c>
      <c r="L2" s="1625"/>
      <c r="M2" s="1629"/>
      <c r="N2" s="1090" t="s">
        <v>75</v>
      </c>
      <c r="O2" s="1625" t="s">
        <v>76</v>
      </c>
      <c r="P2" s="1625"/>
      <c r="Q2" s="1625" t="s">
        <v>77</v>
      </c>
      <c r="R2" s="1621"/>
      <c r="S2" s="1626" t="s">
        <v>78</v>
      </c>
      <c r="T2" s="1626"/>
      <c r="U2" s="1625" t="s">
        <v>79</v>
      </c>
      <c r="V2" s="1625"/>
      <c r="W2" s="1625" t="s">
        <v>248</v>
      </c>
      <c r="X2" s="1625"/>
      <c r="Y2" s="1628" t="s">
        <v>79</v>
      </c>
      <c r="Z2" s="1628"/>
      <c r="AA2" s="1090" t="s">
        <v>81</v>
      </c>
      <c r="AB2" s="1090" t="s">
        <v>80</v>
      </c>
      <c r="AC2" s="1090" t="s">
        <v>82</v>
      </c>
      <c r="AD2" s="1090" t="s">
        <v>83</v>
      </c>
      <c r="AE2" s="1090" t="s">
        <v>51</v>
      </c>
      <c r="AF2" s="1629"/>
      <c r="AG2" s="1629"/>
      <c r="AH2" s="1090" t="s">
        <v>90</v>
      </c>
      <c r="AI2" s="1090" t="s">
        <v>91</v>
      </c>
      <c r="AJ2" s="1090" t="s">
        <v>92</v>
      </c>
      <c r="AK2" s="1090" t="s">
        <v>93</v>
      </c>
      <c r="AL2" s="1090" t="s">
        <v>94</v>
      </c>
      <c r="AM2" s="1091" t="s">
        <v>2552</v>
      </c>
      <c r="AN2" s="1090" t="s">
        <v>95</v>
      </c>
      <c r="AO2" s="1090" t="s">
        <v>96</v>
      </c>
      <c r="AP2" s="1088" t="s">
        <v>97</v>
      </c>
      <c r="AQ2" s="1088" t="s">
        <v>98</v>
      </c>
      <c r="AR2" s="1088" t="s">
        <v>99</v>
      </c>
      <c r="AS2" s="1088" t="s">
        <v>100</v>
      </c>
      <c r="AT2" s="1088" t="s">
        <v>103</v>
      </c>
      <c r="AU2" s="1088" t="s">
        <v>104</v>
      </c>
      <c r="AV2" s="1088" t="s">
        <v>105</v>
      </c>
      <c r="AW2" s="1088" t="s">
        <v>101</v>
      </c>
      <c r="AX2" s="1088" t="s">
        <v>102</v>
      </c>
      <c r="AY2" s="1092" t="s">
        <v>233</v>
      </c>
      <c r="AZ2" s="1088" t="s">
        <v>234</v>
      </c>
      <c r="BA2" s="1088" t="s">
        <v>106</v>
      </c>
      <c r="BB2" s="1088" t="s">
        <v>107</v>
      </c>
      <c r="BC2" s="1088" t="s">
        <v>108</v>
      </c>
      <c r="BD2" s="1088" t="s">
        <v>109</v>
      </c>
      <c r="BE2" s="1088" t="s">
        <v>110</v>
      </c>
      <c r="BF2" s="1088" t="s">
        <v>111</v>
      </c>
      <c r="BG2" s="1088" t="s">
        <v>112</v>
      </c>
      <c r="BH2" s="1088" t="s">
        <v>113</v>
      </c>
      <c r="BI2" s="1088" t="s">
        <v>114</v>
      </c>
      <c r="BJ2" s="1088" t="s">
        <v>115</v>
      </c>
      <c r="BK2" s="1088" t="s">
        <v>116</v>
      </c>
      <c r="BL2" s="1088" t="s">
        <v>117</v>
      </c>
      <c r="BM2" s="1088" t="s">
        <v>118</v>
      </c>
      <c r="BN2" s="1088" t="s">
        <v>119</v>
      </c>
      <c r="BO2" s="1088" t="s">
        <v>120</v>
      </c>
      <c r="BP2" s="1088" t="s">
        <v>121</v>
      </c>
      <c r="BQ2" s="1088" t="s">
        <v>122</v>
      </c>
      <c r="BR2" s="1088" t="s">
        <v>123</v>
      </c>
      <c r="BS2" s="1088" t="s">
        <v>124</v>
      </c>
      <c r="BT2" s="1088" t="s">
        <v>125</v>
      </c>
      <c r="BU2" s="1088" t="s">
        <v>126</v>
      </c>
      <c r="BV2" s="1088" t="s">
        <v>127</v>
      </c>
      <c r="BW2" s="1088" t="s">
        <v>128</v>
      </c>
      <c r="BX2" s="1088" t="s">
        <v>129</v>
      </c>
      <c r="BY2" s="1088" t="s">
        <v>130</v>
      </c>
      <c r="BZ2" s="1088" t="s">
        <v>131</v>
      </c>
      <c r="CA2" s="1088" t="s">
        <v>236</v>
      </c>
      <c r="CB2" s="1629"/>
      <c r="CC2" s="1629"/>
      <c r="CD2" s="1088" t="s">
        <v>132</v>
      </c>
      <c r="CE2" s="1626" t="s">
        <v>133</v>
      </c>
      <c r="CF2" s="1626"/>
      <c r="CG2" s="1088" t="s">
        <v>134</v>
      </c>
      <c r="CH2" s="1620" t="s">
        <v>221</v>
      </c>
      <c r="CI2" s="1621"/>
      <c r="CJ2" s="1088" t="s">
        <v>159</v>
      </c>
      <c r="CK2" s="1088" t="s">
        <v>135</v>
      </c>
      <c r="CL2" s="1088" t="s">
        <v>136</v>
      </c>
      <c r="CM2" s="1088" t="s">
        <v>137</v>
      </c>
      <c r="CN2" s="1088" t="s">
        <v>138</v>
      </c>
      <c r="CO2" s="1088" t="s">
        <v>169</v>
      </c>
      <c r="CP2" s="1626" t="s">
        <v>59</v>
      </c>
      <c r="CQ2" s="1626"/>
      <c r="CR2" s="1626"/>
      <c r="CS2" s="1626" t="s">
        <v>60</v>
      </c>
      <c r="CT2" s="1626"/>
      <c r="CU2" s="1626"/>
      <c r="CV2" s="1626" t="s">
        <v>61</v>
      </c>
      <c r="CW2" s="1621"/>
      <c r="CX2" s="1621"/>
      <c r="CY2" s="1621" t="s">
        <v>62</v>
      </c>
      <c r="CZ2" s="1621"/>
      <c r="DA2" s="1630"/>
      <c r="DB2" s="1626" t="s">
        <v>63</v>
      </c>
      <c r="DC2" s="1626"/>
      <c r="DD2" s="1631"/>
      <c r="DE2" s="1626" t="s">
        <v>64</v>
      </c>
      <c r="DF2" s="1626"/>
      <c r="DG2" s="1631"/>
      <c r="DH2" s="1626" t="s">
        <v>237</v>
      </c>
      <c r="DI2" s="1626"/>
      <c r="DJ2" s="1631"/>
      <c r="DK2" s="1626" t="s">
        <v>238</v>
      </c>
      <c r="DL2" s="1626"/>
      <c r="DM2" s="1631"/>
      <c r="DN2" s="1626" t="s">
        <v>56</v>
      </c>
      <c r="DO2" s="1626"/>
      <c r="DP2" s="1626"/>
      <c r="DQ2" s="1626" t="s">
        <v>57</v>
      </c>
      <c r="DR2" s="1626"/>
      <c r="DS2" s="1626"/>
      <c r="DT2" s="1626" t="s">
        <v>240</v>
      </c>
      <c r="DU2" s="1621"/>
      <c r="DV2" s="1621"/>
      <c r="DW2" s="1626" t="s">
        <v>242</v>
      </c>
      <c r="DX2" s="1626"/>
      <c r="DY2" s="1626"/>
      <c r="DZ2" s="1626" t="s">
        <v>243</v>
      </c>
      <c r="EA2" s="1626"/>
      <c r="EB2" s="1626"/>
      <c r="EC2" s="1626" t="s">
        <v>244</v>
      </c>
      <c r="ED2" s="1626"/>
      <c r="EE2" s="1626"/>
      <c r="EF2" s="1626" t="s">
        <v>245</v>
      </c>
      <c r="EG2" s="1621"/>
      <c r="EH2" s="1621"/>
      <c r="EI2" s="1626" t="s">
        <v>246</v>
      </c>
      <c r="EJ2" s="1626"/>
      <c r="EK2" s="1626"/>
      <c r="EL2" s="1093" t="s">
        <v>58</v>
      </c>
      <c r="EM2" s="1093" t="s">
        <v>247</v>
      </c>
      <c r="EN2" s="1088" t="s">
        <v>65</v>
      </c>
      <c r="EO2" s="1088" t="s">
        <v>66</v>
      </c>
      <c r="EP2" s="1088" t="s">
        <v>67</v>
      </c>
      <c r="EQ2" s="1088" t="s">
        <v>252</v>
      </c>
      <c r="ER2" s="1088" t="s">
        <v>253</v>
      </c>
      <c r="ES2" s="1088" t="s">
        <v>254</v>
      </c>
      <c r="ET2" s="1088" t="s">
        <v>255</v>
      </c>
      <c r="EU2" s="1088" t="s">
        <v>256</v>
      </c>
      <c r="EV2" s="1088" t="s">
        <v>68</v>
      </c>
      <c r="EW2" s="1088" t="s">
        <v>69</v>
      </c>
      <c r="EX2" s="1088" t="s">
        <v>70</v>
      </c>
    </row>
    <row r="3" spans="3:154" ht="57.95" customHeight="1" x14ac:dyDescent="0.2">
      <c r="C3" s="1156"/>
      <c r="D3" s="1156"/>
      <c r="E3" s="1156"/>
      <c r="F3" s="1087" t="s">
        <v>284</v>
      </c>
      <c r="G3" s="1158" t="s">
        <v>2550</v>
      </c>
      <c r="H3" s="630" t="s">
        <v>5</v>
      </c>
      <c r="I3" s="630" t="s">
        <v>6</v>
      </c>
      <c r="J3" s="630" t="s">
        <v>167</v>
      </c>
      <c r="K3" s="1621" t="s">
        <v>260</v>
      </c>
      <c r="L3" s="1621"/>
      <c r="M3" s="1629"/>
      <c r="N3" s="630" t="s">
        <v>161</v>
      </c>
      <c r="O3" s="1621" t="s">
        <v>227</v>
      </c>
      <c r="P3" s="1621"/>
      <c r="Q3" s="1621" t="s">
        <v>192</v>
      </c>
      <c r="R3" s="1621"/>
      <c r="S3" s="1620" t="s">
        <v>258</v>
      </c>
      <c r="T3" s="1620"/>
      <c r="U3" s="1621" t="s">
        <v>193</v>
      </c>
      <c r="V3" s="1621"/>
      <c r="W3" s="1621" t="s">
        <v>228</v>
      </c>
      <c r="X3" s="1621"/>
      <c r="Y3" s="1627" t="s">
        <v>2551</v>
      </c>
      <c r="Z3" s="1627"/>
      <c r="AA3" s="630" t="s">
        <v>229</v>
      </c>
      <c r="AB3" s="630" t="s">
        <v>261</v>
      </c>
      <c r="AC3" s="630" t="s">
        <v>12</v>
      </c>
      <c r="AD3" s="630" t="s">
        <v>168</v>
      </c>
      <c r="AE3" s="630" t="s">
        <v>230</v>
      </c>
      <c r="AF3" s="1629"/>
      <c r="AG3" s="1629"/>
      <c r="AH3" s="630" t="s">
        <v>263</v>
      </c>
      <c r="AI3" s="630" t="s">
        <v>231</v>
      </c>
      <c r="AJ3" s="1087" t="s">
        <v>264</v>
      </c>
      <c r="AK3" s="630" t="s">
        <v>265</v>
      </c>
      <c r="AL3" s="630" t="s">
        <v>231</v>
      </c>
      <c r="AM3" s="1109" t="s">
        <v>2553</v>
      </c>
      <c r="AN3" s="630" t="s">
        <v>267</v>
      </c>
      <c r="AO3" s="630" t="s">
        <v>231</v>
      </c>
      <c r="AP3" s="1087" t="s">
        <v>269</v>
      </c>
      <c r="AQ3" s="1087" t="s">
        <v>231</v>
      </c>
      <c r="AR3" s="1087" t="s">
        <v>270</v>
      </c>
      <c r="AS3" s="1087" t="s">
        <v>224</v>
      </c>
      <c r="AT3" s="1087" t="s">
        <v>220</v>
      </c>
      <c r="AU3" s="1087" t="s">
        <v>14</v>
      </c>
      <c r="AV3" s="1087" t="s">
        <v>15</v>
      </c>
      <c r="AW3" s="1087" t="s">
        <v>143</v>
      </c>
      <c r="AX3" s="1087" t="s">
        <v>46</v>
      </c>
      <c r="AY3" s="630" t="s">
        <v>249</v>
      </c>
      <c r="AZ3" s="1087" t="s">
        <v>235</v>
      </c>
      <c r="BA3" s="1087" t="s">
        <v>273</v>
      </c>
      <c r="BB3" s="1087" t="s">
        <v>274</v>
      </c>
      <c r="BC3" s="1087" t="s">
        <v>194</v>
      </c>
      <c r="BD3" s="1087" t="s">
        <v>195</v>
      </c>
      <c r="BE3" s="1087" t="s">
        <v>196</v>
      </c>
      <c r="BF3" s="1087" t="s">
        <v>19</v>
      </c>
      <c r="BG3" s="1087" t="s">
        <v>20</v>
      </c>
      <c r="BH3" s="1087" t="s">
        <v>21</v>
      </c>
      <c r="BI3" s="1087" t="s">
        <v>22</v>
      </c>
      <c r="BJ3" s="1087" t="s">
        <v>184</v>
      </c>
      <c r="BK3" s="1087" t="s">
        <v>23</v>
      </c>
      <c r="BL3" s="1087" t="s">
        <v>223</v>
      </c>
      <c r="BM3" s="1087" t="s">
        <v>24</v>
      </c>
      <c r="BN3" s="1087" t="s">
        <v>25</v>
      </c>
      <c r="BO3" s="1087" t="s">
        <v>197</v>
      </c>
      <c r="BP3" s="1087" t="s">
        <v>27</v>
      </c>
      <c r="BQ3" s="1087" t="s">
        <v>198</v>
      </c>
      <c r="BR3" s="1087" t="s">
        <v>185</v>
      </c>
      <c r="BS3" s="1087" t="s">
        <v>215</v>
      </c>
      <c r="BT3" s="1087" t="s">
        <v>32</v>
      </c>
      <c r="BU3" s="1087" t="s">
        <v>214</v>
      </c>
      <c r="BV3" s="1087" t="s">
        <v>199</v>
      </c>
      <c r="BW3" s="1087" t="s">
        <v>36</v>
      </c>
      <c r="BX3" s="1087" t="s">
        <v>38</v>
      </c>
      <c r="BY3" s="1087" t="s">
        <v>226</v>
      </c>
      <c r="BZ3" s="632" t="s">
        <v>144</v>
      </c>
      <c r="CA3" s="1087" t="s">
        <v>2577</v>
      </c>
      <c r="CB3" s="1629"/>
      <c r="CC3" s="1629"/>
      <c r="CD3" s="1087" t="s">
        <v>200</v>
      </c>
      <c r="CE3" s="1620" t="s">
        <v>153</v>
      </c>
      <c r="CF3" s="1620"/>
      <c r="CG3" s="1087" t="s">
        <v>225</v>
      </c>
      <c r="CH3" s="1620" t="s">
        <v>257</v>
      </c>
      <c r="CI3" s="1621"/>
      <c r="CJ3" s="1087" t="s">
        <v>40</v>
      </c>
      <c r="CK3" s="1087" t="s">
        <v>202</v>
      </c>
      <c r="CL3" s="1087" t="s">
        <v>203</v>
      </c>
      <c r="CM3" s="1087" t="s">
        <v>204</v>
      </c>
      <c r="CN3" s="1087" t="s">
        <v>205</v>
      </c>
      <c r="CO3" s="1087" t="s">
        <v>41</v>
      </c>
      <c r="CP3" s="1620" t="s">
        <v>278</v>
      </c>
      <c r="CQ3" s="1620"/>
      <c r="CR3" s="1620"/>
      <c r="CS3" s="1622" t="s">
        <v>279</v>
      </c>
      <c r="CT3" s="1622"/>
      <c r="CU3" s="1622"/>
      <c r="CV3" s="1622" t="s">
        <v>250</v>
      </c>
      <c r="CW3" s="1622"/>
      <c r="CX3" s="1622"/>
      <c r="CY3" s="1621" t="s">
        <v>251</v>
      </c>
      <c r="CZ3" s="1621"/>
      <c r="DA3" s="1630"/>
      <c r="DB3" s="1620" t="s">
        <v>178</v>
      </c>
      <c r="DC3" s="1620"/>
      <c r="DD3" s="1630"/>
      <c r="DE3" s="1620" t="s">
        <v>179</v>
      </c>
      <c r="DF3" s="1620"/>
      <c r="DG3" s="1630"/>
      <c r="DH3" s="1620" t="s">
        <v>280</v>
      </c>
      <c r="DI3" s="1620"/>
      <c r="DJ3" s="1630"/>
      <c r="DK3" s="1619" t="s">
        <v>145</v>
      </c>
      <c r="DL3" s="1619"/>
      <c r="DM3" s="1630"/>
      <c r="DN3" s="1620" t="s">
        <v>42</v>
      </c>
      <c r="DO3" s="1620"/>
      <c r="DP3" s="1620"/>
      <c r="DQ3" s="1622" t="s">
        <v>281</v>
      </c>
      <c r="DR3" s="1622"/>
      <c r="DS3" s="1622"/>
      <c r="DT3" s="1622" t="s">
        <v>241</v>
      </c>
      <c r="DU3" s="1622"/>
      <c r="DV3" s="1622"/>
      <c r="DW3" s="1622" t="s">
        <v>43</v>
      </c>
      <c r="DX3" s="1622"/>
      <c r="DY3" s="1622"/>
      <c r="DZ3" s="1620" t="s">
        <v>239</v>
      </c>
      <c r="EA3" s="1620"/>
      <c r="EB3" s="1620"/>
      <c r="EC3" s="1620" t="s">
        <v>44</v>
      </c>
      <c r="ED3" s="1620"/>
      <c r="EE3" s="1620"/>
      <c r="EF3" s="1620" t="s">
        <v>222</v>
      </c>
      <c r="EG3" s="1621"/>
      <c r="EH3" s="1621"/>
      <c r="EI3" s="1620" t="s">
        <v>146</v>
      </c>
      <c r="EJ3" s="1620"/>
      <c r="EK3" s="1620"/>
      <c r="EL3" s="1087" t="s">
        <v>217</v>
      </c>
      <c r="EM3" s="1087" t="s">
        <v>218</v>
      </c>
      <c r="EN3" s="1087" t="s">
        <v>283</v>
      </c>
      <c r="EO3" s="1087" t="s">
        <v>208</v>
      </c>
      <c r="EP3" s="1087" t="s">
        <v>45</v>
      </c>
      <c r="EQ3" s="1087" t="s">
        <v>176</v>
      </c>
      <c r="ER3" s="1087" t="s">
        <v>177</v>
      </c>
      <c r="ES3" s="1087" t="s">
        <v>47</v>
      </c>
      <c r="ET3" s="1087" t="s">
        <v>186</v>
      </c>
      <c r="EU3" s="1087" t="s">
        <v>209</v>
      </c>
      <c r="EV3" s="1087" t="s">
        <v>210</v>
      </c>
      <c r="EW3" s="1087" t="s">
        <v>189</v>
      </c>
      <c r="EX3" s="1087" t="s">
        <v>188</v>
      </c>
    </row>
    <row r="4" spans="3:154" ht="42" customHeight="1" x14ac:dyDescent="0.2">
      <c r="C4" s="1156"/>
      <c r="D4" s="1156"/>
      <c r="E4" s="1156"/>
      <c r="F4" s="1159" t="s">
        <v>48</v>
      </c>
      <c r="G4" s="1160" t="s">
        <v>48</v>
      </c>
      <c r="H4" s="1094" t="s">
        <v>48</v>
      </c>
      <c r="I4" s="1094" t="s">
        <v>48</v>
      </c>
      <c r="J4" s="1094" t="s">
        <v>49</v>
      </c>
      <c r="K4" s="1094" t="s">
        <v>170</v>
      </c>
      <c r="L4" s="1094" t="s">
        <v>259</v>
      </c>
      <c r="M4" s="1629"/>
      <c r="N4" s="1094" t="s">
        <v>48</v>
      </c>
      <c r="O4" s="1094" t="s">
        <v>48</v>
      </c>
      <c r="P4" s="1094" t="s">
        <v>50</v>
      </c>
      <c r="Q4" s="1094" t="s">
        <v>48</v>
      </c>
      <c r="R4" s="1094" t="s">
        <v>50</v>
      </c>
      <c r="S4" s="1094" t="s">
        <v>48</v>
      </c>
      <c r="T4" s="1094" t="s">
        <v>50</v>
      </c>
      <c r="U4" s="1094" t="s">
        <v>48</v>
      </c>
      <c r="V4" s="1094" t="s">
        <v>50</v>
      </c>
      <c r="W4" s="1094" t="s">
        <v>48</v>
      </c>
      <c r="X4" s="1094" t="s">
        <v>50</v>
      </c>
      <c r="Y4" s="1160" t="s">
        <v>48</v>
      </c>
      <c r="Z4" s="1160" t="s">
        <v>50</v>
      </c>
      <c r="AA4" s="1094" t="s">
        <v>48</v>
      </c>
      <c r="AB4" s="1094" t="s">
        <v>48</v>
      </c>
      <c r="AC4" s="1094" t="s">
        <v>48</v>
      </c>
      <c r="AD4" s="1094" t="s">
        <v>48</v>
      </c>
      <c r="AE4" s="1161" t="s">
        <v>152</v>
      </c>
      <c r="AF4" s="1629"/>
      <c r="AG4" s="1629"/>
      <c r="AH4" s="1161" t="s">
        <v>152</v>
      </c>
      <c r="AI4" s="1094" t="s">
        <v>52</v>
      </c>
      <c r="AJ4" s="1094" t="s">
        <v>52</v>
      </c>
      <c r="AK4" s="1161" t="s">
        <v>152</v>
      </c>
      <c r="AL4" s="1094" t="s">
        <v>52</v>
      </c>
      <c r="AM4" s="1162" t="s">
        <v>52</v>
      </c>
      <c r="AN4" s="1161" t="s">
        <v>152</v>
      </c>
      <c r="AO4" s="1094" t="s">
        <v>52</v>
      </c>
      <c r="AP4" s="1161" t="s">
        <v>152</v>
      </c>
      <c r="AQ4" s="1094" t="s">
        <v>52</v>
      </c>
      <c r="AR4" s="1161" t="s">
        <v>152</v>
      </c>
      <c r="AS4" s="1094" t="s">
        <v>52</v>
      </c>
      <c r="AT4" s="1094" t="s">
        <v>48</v>
      </c>
      <c r="AU4" s="1094" t="s">
        <v>48</v>
      </c>
      <c r="AV4" s="1094" t="s">
        <v>48</v>
      </c>
      <c r="AW4" s="1094" t="s">
        <v>55</v>
      </c>
      <c r="AX4" s="1094" t="s">
        <v>48</v>
      </c>
      <c r="AY4" s="1163" t="s">
        <v>152</v>
      </c>
      <c r="AZ4" s="1094" t="s">
        <v>52</v>
      </c>
      <c r="BA4" s="1161" t="s">
        <v>152</v>
      </c>
      <c r="BB4" s="1094" t="s">
        <v>52</v>
      </c>
      <c r="BC4" s="1094" t="s">
        <v>53</v>
      </c>
      <c r="BD4" s="1094" t="s">
        <v>53</v>
      </c>
      <c r="BE4" s="1094" t="s">
        <v>53</v>
      </c>
      <c r="BF4" s="1094" t="s">
        <v>53</v>
      </c>
      <c r="BG4" s="1094" t="s">
        <v>53</v>
      </c>
      <c r="BH4" s="1094" t="s">
        <v>53</v>
      </c>
      <c r="BI4" s="1094" t="s">
        <v>53</v>
      </c>
      <c r="BJ4" s="1094" t="s">
        <v>53</v>
      </c>
      <c r="BK4" s="1094" t="s">
        <v>53</v>
      </c>
      <c r="BL4" s="1094" t="s">
        <v>53</v>
      </c>
      <c r="BM4" s="1094" t="s">
        <v>53</v>
      </c>
      <c r="BN4" s="1094" t="s">
        <v>53</v>
      </c>
      <c r="BO4" s="1094" t="s">
        <v>53</v>
      </c>
      <c r="BP4" s="1094" t="s">
        <v>53</v>
      </c>
      <c r="BQ4" s="1094" t="s">
        <v>53</v>
      </c>
      <c r="BR4" s="1094" t="s">
        <v>53</v>
      </c>
      <c r="BS4" s="1094" t="s">
        <v>53</v>
      </c>
      <c r="BT4" s="1094" t="s">
        <v>53</v>
      </c>
      <c r="BU4" s="1094" t="s">
        <v>53</v>
      </c>
      <c r="BV4" s="1094" t="s">
        <v>53</v>
      </c>
      <c r="BW4" s="1094" t="s">
        <v>53</v>
      </c>
      <c r="BX4" s="1094" t="s">
        <v>53</v>
      </c>
      <c r="BY4" s="1094" t="s">
        <v>53</v>
      </c>
      <c r="BZ4" s="1094" t="s">
        <v>53</v>
      </c>
      <c r="CA4" s="1159" t="s">
        <v>158</v>
      </c>
      <c r="CB4" s="1629"/>
      <c r="CC4" s="1629"/>
      <c r="CD4" s="1161" t="s">
        <v>54</v>
      </c>
      <c r="CE4" s="1094" t="s">
        <v>48</v>
      </c>
      <c r="CF4" s="1094" t="s">
        <v>50</v>
      </c>
      <c r="CG4" s="1094" t="s">
        <v>52</v>
      </c>
      <c r="CH4" s="1094" t="s">
        <v>54</v>
      </c>
      <c r="CI4" s="1094" t="s">
        <v>50</v>
      </c>
      <c r="CJ4" s="1094" t="s">
        <v>55</v>
      </c>
      <c r="CK4" s="1094" t="s">
        <v>48</v>
      </c>
      <c r="CL4" s="1094" t="s">
        <v>48</v>
      </c>
      <c r="CM4" s="1094" t="s">
        <v>53</v>
      </c>
      <c r="CN4" s="1094" t="s">
        <v>53</v>
      </c>
      <c r="CO4" s="1094" t="s">
        <v>53</v>
      </c>
      <c r="CP4" s="1094" t="s">
        <v>171</v>
      </c>
      <c r="CQ4" s="1094" t="s">
        <v>172</v>
      </c>
      <c r="CR4" s="1094" t="s">
        <v>173</v>
      </c>
      <c r="CS4" s="1094" t="s">
        <v>171</v>
      </c>
      <c r="CT4" s="1094" t="s">
        <v>172</v>
      </c>
      <c r="CU4" s="1094" t="s">
        <v>174</v>
      </c>
      <c r="CV4" s="1094" t="s">
        <v>171</v>
      </c>
      <c r="CW4" s="1094" t="s">
        <v>172</v>
      </c>
      <c r="CX4" s="1094" t="s">
        <v>174</v>
      </c>
      <c r="CY4" s="1094" t="s">
        <v>171</v>
      </c>
      <c r="CZ4" s="1094" t="s">
        <v>172</v>
      </c>
      <c r="DA4" s="1164" t="s">
        <v>174</v>
      </c>
      <c r="DB4" s="1094" t="s">
        <v>171</v>
      </c>
      <c r="DC4" s="1094" t="s">
        <v>172</v>
      </c>
      <c r="DD4" s="1164" t="s">
        <v>174</v>
      </c>
      <c r="DE4" s="1094" t="s">
        <v>171</v>
      </c>
      <c r="DF4" s="1094" t="s">
        <v>172</v>
      </c>
      <c r="DG4" s="1164" t="s">
        <v>174</v>
      </c>
      <c r="DH4" s="1094" t="s">
        <v>171</v>
      </c>
      <c r="DI4" s="1094" t="s">
        <v>172</v>
      </c>
      <c r="DJ4" s="1164" t="s">
        <v>174</v>
      </c>
      <c r="DK4" s="1094" t="s">
        <v>171</v>
      </c>
      <c r="DL4" s="1094" t="s">
        <v>172</v>
      </c>
      <c r="DM4" s="1164" t="s">
        <v>174</v>
      </c>
      <c r="DN4" s="1094" t="s">
        <v>171</v>
      </c>
      <c r="DO4" s="1094" t="s">
        <v>172</v>
      </c>
      <c r="DP4" s="1094" t="s">
        <v>174</v>
      </c>
      <c r="DQ4" s="1094" t="s">
        <v>171</v>
      </c>
      <c r="DR4" s="1094" t="s">
        <v>172</v>
      </c>
      <c r="DS4" s="1094" t="s">
        <v>174</v>
      </c>
      <c r="DT4" s="1094" t="s">
        <v>171</v>
      </c>
      <c r="DU4" s="1094" t="s">
        <v>172</v>
      </c>
      <c r="DV4" s="1094" t="s">
        <v>174</v>
      </c>
      <c r="DW4" s="1094" t="s">
        <v>171</v>
      </c>
      <c r="DX4" s="1094" t="s">
        <v>172</v>
      </c>
      <c r="DY4" s="1094" t="s">
        <v>174</v>
      </c>
      <c r="DZ4" s="1094" t="s">
        <v>171</v>
      </c>
      <c r="EA4" s="1094" t="s">
        <v>172</v>
      </c>
      <c r="EB4" s="1094" t="s">
        <v>174</v>
      </c>
      <c r="EC4" s="1094" t="s">
        <v>171</v>
      </c>
      <c r="ED4" s="1094" t="s">
        <v>172</v>
      </c>
      <c r="EE4" s="1094" t="s">
        <v>174</v>
      </c>
      <c r="EF4" s="1094" t="s">
        <v>171</v>
      </c>
      <c r="EG4" s="1094" t="s">
        <v>172</v>
      </c>
      <c r="EH4" s="1094" t="s">
        <v>174</v>
      </c>
      <c r="EI4" s="1094" t="s">
        <v>171</v>
      </c>
      <c r="EJ4" s="1094" t="s">
        <v>172</v>
      </c>
      <c r="EK4" s="1094" t="s">
        <v>174</v>
      </c>
      <c r="EL4" s="1094" t="s">
        <v>154</v>
      </c>
      <c r="EM4" s="1094" t="s">
        <v>48</v>
      </c>
      <c r="EN4" s="1094" t="s">
        <v>53</v>
      </c>
      <c r="EO4" s="1094" t="s">
        <v>55</v>
      </c>
      <c r="EP4" s="1094" t="s">
        <v>48</v>
      </c>
      <c r="EQ4" s="1094" t="s">
        <v>50</v>
      </c>
      <c r="ER4" s="1094" t="s">
        <v>50</v>
      </c>
      <c r="ES4" s="1094" t="s">
        <v>155</v>
      </c>
      <c r="ET4" s="1094" t="s">
        <v>48</v>
      </c>
      <c r="EU4" s="1094" t="s">
        <v>48</v>
      </c>
      <c r="EV4" s="1094" t="s">
        <v>48</v>
      </c>
      <c r="EW4" s="1094" t="s">
        <v>53</v>
      </c>
      <c r="EX4" s="1094" t="s">
        <v>53</v>
      </c>
    </row>
    <row r="5" spans="3:154" ht="93.95" customHeight="1" x14ac:dyDescent="0.2">
      <c r="C5" s="1156" t="s">
        <v>693</v>
      </c>
      <c r="D5" s="1156" t="s">
        <v>5277</v>
      </c>
      <c r="E5" s="738" t="s">
        <v>287</v>
      </c>
      <c r="F5" s="738" t="s">
        <v>372</v>
      </c>
      <c r="G5" s="738"/>
      <c r="H5" s="632" t="s">
        <v>1642</v>
      </c>
      <c r="I5" s="632" t="s">
        <v>1643</v>
      </c>
      <c r="J5" s="637">
        <v>2018</v>
      </c>
      <c r="K5" s="377">
        <v>43951</v>
      </c>
      <c r="L5" s="377">
        <v>44196</v>
      </c>
      <c r="M5" s="1369">
        <f>L5-K5</f>
        <v>245</v>
      </c>
      <c r="N5" s="632" t="s">
        <v>504</v>
      </c>
      <c r="O5" s="632" t="s">
        <v>504</v>
      </c>
      <c r="P5" s="632"/>
      <c r="Q5" s="632" t="s">
        <v>1646</v>
      </c>
      <c r="R5" s="632" t="s">
        <v>1647</v>
      </c>
      <c r="S5" s="632" t="s">
        <v>504</v>
      </c>
      <c r="T5" s="632"/>
      <c r="U5" s="632" t="s">
        <v>504</v>
      </c>
      <c r="V5" s="632"/>
      <c r="W5" s="632" t="s">
        <v>1648</v>
      </c>
      <c r="X5" s="632" t="s">
        <v>1649</v>
      </c>
      <c r="Y5" s="632"/>
      <c r="Z5" s="632"/>
      <c r="AA5" s="632" t="s">
        <v>1650</v>
      </c>
      <c r="AB5" s="632" t="s">
        <v>1650</v>
      </c>
      <c r="AC5" s="632" t="s">
        <v>622</v>
      </c>
      <c r="AD5" s="632" t="s">
        <v>1651</v>
      </c>
      <c r="AE5" s="702">
        <v>14.544</v>
      </c>
      <c r="AF5" s="671">
        <f>AH5+AK5+AN5+AP5+AR5</f>
        <v>14.5444</v>
      </c>
      <c r="AG5" s="671">
        <f>AF5-AE5</f>
        <v>3.9999999999906777E-4</v>
      </c>
      <c r="AH5" s="702">
        <v>9.9949999999999992</v>
      </c>
      <c r="AI5" s="683">
        <v>0.68720000000000003</v>
      </c>
      <c r="AJ5" s="683">
        <v>2.9999999999999997E-4</v>
      </c>
      <c r="AK5" s="702">
        <v>2.5219999999999998</v>
      </c>
      <c r="AL5" s="683">
        <v>0.1734</v>
      </c>
      <c r="AM5" s="683"/>
      <c r="AN5" s="702">
        <v>1.1779999999999999</v>
      </c>
      <c r="AO5" s="683">
        <v>8.1000000000000003E-2</v>
      </c>
      <c r="AP5" s="702">
        <v>0.84940000000000004</v>
      </c>
      <c r="AQ5" s="683">
        <v>5.8400000000000001E-2</v>
      </c>
      <c r="AR5" s="702"/>
      <c r="AS5" s="683"/>
      <c r="AT5" s="632"/>
      <c r="AU5" s="632"/>
      <c r="AV5" s="632"/>
      <c r="AW5" s="632" t="s">
        <v>500</v>
      </c>
      <c r="AX5" s="632" t="s">
        <v>1652</v>
      </c>
      <c r="AY5" s="632">
        <v>0.98599999999999999</v>
      </c>
      <c r="AZ5" s="683">
        <v>6.7799999999999999E-2</v>
      </c>
      <c r="BA5" s="671">
        <v>10</v>
      </c>
      <c r="BB5" s="683">
        <v>0.3639</v>
      </c>
      <c r="BC5" s="710">
        <v>60</v>
      </c>
      <c r="BD5" s="710">
        <v>20</v>
      </c>
      <c r="BE5" s="706">
        <v>12</v>
      </c>
      <c r="BF5" s="710">
        <v>1</v>
      </c>
      <c r="BG5" s="710">
        <v>4</v>
      </c>
      <c r="BH5" s="710">
        <v>0</v>
      </c>
      <c r="BI5" s="710">
        <v>0</v>
      </c>
      <c r="BJ5" s="710">
        <v>0</v>
      </c>
      <c r="BK5" s="710">
        <v>2</v>
      </c>
      <c r="BL5" s="710">
        <v>0</v>
      </c>
      <c r="BM5" s="710">
        <v>2</v>
      </c>
      <c r="BN5" s="710">
        <v>2</v>
      </c>
      <c r="BO5" s="710">
        <v>0</v>
      </c>
      <c r="BP5" s="710">
        <v>1</v>
      </c>
      <c r="BQ5" s="710">
        <v>0</v>
      </c>
      <c r="BR5" s="710">
        <v>0</v>
      </c>
      <c r="BS5" s="710">
        <v>0</v>
      </c>
      <c r="BT5" s="710">
        <v>0</v>
      </c>
      <c r="BU5" s="710">
        <v>0</v>
      </c>
      <c r="BV5" s="710">
        <v>0</v>
      </c>
      <c r="BW5" s="710">
        <v>0</v>
      </c>
      <c r="BX5" s="710">
        <v>0</v>
      </c>
      <c r="BY5" s="710">
        <v>0</v>
      </c>
      <c r="BZ5" s="710">
        <v>0</v>
      </c>
      <c r="CA5" s="717">
        <f>SUM(BF5:BZ5)</f>
        <v>12</v>
      </c>
      <c r="CB5" s="717">
        <f>SUM(BF5:BZ5)</f>
        <v>12</v>
      </c>
      <c r="CC5" s="717">
        <f>CB5-CA5</f>
        <v>0</v>
      </c>
      <c r="CD5" s="671">
        <v>41.25</v>
      </c>
      <c r="CE5" s="632" t="s">
        <v>504</v>
      </c>
      <c r="CF5" s="632"/>
      <c r="CG5" s="683">
        <v>8.9099999999999999E-2</v>
      </c>
      <c r="CH5" s="671">
        <v>463088</v>
      </c>
      <c r="CI5" s="683" t="s">
        <v>1653</v>
      </c>
      <c r="CJ5" s="632" t="s">
        <v>504</v>
      </c>
      <c r="CK5" s="632"/>
      <c r="CL5" s="632"/>
      <c r="CM5" s="710"/>
      <c r="CN5" s="710"/>
      <c r="CO5" s="710">
        <v>1</v>
      </c>
      <c r="CP5" s="632" t="s">
        <v>500</v>
      </c>
      <c r="CQ5" s="632" t="s">
        <v>1654</v>
      </c>
      <c r="CR5" s="710">
        <v>1500</v>
      </c>
      <c r="CS5" s="632" t="s">
        <v>500</v>
      </c>
      <c r="CT5" s="632" t="s">
        <v>655</v>
      </c>
      <c r="CU5" s="710">
        <v>12899</v>
      </c>
      <c r="CV5" s="710" t="s">
        <v>504</v>
      </c>
      <c r="CW5" s="710"/>
      <c r="CX5" s="710"/>
      <c r="CY5" s="710" t="s">
        <v>504</v>
      </c>
      <c r="CZ5" s="710"/>
      <c r="DA5" s="1098"/>
      <c r="DB5" s="632" t="s">
        <v>504</v>
      </c>
      <c r="DC5" s="632"/>
      <c r="DD5" s="1098"/>
      <c r="DE5" s="632" t="s">
        <v>504</v>
      </c>
      <c r="DF5" s="632"/>
      <c r="DG5" s="1098"/>
      <c r="DH5" s="632" t="s">
        <v>500</v>
      </c>
      <c r="DI5" s="632" t="s">
        <v>1655</v>
      </c>
      <c r="DJ5" s="1098">
        <v>82</v>
      </c>
      <c r="DK5" s="632" t="s">
        <v>504</v>
      </c>
      <c r="DL5" s="632"/>
      <c r="DM5" s="1098"/>
      <c r="DN5" s="632" t="s">
        <v>504</v>
      </c>
      <c r="DO5" s="632"/>
      <c r="DP5" s="710"/>
      <c r="DQ5" s="632" t="s">
        <v>504</v>
      </c>
      <c r="DR5" s="632"/>
      <c r="DS5" s="710"/>
      <c r="DT5" s="710" t="s">
        <v>504</v>
      </c>
      <c r="DU5" s="710"/>
      <c r="DV5" s="710"/>
      <c r="DW5" s="632" t="s">
        <v>504</v>
      </c>
      <c r="DX5" s="632"/>
      <c r="DY5" s="710"/>
      <c r="DZ5" s="632" t="s">
        <v>504</v>
      </c>
      <c r="EA5" s="632"/>
      <c r="EB5" s="710"/>
      <c r="EC5" s="632" t="s">
        <v>504</v>
      </c>
      <c r="ED5" s="632"/>
      <c r="EE5" s="710"/>
      <c r="EF5" s="710"/>
      <c r="EG5" s="710" t="s">
        <v>1656</v>
      </c>
      <c r="EH5" s="710">
        <v>13</v>
      </c>
      <c r="EI5" s="632" t="s">
        <v>504</v>
      </c>
      <c r="EJ5" s="632"/>
      <c r="EK5" s="710"/>
      <c r="EL5" s="632" t="s">
        <v>1657</v>
      </c>
      <c r="EM5" s="632" t="s">
        <v>1658</v>
      </c>
      <c r="EN5" s="670">
        <v>20</v>
      </c>
      <c r="EO5" s="632" t="s">
        <v>504</v>
      </c>
      <c r="EP5" s="632"/>
      <c r="EQ5" s="632" t="s">
        <v>1659</v>
      </c>
      <c r="ER5" s="632" t="s">
        <v>1660</v>
      </c>
      <c r="ES5" s="632"/>
      <c r="ET5" s="632" t="s">
        <v>1661</v>
      </c>
      <c r="EU5" s="632" t="s">
        <v>1662</v>
      </c>
      <c r="EV5" s="632" t="s">
        <v>1663</v>
      </c>
      <c r="EW5" s="632">
        <v>4</v>
      </c>
      <c r="EX5" s="632">
        <v>100</v>
      </c>
    </row>
    <row r="6" spans="3:154" customFormat="1" ht="92.1" customHeight="1" x14ac:dyDescent="0.25">
      <c r="C6" s="1156" t="s">
        <v>693</v>
      </c>
      <c r="D6" s="1156" t="s">
        <v>5277</v>
      </c>
      <c r="E6" s="738" t="s">
        <v>288</v>
      </c>
      <c r="F6" s="738" t="s">
        <v>373</v>
      </c>
      <c r="G6" s="738"/>
      <c r="H6" s="632" t="s">
        <v>2241</v>
      </c>
      <c r="I6" s="632" t="s">
        <v>2241</v>
      </c>
      <c r="J6" s="637">
        <v>2018</v>
      </c>
      <c r="K6" s="377">
        <v>43738</v>
      </c>
      <c r="L6" s="377">
        <v>44196</v>
      </c>
      <c r="M6" s="1369">
        <f t="shared" ref="M6:M8" si="0">L6-K6</f>
        <v>458</v>
      </c>
      <c r="N6" s="632" t="s">
        <v>2243</v>
      </c>
      <c r="O6" s="632" t="s">
        <v>2244</v>
      </c>
      <c r="P6" s="653" t="s">
        <v>2245</v>
      </c>
      <c r="Q6" s="632" t="s">
        <v>465</v>
      </c>
      <c r="R6" s="632" t="s">
        <v>465</v>
      </c>
      <c r="S6" s="632" t="s">
        <v>465</v>
      </c>
      <c r="T6" s="632" t="s">
        <v>465</v>
      </c>
      <c r="U6" s="632" t="s">
        <v>465</v>
      </c>
      <c r="V6" s="653" t="s">
        <v>465</v>
      </c>
      <c r="W6" s="632" t="s">
        <v>2246</v>
      </c>
      <c r="X6" s="653" t="s">
        <v>2247</v>
      </c>
      <c r="Y6" s="653"/>
      <c r="Z6" s="653"/>
      <c r="AA6" s="632" t="s">
        <v>2248</v>
      </c>
      <c r="AB6" s="632" t="s">
        <v>2248</v>
      </c>
      <c r="AC6" s="632" t="s">
        <v>469</v>
      </c>
      <c r="AD6" s="632" t="s">
        <v>2249</v>
      </c>
      <c r="AE6" s="676">
        <f>+AH6+AK6+AN6+AP6+AR6</f>
        <v>4.5834000000000001</v>
      </c>
      <c r="AF6" s="671">
        <f t="shared" ref="AF6:AF72" si="1">AH6+AK6+AN6+AP6+AR6</f>
        <v>4.5834000000000001</v>
      </c>
      <c r="AG6" s="671">
        <f t="shared" ref="AG6:AG73" si="2">AF6-AE6</f>
        <v>0</v>
      </c>
      <c r="AH6" s="676">
        <v>3.4980000000000002</v>
      </c>
      <c r="AI6" s="683">
        <f>+AH6/$AI$5</f>
        <v>5.0902211874272414</v>
      </c>
      <c r="AJ6" s="683">
        <f>+AH6/(27795635881/1000000)</f>
        <v>1.2584709394581958E-4</v>
      </c>
      <c r="AK6" s="702">
        <v>0.67</v>
      </c>
      <c r="AL6" s="683">
        <f>+AK6/$AI$5</f>
        <v>0.97497089639115253</v>
      </c>
      <c r="AM6" s="683"/>
      <c r="AN6" s="702">
        <v>0.27400000000000002</v>
      </c>
      <c r="AO6" s="683">
        <f>+AN6/$AI$5</f>
        <v>0.39871944121071012</v>
      </c>
      <c r="AP6" s="702">
        <v>0.1414</v>
      </c>
      <c r="AQ6" s="683">
        <f>+AP6/$AI$5</f>
        <v>0.20576251455180442</v>
      </c>
      <c r="AR6" s="702">
        <v>0</v>
      </c>
      <c r="AS6" s="683">
        <f>+AR6/$AI$5</f>
        <v>0</v>
      </c>
      <c r="AT6" s="632" t="s">
        <v>465</v>
      </c>
      <c r="AU6" s="632" t="s">
        <v>465</v>
      </c>
      <c r="AV6" s="632" t="s">
        <v>465</v>
      </c>
      <c r="AW6" s="632" t="s">
        <v>500</v>
      </c>
      <c r="AX6" s="632" t="s">
        <v>2250</v>
      </c>
      <c r="AY6" s="632" t="s">
        <v>465</v>
      </c>
      <c r="AZ6" s="683" t="s">
        <v>465</v>
      </c>
      <c r="BA6" s="706">
        <f>2785.8/1000</f>
        <v>2.7858000000000001</v>
      </c>
      <c r="BB6" s="683">
        <f>+BA6/(25217605.2/1000)</f>
        <v>1.1047044229243466E-4</v>
      </c>
      <c r="BC6" s="710"/>
      <c r="BD6" s="710">
        <v>17</v>
      </c>
      <c r="BE6" s="706">
        <v>8</v>
      </c>
      <c r="BF6" s="710"/>
      <c r="BG6" s="710"/>
      <c r="BH6" s="710"/>
      <c r="BI6" s="710"/>
      <c r="BJ6" s="710"/>
      <c r="BK6" s="710">
        <v>2</v>
      </c>
      <c r="BL6" s="710"/>
      <c r="BM6" s="710"/>
      <c r="BN6" s="710">
        <v>1</v>
      </c>
      <c r="BO6" s="710"/>
      <c r="BP6" s="710">
        <v>1</v>
      </c>
      <c r="BQ6" s="710">
        <v>3</v>
      </c>
      <c r="BR6" s="710"/>
      <c r="BS6" s="710"/>
      <c r="BT6" s="710"/>
      <c r="BU6" s="710"/>
      <c r="BV6" s="710"/>
      <c r="BW6" s="710"/>
      <c r="BX6" s="710"/>
      <c r="BY6" s="710"/>
      <c r="BZ6" s="710">
        <v>1</v>
      </c>
      <c r="CA6" s="717">
        <f>SUM(BF6:BZ6)</f>
        <v>8</v>
      </c>
      <c r="CB6" s="717">
        <f t="shared" ref="CB6:CB73" si="3">SUM(BF6:BZ6)</f>
        <v>8</v>
      </c>
      <c r="CC6" s="717">
        <f t="shared" ref="CC6:CC73" si="4">CB6-CA6</f>
        <v>0</v>
      </c>
      <c r="CD6" s="671">
        <v>87</v>
      </c>
      <c r="CE6" s="632" t="s">
        <v>2251</v>
      </c>
      <c r="CF6" s="653" t="s">
        <v>2252</v>
      </c>
      <c r="CG6" s="683">
        <f>+CD6/CH6</f>
        <v>0.39443618294584887</v>
      </c>
      <c r="CH6" s="710">
        <v>220.56800000000001</v>
      </c>
      <c r="CI6" s="733" t="s">
        <v>2253</v>
      </c>
      <c r="CJ6" s="632" t="s">
        <v>504</v>
      </c>
      <c r="CK6" s="632" t="s">
        <v>465</v>
      </c>
      <c r="CL6" s="632" t="s">
        <v>465</v>
      </c>
      <c r="CM6" s="710" t="s">
        <v>465</v>
      </c>
      <c r="CN6" s="710" t="s">
        <v>465</v>
      </c>
      <c r="CO6" s="710">
        <v>4</v>
      </c>
      <c r="CP6" s="632" t="s">
        <v>504</v>
      </c>
      <c r="CQ6" s="632" t="s">
        <v>465</v>
      </c>
      <c r="CR6" s="710" t="s">
        <v>465</v>
      </c>
      <c r="CS6" s="632" t="s">
        <v>500</v>
      </c>
      <c r="CT6" s="632" t="s">
        <v>2254</v>
      </c>
      <c r="CU6" s="710">
        <v>468</v>
      </c>
      <c r="CV6" s="710" t="s">
        <v>504</v>
      </c>
      <c r="CW6" s="710" t="s">
        <v>465</v>
      </c>
      <c r="CX6" s="710" t="s">
        <v>465</v>
      </c>
      <c r="CY6" s="710" t="s">
        <v>504</v>
      </c>
      <c r="CZ6" s="710" t="s">
        <v>465</v>
      </c>
      <c r="DA6" s="710" t="s">
        <v>465</v>
      </c>
      <c r="DB6" s="632" t="s">
        <v>504</v>
      </c>
      <c r="DC6" s="632" t="s">
        <v>465</v>
      </c>
      <c r="DD6" s="710" t="s">
        <v>465</v>
      </c>
      <c r="DE6" s="632" t="s">
        <v>504</v>
      </c>
      <c r="DF6" s="632" t="s">
        <v>465</v>
      </c>
      <c r="DG6" s="710" t="s">
        <v>465</v>
      </c>
      <c r="DH6" s="632" t="s">
        <v>504</v>
      </c>
      <c r="DI6" s="632" t="s">
        <v>465</v>
      </c>
      <c r="DJ6" s="710" t="s">
        <v>465</v>
      </c>
      <c r="DK6" s="632" t="s">
        <v>504</v>
      </c>
      <c r="DL6" s="632" t="s">
        <v>465</v>
      </c>
      <c r="DM6" s="710" t="s">
        <v>465</v>
      </c>
      <c r="DN6" s="632" t="s">
        <v>504</v>
      </c>
      <c r="DO6" s="632" t="s">
        <v>465</v>
      </c>
      <c r="DP6" s="710" t="s">
        <v>465</v>
      </c>
      <c r="DQ6" s="632" t="s">
        <v>504</v>
      </c>
      <c r="DR6" s="632" t="s">
        <v>465</v>
      </c>
      <c r="DS6" s="710" t="s">
        <v>465</v>
      </c>
      <c r="DT6" s="710" t="s">
        <v>504</v>
      </c>
      <c r="DU6" s="710" t="s">
        <v>465</v>
      </c>
      <c r="DV6" s="710" t="s">
        <v>465</v>
      </c>
      <c r="DW6" s="632" t="s">
        <v>504</v>
      </c>
      <c r="DX6" s="632" t="s">
        <v>465</v>
      </c>
      <c r="DY6" s="710" t="s">
        <v>465</v>
      </c>
      <c r="DZ6" s="632" t="s">
        <v>504</v>
      </c>
      <c r="EA6" s="632" t="s">
        <v>465</v>
      </c>
      <c r="EB6" s="710"/>
      <c r="EC6" s="632" t="s">
        <v>500</v>
      </c>
      <c r="ED6" s="738" t="s">
        <v>2255</v>
      </c>
      <c r="EE6" s="710">
        <v>6</v>
      </c>
      <c r="EF6" s="710" t="s">
        <v>504</v>
      </c>
      <c r="EG6" s="710" t="s">
        <v>465</v>
      </c>
      <c r="EH6" s="710" t="s">
        <v>465</v>
      </c>
      <c r="EI6" s="632" t="s">
        <v>504</v>
      </c>
      <c r="EJ6" s="632" t="s">
        <v>465</v>
      </c>
      <c r="EK6" s="710" t="s">
        <v>465</v>
      </c>
      <c r="EL6" s="688">
        <v>1</v>
      </c>
      <c r="EM6" s="632" t="s">
        <v>465</v>
      </c>
      <c r="EN6" s="670">
        <v>17</v>
      </c>
      <c r="EO6" s="632" t="s">
        <v>504</v>
      </c>
      <c r="EP6" s="632" t="s">
        <v>465</v>
      </c>
      <c r="EQ6" s="653" t="s">
        <v>2256</v>
      </c>
      <c r="ER6" s="738" t="s">
        <v>2257</v>
      </c>
      <c r="ES6" s="632" t="s">
        <v>465</v>
      </c>
      <c r="ET6" s="632" t="s">
        <v>2258</v>
      </c>
      <c r="EU6" s="632" t="s">
        <v>465</v>
      </c>
      <c r="EV6" s="632" t="s">
        <v>465</v>
      </c>
      <c r="EW6" s="632" t="s">
        <v>465</v>
      </c>
      <c r="EX6" s="632" t="s">
        <v>465</v>
      </c>
    </row>
    <row r="7" spans="3:154" customFormat="1" ht="96.95" customHeight="1" x14ac:dyDescent="0.25">
      <c r="C7" s="1156" t="s">
        <v>5479</v>
      </c>
      <c r="D7" s="1156" t="s">
        <v>5277</v>
      </c>
      <c r="E7" s="738" t="s">
        <v>288</v>
      </c>
      <c r="F7" s="738" t="s">
        <v>373</v>
      </c>
      <c r="G7" s="738"/>
      <c r="H7" s="632" t="s">
        <v>2259</v>
      </c>
      <c r="I7" s="632" t="s">
        <v>2260</v>
      </c>
      <c r="J7" s="1165">
        <v>2017</v>
      </c>
      <c r="K7" s="1096">
        <v>44166</v>
      </c>
      <c r="L7" s="377">
        <v>44196</v>
      </c>
      <c r="M7" s="1369">
        <f t="shared" si="0"/>
        <v>30</v>
      </c>
      <c r="N7" s="738" t="s">
        <v>2262</v>
      </c>
      <c r="O7" s="738" t="s">
        <v>2263</v>
      </c>
      <c r="P7" s="738" t="s">
        <v>2264</v>
      </c>
      <c r="Q7" s="632" t="s">
        <v>465</v>
      </c>
      <c r="R7" s="632" t="s">
        <v>465</v>
      </c>
      <c r="S7" s="632" t="s">
        <v>465</v>
      </c>
      <c r="T7" s="632" t="s">
        <v>465</v>
      </c>
      <c r="U7" s="632" t="s">
        <v>465</v>
      </c>
      <c r="V7" s="653" t="s">
        <v>465</v>
      </c>
      <c r="W7" s="632" t="s">
        <v>465</v>
      </c>
      <c r="X7" s="653" t="s">
        <v>465</v>
      </c>
      <c r="Y7" s="653"/>
      <c r="Z7" s="653"/>
      <c r="AA7" s="738" t="s">
        <v>2265</v>
      </c>
      <c r="AB7" s="738" t="s">
        <v>2265</v>
      </c>
      <c r="AC7" s="738" t="s">
        <v>671</v>
      </c>
      <c r="AD7" s="738" t="s">
        <v>2266</v>
      </c>
      <c r="AE7" s="702">
        <f>+AH7+AK7+AN7+AP7+AR7</f>
        <v>62.3996</v>
      </c>
      <c r="AF7" s="671">
        <f t="shared" si="1"/>
        <v>62.3996</v>
      </c>
      <c r="AG7" s="671">
        <f t="shared" si="2"/>
        <v>0</v>
      </c>
      <c r="AH7" s="702">
        <f>613.2/1000</f>
        <v>0.61320000000000008</v>
      </c>
      <c r="AI7" s="683">
        <v>9.75E-3</v>
      </c>
      <c r="AJ7" s="1166">
        <f>+AH7/27795.6</f>
        <v>2.2061045633121794E-5</v>
      </c>
      <c r="AK7" s="702">
        <f>619.4/1000</f>
        <v>0.61939999999999995</v>
      </c>
      <c r="AL7" s="683">
        <v>9.8499999999999994E-3</v>
      </c>
      <c r="AM7" s="683"/>
      <c r="AN7" s="702">
        <v>0.45700000000000002</v>
      </c>
      <c r="AO7" s="683">
        <v>7.2700000000000004E-3</v>
      </c>
      <c r="AP7" s="1167">
        <v>0</v>
      </c>
      <c r="AQ7" s="1168">
        <f>AP7/AE7</f>
        <v>0</v>
      </c>
      <c r="AR7" s="702">
        <v>60.71</v>
      </c>
      <c r="AS7" s="683">
        <f>+AR7/AE7</f>
        <v>0.97292290335194453</v>
      </c>
      <c r="AT7" s="738" t="s">
        <v>2267</v>
      </c>
      <c r="AU7" s="738" t="s">
        <v>946</v>
      </c>
      <c r="AV7" s="738" t="s">
        <v>2265</v>
      </c>
      <c r="AW7" s="632" t="s">
        <v>504</v>
      </c>
      <c r="AX7" s="632" t="s">
        <v>2268</v>
      </c>
      <c r="AY7" s="632" t="s">
        <v>465</v>
      </c>
      <c r="AZ7" s="683" t="s">
        <v>465</v>
      </c>
      <c r="BA7" s="706">
        <f>58.9</f>
        <v>58.9</v>
      </c>
      <c r="BB7" s="683">
        <f>BA7/25217.6052</f>
        <v>2.3356698438597172E-3</v>
      </c>
      <c r="BC7" s="710">
        <v>29</v>
      </c>
      <c r="BD7" s="710">
        <v>29</v>
      </c>
      <c r="BE7" s="706">
        <v>22</v>
      </c>
      <c r="BF7" s="710" t="s">
        <v>465</v>
      </c>
      <c r="BG7" s="710" t="s">
        <v>465</v>
      </c>
      <c r="BH7" s="710" t="s">
        <v>465</v>
      </c>
      <c r="BI7" s="710" t="s">
        <v>465</v>
      </c>
      <c r="BJ7" s="710" t="s">
        <v>465</v>
      </c>
      <c r="BK7" s="710">
        <v>5</v>
      </c>
      <c r="BL7" s="710" t="s">
        <v>465</v>
      </c>
      <c r="BM7" s="710" t="s">
        <v>465</v>
      </c>
      <c r="BN7" s="710">
        <v>1</v>
      </c>
      <c r="BO7" s="710">
        <v>5</v>
      </c>
      <c r="BP7" s="710">
        <v>10</v>
      </c>
      <c r="BQ7" s="710">
        <v>1</v>
      </c>
      <c r="BR7" s="710" t="s">
        <v>465</v>
      </c>
      <c r="BS7" s="710" t="s">
        <v>465</v>
      </c>
      <c r="BT7" s="710" t="s">
        <v>465</v>
      </c>
      <c r="BU7" s="710" t="s">
        <v>465</v>
      </c>
      <c r="BV7" s="710" t="s">
        <v>465</v>
      </c>
      <c r="BW7" s="710" t="s">
        <v>465</v>
      </c>
      <c r="BX7" s="710" t="s">
        <v>465</v>
      </c>
      <c r="BY7" s="710" t="s">
        <v>465</v>
      </c>
      <c r="BZ7" s="710" t="s">
        <v>465</v>
      </c>
      <c r="CA7" s="710">
        <f>SUM(BF7:BZ7)</f>
        <v>22</v>
      </c>
      <c r="CB7" s="717">
        <f t="shared" si="3"/>
        <v>22</v>
      </c>
      <c r="CC7" s="717">
        <f t="shared" si="4"/>
        <v>0</v>
      </c>
      <c r="CD7" s="671">
        <v>127.1</v>
      </c>
      <c r="CE7" s="632" t="s">
        <v>2269</v>
      </c>
      <c r="CF7" s="653" t="s">
        <v>2252</v>
      </c>
      <c r="CG7" s="683">
        <f>+CD7/CH7</f>
        <v>0.57623952703928039</v>
      </c>
      <c r="CH7" s="710">
        <v>220.56800000000001</v>
      </c>
      <c r="CI7" s="733" t="s">
        <v>2253</v>
      </c>
      <c r="CJ7" s="632" t="s">
        <v>504</v>
      </c>
      <c r="CK7" s="632" t="s">
        <v>465</v>
      </c>
      <c r="CL7" s="632" t="s">
        <v>465</v>
      </c>
      <c r="CM7" s="632" t="s">
        <v>465</v>
      </c>
      <c r="CN7" s="632" t="s">
        <v>465</v>
      </c>
      <c r="CO7" s="632">
        <v>4</v>
      </c>
      <c r="CP7" s="632" t="s">
        <v>504</v>
      </c>
      <c r="CQ7" s="632" t="s">
        <v>465</v>
      </c>
      <c r="CR7" s="710" t="s">
        <v>465</v>
      </c>
      <c r="CS7" s="738" t="s">
        <v>500</v>
      </c>
      <c r="CT7" s="738" t="s">
        <v>2270</v>
      </c>
      <c r="CU7" s="710">
        <v>4880</v>
      </c>
      <c r="CV7" s="710" t="s">
        <v>504</v>
      </c>
      <c r="CW7" s="710" t="s">
        <v>465</v>
      </c>
      <c r="CX7" s="710" t="s">
        <v>465</v>
      </c>
      <c r="CY7" s="710" t="s">
        <v>504</v>
      </c>
      <c r="CZ7" s="710" t="s">
        <v>465</v>
      </c>
      <c r="DA7" s="710" t="s">
        <v>465</v>
      </c>
      <c r="DB7" s="632" t="s">
        <v>504</v>
      </c>
      <c r="DC7" s="632" t="s">
        <v>465</v>
      </c>
      <c r="DD7" s="710" t="s">
        <v>465</v>
      </c>
      <c r="DE7" s="632" t="s">
        <v>504</v>
      </c>
      <c r="DF7" s="632" t="s">
        <v>465</v>
      </c>
      <c r="DG7" s="710" t="s">
        <v>465</v>
      </c>
      <c r="DH7" s="632" t="s">
        <v>504</v>
      </c>
      <c r="DI7" s="632" t="s">
        <v>465</v>
      </c>
      <c r="DJ7" s="710" t="s">
        <v>465</v>
      </c>
      <c r="DK7" s="632" t="s">
        <v>465</v>
      </c>
      <c r="DL7" s="632" t="s">
        <v>465</v>
      </c>
      <c r="DM7" s="710" t="s">
        <v>465</v>
      </c>
      <c r="DN7" s="632" t="s">
        <v>504</v>
      </c>
      <c r="DO7" s="632" t="s">
        <v>465</v>
      </c>
      <c r="DP7" s="710" t="s">
        <v>465</v>
      </c>
      <c r="DQ7" s="632" t="s">
        <v>504</v>
      </c>
      <c r="DR7" s="632" t="s">
        <v>465</v>
      </c>
      <c r="DS7" s="710" t="s">
        <v>465</v>
      </c>
      <c r="DT7" s="710" t="s">
        <v>504</v>
      </c>
      <c r="DU7" s="710" t="s">
        <v>465</v>
      </c>
      <c r="DV7" s="710" t="s">
        <v>465</v>
      </c>
      <c r="DW7" s="632" t="s">
        <v>504</v>
      </c>
      <c r="DX7" s="632" t="s">
        <v>465</v>
      </c>
      <c r="DY7" s="710" t="s">
        <v>465</v>
      </c>
      <c r="DZ7" s="632" t="s">
        <v>656</v>
      </c>
      <c r="EA7" s="738" t="s">
        <v>2271</v>
      </c>
      <c r="EB7" s="710">
        <v>15</v>
      </c>
      <c r="EC7" s="632" t="s">
        <v>500</v>
      </c>
      <c r="ED7" s="738" t="s">
        <v>2272</v>
      </c>
      <c r="EE7" s="710">
        <v>12</v>
      </c>
      <c r="EF7" s="710" t="s">
        <v>504</v>
      </c>
      <c r="EG7" s="710" t="s">
        <v>465</v>
      </c>
      <c r="EH7" s="710" t="s">
        <v>465</v>
      </c>
      <c r="EI7" s="632" t="s">
        <v>504</v>
      </c>
      <c r="EJ7" s="632" t="s">
        <v>465</v>
      </c>
      <c r="EK7" s="710" t="s">
        <v>465</v>
      </c>
      <c r="EL7" s="688"/>
      <c r="EM7" s="738" t="s">
        <v>2273</v>
      </c>
      <c r="EN7" s="670">
        <v>12</v>
      </c>
      <c r="EO7" s="632" t="s">
        <v>504</v>
      </c>
      <c r="EP7" s="632" t="s">
        <v>465</v>
      </c>
      <c r="EQ7" s="738" t="s">
        <v>2274</v>
      </c>
      <c r="ER7" s="738" t="s">
        <v>2275</v>
      </c>
      <c r="ES7" s="653" t="s">
        <v>2276</v>
      </c>
      <c r="ET7" s="632" t="s">
        <v>2277</v>
      </c>
      <c r="EU7" s="632" t="s">
        <v>465</v>
      </c>
      <c r="EV7" s="632" t="s">
        <v>465</v>
      </c>
      <c r="EW7" s="632" t="s">
        <v>465</v>
      </c>
      <c r="EX7" s="632" t="s">
        <v>465</v>
      </c>
    </row>
    <row r="8" spans="3:154" customFormat="1" ht="111.95" customHeight="1" x14ac:dyDescent="0.25">
      <c r="C8" s="1156" t="s">
        <v>5478</v>
      </c>
      <c r="D8" s="1156" t="s">
        <v>5277</v>
      </c>
      <c r="E8" s="738" t="s">
        <v>288</v>
      </c>
      <c r="F8" s="738" t="s">
        <v>373</v>
      </c>
      <c r="G8" s="738"/>
      <c r="H8" s="632" t="s">
        <v>2278</v>
      </c>
      <c r="I8" s="632" t="s">
        <v>730</v>
      </c>
      <c r="J8" s="637">
        <v>2020</v>
      </c>
      <c r="K8" s="377">
        <v>43878</v>
      </c>
      <c r="L8" s="377">
        <v>44196</v>
      </c>
      <c r="M8" s="1369">
        <f t="shared" si="0"/>
        <v>318</v>
      </c>
      <c r="N8" s="632" t="s">
        <v>2279</v>
      </c>
      <c r="O8" s="632" t="s">
        <v>2280</v>
      </c>
      <c r="P8" s="632" t="s">
        <v>2281</v>
      </c>
      <c r="Q8" s="632" t="s">
        <v>465</v>
      </c>
      <c r="R8" s="632" t="s">
        <v>465</v>
      </c>
      <c r="S8" s="632" t="s">
        <v>465</v>
      </c>
      <c r="T8" s="632" t="s">
        <v>465</v>
      </c>
      <c r="U8" s="632" t="s">
        <v>465</v>
      </c>
      <c r="V8" s="653" t="s">
        <v>465</v>
      </c>
      <c r="W8" s="653" t="s">
        <v>465</v>
      </c>
      <c r="X8" s="653" t="s">
        <v>465</v>
      </c>
      <c r="Y8" s="653"/>
      <c r="Z8" s="653"/>
      <c r="AA8" s="738" t="s">
        <v>2282</v>
      </c>
      <c r="AB8" s="738" t="s">
        <v>2282</v>
      </c>
      <c r="AC8" s="738" t="s">
        <v>519</v>
      </c>
      <c r="AD8" s="738" t="s">
        <v>2283</v>
      </c>
      <c r="AE8" s="702">
        <v>27.431285989999999</v>
      </c>
      <c r="AF8" s="671">
        <f t="shared" si="1"/>
        <v>27.433599999999998</v>
      </c>
      <c r="AG8" s="671">
        <f t="shared" si="2"/>
        <v>2.3140099999992003E-3</v>
      </c>
      <c r="AH8" s="702">
        <v>0.187</v>
      </c>
      <c r="AI8" s="683">
        <f>AH8*100%/AE8</f>
        <v>6.8170336625184231E-3</v>
      </c>
      <c r="AJ8" s="1166">
        <f>+AH8/27795.6</f>
        <v>6.7276835182546881E-6</v>
      </c>
      <c r="AK8" s="702">
        <v>3.1901999999999999</v>
      </c>
      <c r="AL8" s="683">
        <f>AK8*100%/AE8</f>
        <v>0.11629786518805493</v>
      </c>
      <c r="AM8" s="683"/>
      <c r="AN8" s="702">
        <v>2.2770000000000001</v>
      </c>
      <c r="AO8" s="683">
        <f>AN8*100%/AE8</f>
        <v>8.3007409890665504E-2</v>
      </c>
      <c r="AP8" s="702">
        <v>3.2993999999999999</v>
      </c>
      <c r="AQ8" s="683">
        <f>AP8*100%/AE8</f>
        <v>0.12027872120916194</v>
      </c>
      <c r="AR8" s="702">
        <v>18.48</v>
      </c>
      <c r="AS8" s="683">
        <f>AR8*100%/AE8</f>
        <v>0.67368332664887942</v>
      </c>
      <c r="AT8" s="671" t="s">
        <v>824</v>
      </c>
      <c r="AU8" s="632" t="s">
        <v>2284</v>
      </c>
      <c r="AV8" s="738" t="s">
        <v>2282</v>
      </c>
      <c r="AW8" s="632" t="s">
        <v>500</v>
      </c>
      <c r="AX8" s="632" t="s">
        <v>2285</v>
      </c>
      <c r="AY8" s="632">
        <v>3.5419399999999999</v>
      </c>
      <c r="AZ8" s="683">
        <f>AY8*100%/AE8</f>
        <v>0.1291204503241738</v>
      </c>
      <c r="BA8" s="706">
        <v>6.8</v>
      </c>
      <c r="BB8" s="683">
        <f>+BA8/25217.6</f>
        <v>2.6965294080324851E-4</v>
      </c>
      <c r="BC8" s="710"/>
      <c r="BD8" s="710">
        <v>53</v>
      </c>
      <c r="BE8" s="706">
        <v>26</v>
      </c>
      <c r="BF8" s="710"/>
      <c r="BG8" s="710"/>
      <c r="BH8" s="710">
        <v>1</v>
      </c>
      <c r="BI8" s="710"/>
      <c r="BJ8" s="710"/>
      <c r="BK8" s="710">
        <v>6</v>
      </c>
      <c r="BL8" s="710"/>
      <c r="BM8" s="710"/>
      <c r="BN8" s="710">
        <v>7</v>
      </c>
      <c r="BO8" s="710"/>
      <c r="BP8" s="710">
        <v>10</v>
      </c>
      <c r="BQ8" s="710">
        <v>2</v>
      </c>
      <c r="BR8" s="710"/>
      <c r="BS8" s="710"/>
      <c r="BT8" s="710"/>
      <c r="BU8" s="710"/>
      <c r="BV8" s="710"/>
      <c r="BW8" s="710"/>
      <c r="BX8" s="710"/>
      <c r="BY8" s="710"/>
      <c r="BZ8" s="710"/>
      <c r="CA8" s="717">
        <v>26</v>
      </c>
      <c r="CB8" s="717">
        <f t="shared" si="3"/>
        <v>26</v>
      </c>
      <c r="CC8" s="717">
        <f t="shared" si="4"/>
        <v>0</v>
      </c>
      <c r="CD8" s="671">
        <v>35</v>
      </c>
      <c r="CE8" s="632" t="s">
        <v>2286</v>
      </c>
      <c r="CF8" s="632" t="s">
        <v>465</v>
      </c>
      <c r="CG8" s="683">
        <f>CD8*100%/221</f>
        <v>0.15837104072398189</v>
      </c>
      <c r="CH8" s="710">
        <v>220.56800000000001</v>
      </c>
      <c r="CI8" s="733" t="s">
        <v>2253</v>
      </c>
      <c r="CJ8" s="632" t="s">
        <v>504</v>
      </c>
      <c r="CK8" s="632" t="s">
        <v>465</v>
      </c>
      <c r="CL8" s="632" t="s">
        <v>465</v>
      </c>
      <c r="CM8" s="632" t="s">
        <v>465</v>
      </c>
      <c r="CN8" s="632" t="s">
        <v>465</v>
      </c>
      <c r="CO8" s="632">
        <v>2</v>
      </c>
      <c r="CP8" s="738" t="s">
        <v>500</v>
      </c>
      <c r="CQ8" s="738" t="s">
        <v>935</v>
      </c>
      <c r="CR8" s="632" t="s">
        <v>465</v>
      </c>
      <c r="CS8" s="738" t="s">
        <v>500</v>
      </c>
      <c r="CT8" s="738" t="s">
        <v>935</v>
      </c>
      <c r="CU8" s="632" t="s">
        <v>465</v>
      </c>
      <c r="CV8" s="632" t="s">
        <v>465</v>
      </c>
      <c r="CW8" s="632" t="s">
        <v>465</v>
      </c>
      <c r="CX8" s="632" t="s">
        <v>465</v>
      </c>
      <c r="CY8" s="632" t="s">
        <v>465</v>
      </c>
      <c r="CZ8" s="632" t="s">
        <v>465</v>
      </c>
      <c r="DA8" s="632" t="s">
        <v>465</v>
      </c>
      <c r="DB8" s="632" t="s">
        <v>465</v>
      </c>
      <c r="DC8" s="632" t="s">
        <v>465</v>
      </c>
      <c r="DD8" s="632" t="s">
        <v>465</v>
      </c>
      <c r="DE8" s="632" t="s">
        <v>465</v>
      </c>
      <c r="DF8" s="632" t="s">
        <v>465</v>
      </c>
      <c r="DG8" s="632" t="s">
        <v>465</v>
      </c>
      <c r="DH8" s="632" t="s">
        <v>465</v>
      </c>
      <c r="DI8" s="632" t="s">
        <v>465</v>
      </c>
      <c r="DJ8" s="632" t="s">
        <v>465</v>
      </c>
      <c r="DK8" s="632" t="s">
        <v>465</v>
      </c>
      <c r="DL8" s="632" t="s">
        <v>465</v>
      </c>
      <c r="DM8" s="632" t="s">
        <v>465</v>
      </c>
      <c r="DN8" s="632" t="s">
        <v>465</v>
      </c>
      <c r="DO8" s="632" t="s">
        <v>465</v>
      </c>
      <c r="DP8" s="632" t="s">
        <v>465</v>
      </c>
      <c r="DQ8" s="632" t="s">
        <v>465</v>
      </c>
      <c r="DR8" s="632" t="s">
        <v>465</v>
      </c>
      <c r="DS8" s="632" t="s">
        <v>465</v>
      </c>
      <c r="DT8" s="632" t="s">
        <v>465</v>
      </c>
      <c r="DU8" s="632" t="s">
        <v>465</v>
      </c>
      <c r="DV8" s="632" t="s">
        <v>465</v>
      </c>
      <c r="DW8" s="632" t="s">
        <v>465</v>
      </c>
      <c r="DX8" s="632" t="s">
        <v>465</v>
      </c>
      <c r="DY8" s="632" t="s">
        <v>465</v>
      </c>
      <c r="DZ8" s="632" t="s">
        <v>465</v>
      </c>
      <c r="EA8" s="632" t="s">
        <v>465</v>
      </c>
      <c r="EB8" s="632" t="s">
        <v>465</v>
      </c>
      <c r="EC8" s="632" t="s">
        <v>465</v>
      </c>
      <c r="ED8" s="632" t="s">
        <v>465</v>
      </c>
      <c r="EE8" s="632" t="s">
        <v>465</v>
      </c>
      <c r="EF8" s="632" t="s">
        <v>465</v>
      </c>
      <c r="EG8" s="632" t="s">
        <v>465</v>
      </c>
      <c r="EH8" s="632" t="s">
        <v>465</v>
      </c>
      <c r="EI8" s="632" t="s">
        <v>465</v>
      </c>
      <c r="EJ8" s="632" t="s">
        <v>465</v>
      </c>
      <c r="EK8" s="632" t="s">
        <v>465</v>
      </c>
      <c r="EL8" s="688"/>
      <c r="EM8" s="632" t="s">
        <v>2287</v>
      </c>
      <c r="EN8" s="670">
        <v>10</v>
      </c>
      <c r="EO8" s="632" t="s">
        <v>504</v>
      </c>
      <c r="EP8" s="632" t="s">
        <v>465</v>
      </c>
      <c r="EQ8" s="653" t="s">
        <v>2288</v>
      </c>
      <c r="ER8" s="653" t="s">
        <v>465</v>
      </c>
      <c r="ES8" s="632" t="s">
        <v>465</v>
      </c>
      <c r="ET8" s="632" t="s">
        <v>2289</v>
      </c>
      <c r="EU8" s="632" t="s">
        <v>465</v>
      </c>
      <c r="EV8" s="632" t="s">
        <v>465</v>
      </c>
      <c r="EW8" s="632" t="s">
        <v>465</v>
      </c>
      <c r="EX8" s="632" t="s">
        <v>465</v>
      </c>
    </row>
    <row r="9" spans="3:154" ht="122.1" customHeight="1" x14ac:dyDescent="0.2">
      <c r="C9" s="1156" t="s">
        <v>693</v>
      </c>
      <c r="D9" s="1156" t="s">
        <v>5277</v>
      </c>
      <c r="E9" s="661" t="s">
        <v>289</v>
      </c>
      <c r="F9" s="661" t="s">
        <v>374</v>
      </c>
      <c r="G9" s="661"/>
      <c r="H9" s="1371" t="s">
        <v>457</v>
      </c>
      <c r="I9" s="1371" t="s">
        <v>458</v>
      </c>
      <c r="J9" s="1372">
        <v>2017</v>
      </c>
      <c r="K9" s="1373">
        <v>43617</v>
      </c>
      <c r="L9" s="1373">
        <v>44196</v>
      </c>
      <c r="M9" s="1369">
        <f>L9-K9</f>
        <v>579</v>
      </c>
      <c r="N9" s="1371" t="s">
        <v>461</v>
      </c>
      <c r="O9" s="1371" t="s">
        <v>462</v>
      </c>
      <c r="P9" s="1374" t="s">
        <v>489</v>
      </c>
      <c r="Q9" s="1371" t="s">
        <v>463</v>
      </c>
      <c r="R9" s="1374" t="s">
        <v>464</v>
      </c>
      <c r="S9" s="1371" t="s">
        <v>465</v>
      </c>
      <c r="T9" s="1371" t="s">
        <v>465</v>
      </c>
      <c r="U9" s="1371" t="s">
        <v>465</v>
      </c>
      <c r="V9" s="1371" t="s">
        <v>465</v>
      </c>
      <c r="W9" s="1371" t="s">
        <v>466</v>
      </c>
      <c r="X9" s="1371" t="s">
        <v>467</v>
      </c>
      <c r="Y9" s="1371"/>
      <c r="Z9" s="1371"/>
      <c r="AA9" s="1371" t="s">
        <v>468</v>
      </c>
      <c r="AB9" s="1371" t="s">
        <v>468</v>
      </c>
      <c r="AC9" s="1371" t="s">
        <v>469</v>
      </c>
      <c r="AD9" s="1371" t="s">
        <v>470</v>
      </c>
      <c r="AE9" s="1375">
        <v>335</v>
      </c>
      <c r="AF9" s="671">
        <f t="shared" si="1"/>
        <v>335</v>
      </c>
      <c r="AG9" s="671">
        <f t="shared" si="2"/>
        <v>0</v>
      </c>
      <c r="AH9" s="1375">
        <v>242</v>
      </c>
      <c r="AI9" s="1376">
        <v>0.72299999999999998</v>
      </c>
      <c r="AJ9" s="1376">
        <v>1.8E-3</v>
      </c>
      <c r="AK9" s="1375">
        <v>55.1</v>
      </c>
      <c r="AL9" s="1376">
        <v>0.16400000000000001</v>
      </c>
      <c r="AM9" s="1376"/>
      <c r="AN9" s="1375">
        <v>22.9</v>
      </c>
      <c r="AO9" s="1376">
        <v>6.8000000000000005E-2</v>
      </c>
      <c r="AP9" s="1375">
        <v>15</v>
      </c>
      <c r="AQ9" s="1376">
        <v>4.4999999999999998E-2</v>
      </c>
      <c r="AR9" s="1375"/>
      <c r="AS9" s="1376"/>
      <c r="AT9" s="1371"/>
      <c r="AU9" s="1371"/>
      <c r="AV9" s="1371"/>
      <c r="AW9" s="1371" t="s">
        <v>471</v>
      </c>
      <c r="AX9" s="1371" t="s">
        <v>472</v>
      </c>
      <c r="AY9" s="1371"/>
      <c r="AZ9" s="1376"/>
      <c r="BA9" s="1377">
        <v>300</v>
      </c>
      <c r="BB9" s="1376">
        <v>2.1483000000000001E-3</v>
      </c>
      <c r="BC9" s="1378">
        <v>1265</v>
      </c>
      <c r="BD9" s="1378">
        <v>454</v>
      </c>
      <c r="BE9" s="1379">
        <v>372</v>
      </c>
      <c r="BF9" s="1378">
        <v>27</v>
      </c>
      <c r="BG9" s="1378">
        <v>32</v>
      </c>
      <c r="BH9" s="1378">
        <v>26</v>
      </c>
      <c r="BI9" s="1378"/>
      <c r="BJ9" s="1378"/>
      <c r="BK9" s="1378">
        <v>38</v>
      </c>
      <c r="BL9" s="1378"/>
      <c r="BM9" s="1378">
        <v>58</v>
      </c>
      <c r="BN9" s="1378">
        <v>64</v>
      </c>
      <c r="BO9" s="1378"/>
      <c r="BP9" s="1378">
        <v>82</v>
      </c>
      <c r="BQ9" s="1378">
        <v>13</v>
      </c>
      <c r="BR9" s="1378">
        <v>30</v>
      </c>
      <c r="BS9" s="1378"/>
      <c r="BT9" s="1378"/>
      <c r="BU9" s="1378"/>
      <c r="BV9" s="1378"/>
      <c r="BW9" s="1378"/>
      <c r="BX9" s="1378"/>
      <c r="BY9" s="1378"/>
      <c r="BZ9" s="1378"/>
      <c r="CA9" s="1174">
        <f>SUM(BF9:BZ9)</f>
        <v>370</v>
      </c>
      <c r="CB9" s="717">
        <f t="shared" si="3"/>
        <v>370</v>
      </c>
      <c r="CC9" s="717">
        <f t="shared" si="4"/>
        <v>0</v>
      </c>
      <c r="CD9" s="1380">
        <v>263.06900000000002</v>
      </c>
      <c r="CE9" s="1371" t="s">
        <v>473</v>
      </c>
      <c r="CF9" s="1371" t="s">
        <v>465</v>
      </c>
      <c r="CG9" s="1376">
        <v>0.1135</v>
      </c>
      <c r="CH9" s="1380">
        <v>2317.1529999999998</v>
      </c>
      <c r="CI9" s="1376" t="s">
        <v>474</v>
      </c>
      <c r="CJ9" s="1371" t="s">
        <v>471</v>
      </c>
      <c r="CK9" s="1371" t="s">
        <v>475</v>
      </c>
      <c r="CL9" s="1371" t="s">
        <v>476</v>
      </c>
      <c r="CM9" s="1378">
        <v>7</v>
      </c>
      <c r="CN9" s="1378"/>
      <c r="CO9" s="1378"/>
      <c r="CP9" s="1371" t="s">
        <v>471</v>
      </c>
      <c r="CQ9" s="1371" t="s">
        <v>477</v>
      </c>
      <c r="CR9" s="1378">
        <v>61221</v>
      </c>
      <c r="CS9" s="1371" t="s">
        <v>471</v>
      </c>
      <c r="CT9" s="1371" t="s">
        <v>478</v>
      </c>
      <c r="CU9" s="1378">
        <v>24150</v>
      </c>
      <c r="CV9" s="1378" t="s">
        <v>479</v>
      </c>
      <c r="CW9" s="1378"/>
      <c r="CX9" s="1378"/>
      <c r="CY9" s="1378" t="s">
        <v>479</v>
      </c>
      <c r="CZ9" s="1378" t="s">
        <v>465</v>
      </c>
      <c r="DA9" s="1378" t="s">
        <v>465</v>
      </c>
      <c r="DB9" s="1371" t="s">
        <v>479</v>
      </c>
      <c r="DC9" s="1371" t="s">
        <v>465</v>
      </c>
      <c r="DD9" s="1378" t="s">
        <v>465</v>
      </c>
      <c r="DE9" s="1371" t="s">
        <v>479</v>
      </c>
      <c r="DF9" s="1371" t="s">
        <v>465</v>
      </c>
      <c r="DG9" s="1378" t="s">
        <v>465</v>
      </c>
      <c r="DH9" s="1371" t="s">
        <v>479</v>
      </c>
      <c r="DI9" s="1371" t="s">
        <v>465</v>
      </c>
      <c r="DJ9" s="1378" t="s">
        <v>465</v>
      </c>
      <c r="DK9" s="1371" t="s">
        <v>479</v>
      </c>
      <c r="DL9" s="1371" t="s">
        <v>465</v>
      </c>
      <c r="DM9" s="1378" t="s">
        <v>465</v>
      </c>
      <c r="DN9" s="1371" t="s">
        <v>479</v>
      </c>
      <c r="DO9" s="1371" t="s">
        <v>465</v>
      </c>
      <c r="DP9" s="1378" t="s">
        <v>465</v>
      </c>
      <c r="DQ9" s="1371" t="s">
        <v>471</v>
      </c>
      <c r="DR9" s="1371" t="s">
        <v>478</v>
      </c>
      <c r="DS9" s="1378">
        <v>24150</v>
      </c>
      <c r="DT9" s="1378" t="s">
        <v>479</v>
      </c>
      <c r="DU9" s="1378" t="s">
        <v>465</v>
      </c>
      <c r="DV9" s="1378" t="s">
        <v>465</v>
      </c>
      <c r="DW9" s="1371" t="s">
        <v>479</v>
      </c>
      <c r="DX9" s="1371" t="s">
        <v>465</v>
      </c>
      <c r="DY9" s="1378" t="s">
        <v>465</v>
      </c>
      <c r="DZ9" s="1371" t="s">
        <v>479</v>
      </c>
      <c r="EA9" s="1371" t="s">
        <v>465</v>
      </c>
      <c r="EB9" s="1378" t="s">
        <v>465</v>
      </c>
      <c r="EC9" s="1371" t="s">
        <v>471</v>
      </c>
      <c r="ED9" s="1371" t="s">
        <v>480</v>
      </c>
      <c r="EE9" s="1378">
        <v>13</v>
      </c>
      <c r="EF9" s="1378" t="s">
        <v>479</v>
      </c>
      <c r="EG9" s="1378" t="s">
        <v>465</v>
      </c>
      <c r="EH9" s="1378" t="s">
        <v>465</v>
      </c>
      <c r="EI9" s="1371" t="s">
        <v>479</v>
      </c>
      <c r="EJ9" s="1371" t="s">
        <v>465</v>
      </c>
      <c r="EK9" s="1378" t="s">
        <v>465</v>
      </c>
      <c r="EL9" s="1371" t="s">
        <v>481</v>
      </c>
      <c r="EM9" s="1371" t="s">
        <v>482</v>
      </c>
      <c r="EN9" s="1381">
        <v>454</v>
      </c>
      <c r="EO9" s="1371" t="s">
        <v>471</v>
      </c>
      <c r="EP9" s="1371" t="s">
        <v>483</v>
      </c>
      <c r="EQ9" s="1371" t="s">
        <v>484</v>
      </c>
      <c r="ER9" s="1371" t="s">
        <v>465</v>
      </c>
      <c r="ES9" s="1371" t="s">
        <v>485</v>
      </c>
      <c r="ET9" s="1371" t="s">
        <v>486</v>
      </c>
      <c r="EU9" s="1371" t="s">
        <v>487</v>
      </c>
      <c r="EV9" s="1371" t="s">
        <v>488</v>
      </c>
      <c r="EW9" s="1371">
        <v>27</v>
      </c>
      <c r="EX9" s="1371">
        <v>987</v>
      </c>
    </row>
    <row r="10" spans="3:154" ht="66" customHeight="1" x14ac:dyDescent="0.2">
      <c r="C10" s="1156" t="s">
        <v>693</v>
      </c>
      <c r="D10" s="1156" t="s">
        <v>5277</v>
      </c>
      <c r="E10" s="661" t="s">
        <v>289</v>
      </c>
      <c r="F10" s="661" t="s">
        <v>374</v>
      </c>
      <c r="G10" s="661"/>
      <c r="H10" s="661" t="s">
        <v>490</v>
      </c>
      <c r="I10" s="661" t="s">
        <v>491</v>
      </c>
      <c r="J10" s="1169">
        <v>2020</v>
      </c>
      <c r="K10" s="1095">
        <v>43709</v>
      </c>
      <c r="L10" s="1095">
        <v>44105</v>
      </c>
      <c r="M10" s="1369">
        <f t="shared" ref="M10:M75" si="5">L10-K10</f>
        <v>396</v>
      </c>
      <c r="N10" s="661" t="s">
        <v>492</v>
      </c>
      <c r="O10" s="661" t="s">
        <v>493</v>
      </c>
      <c r="P10" s="661" t="s">
        <v>494</v>
      </c>
      <c r="Q10" s="661" t="s">
        <v>495</v>
      </c>
      <c r="R10" s="1170" t="s">
        <v>464</v>
      </c>
      <c r="S10" s="661" t="s">
        <v>465</v>
      </c>
      <c r="T10" s="661" t="s">
        <v>465</v>
      </c>
      <c r="U10" s="661" t="s">
        <v>465</v>
      </c>
      <c r="V10" s="661" t="s">
        <v>465</v>
      </c>
      <c r="W10" s="661" t="s">
        <v>496</v>
      </c>
      <c r="X10" s="661" t="s">
        <v>494</v>
      </c>
      <c r="Y10" s="661"/>
      <c r="Z10" s="661"/>
      <c r="AA10" s="661" t="s">
        <v>497</v>
      </c>
      <c r="AB10" s="661" t="s">
        <v>497</v>
      </c>
      <c r="AC10" s="661" t="s">
        <v>498</v>
      </c>
      <c r="AD10" s="661" t="s">
        <v>499</v>
      </c>
      <c r="AE10" s="676">
        <v>5.6879999999999997</v>
      </c>
      <c r="AF10" s="671">
        <f t="shared" si="1"/>
        <v>5.6894</v>
      </c>
      <c r="AG10" s="671">
        <f t="shared" si="2"/>
        <v>1.4000000000002899E-3</v>
      </c>
      <c r="AH10" s="676">
        <v>5.476</v>
      </c>
      <c r="AI10" s="1171">
        <f>AH10/AE10</f>
        <v>0.96272855133614632</v>
      </c>
      <c r="AJ10" s="1171">
        <v>4.0000000000000003E-5</v>
      </c>
      <c r="AK10" s="676">
        <v>0.03</v>
      </c>
      <c r="AL10" s="1171">
        <f>AK10/AE10</f>
        <v>5.2742616033755272E-3</v>
      </c>
      <c r="AM10" s="1171"/>
      <c r="AN10" s="676">
        <v>3.5999999999999997E-2</v>
      </c>
      <c r="AO10" s="1171">
        <f>AN10/AE10</f>
        <v>6.3291139240506328E-3</v>
      </c>
      <c r="AP10" s="676">
        <v>0.1474</v>
      </c>
      <c r="AQ10" s="1171">
        <f>AP10/AE10</f>
        <v>2.5914205344585092E-2</v>
      </c>
      <c r="AR10" s="676"/>
      <c r="AS10" s="1171"/>
      <c r="AT10" s="661"/>
      <c r="AU10" s="661"/>
      <c r="AV10" s="661"/>
      <c r="AW10" s="661" t="s">
        <v>500</v>
      </c>
      <c r="AX10" s="661" t="s">
        <v>501</v>
      </c>
      <c r="AY10" s="661"/>
      <c r="AZ10" s="1171"/>
      <c r="BA10" s="1172">
        <v>0.24828617</v>
      </c>
      <c r="BB10" s="1171">
        <f>BA10/AE10</f>
        <v>4.365087376933896E-2</v>
      </c>
      <c r="BC10" s="1172">
        <v>20</v>
      </c>
      <c r="BD10" s="1173"/>
      <c r="BE10" s="1173">
        <v>66</v>
      </c>
      <c r="BF10" s="735">
        <v>26</v>
      </c>
      <c r="BG10" s="735">
        <v>17</v>
      </c>
      <c r="BH10" s="735"/>
      <c r="BI10" s="735"/>
      <c r="BJ10" s="735"/>
      <c r="BK10" s="735"/>
      <c r="BL10" s="735"/>
      <c r="BM10" s="735"/>
      <c r="BN10" s="735"/>
      <c r="BO10" s="735"/>
      <c r="BP10" s="735"/>
      <c r="BQ10" s="735"/>
      <c r="BR10" s="735"/>
      <c r="BS10" s="735"/>
      <c r="BT10" s="735"/>
      <c r="BU10" s="735"/>
      <c r="BV10" s="735"/>
      <c r="BW10" s="735"/>
      <c r="BX10" s="735"/>
      <c r="BY10" s="735">
        <v>17</v>
      </c>
      <c r="BZ10" s="735"/>
      <c r="CA10" s="1174">
        <f>SUM(BF10:BZ10)</f>
        <v>60</v>
      </c>
      <c r="CB10" s="717">
        <f t="shared" si="3"/>
        <v>60</v>
      </c>
      <c r="CC10" s="717">
        <f t="shared" si="4"/>
        <v>0</v>
      </c>
      <c r="CD10" s="1172">
        <v>8.92</v>
      </c>
      <c r="CE10" s="735" t="s">
        <v>502</v>
      </c>
      <c r="CF10" s="661" t="s">
        <v>465</v>
      </c>
      <c r="CG10" s="1171">
        <f>CD10/CH10</f>
        <v>3.8495515833438711E-3</v>
      </c>
      <c r="CH10" s="1172">
        <v>2317.1529999999998</v>
      </c>
      <c r="CI10" s="1175" t="s">
        <v>503</v>
      </c>
      <c r="CJ10" s="661" t="s">
        <v>504</v>
      </c>
      <c r="CK10" s="661" t="s">
        <v>465</v>
      </c>
      <c r="CL10" s="661" t="s">
        <v>465</v>
      </c>
      <c r="CM10" s="735" t="s">
        <v>465</v>
      </c>
      <c r="CN10" s="735" t="s">
        <v>465</v>
      </c>
      <c r="CO10" s="735">
        <v>6</v>
      </c>
      <c r="CP10" s="661" t="s">
        <v>504</v>
      </c>
      <c r="CQ10" s="661" t="s">
        <v>465</v>
      </c>
      <c r="CR10" s="735" t="s">
        <v>465</v>
      </c>
      <c r="CS10" s="661" t="s">
        <v>504</v>
      </c>
      <c r="CT10" s="661" t="s">
        <v>465</v>
      </c>
      <c r="CU10" s="661" t="s">
        <v>465</v>
      </c>
      <c r="CV10" s="735" t="s">
        <v>504</v>
      </c>
      <c r="CW10" s="735" t="s">
        <v>465</v>
      </c>
      <c r="CX10" s="735" t="s">
        <v>465</v>
      </c>
      <c r="CY10" s="735" t="s">
        <v>504</v>
      </c>
      <c r="CZ10" s="735" t="s">
        <v>465</v>
      </c>
      <c r="DA10" s="735" t="s">
        <v>465</v>
      </c>
      <c r="DB10" s="661" t="s">
        <v>504</v>
      </c>
      <c r="DC10" s="661" t="s">
        <v>465</v>
      </c>
      <c r="DD10" s="735" t="s">
        <v>465</v>
      </c>
      <c r="DE10" s="661" t="s">
        <v>504</v>
      </c>
      <c r="DF10" s="661" t="s">
        <v>465</v>
      </c>
      <c r="DG10" s="735" t="s">
        <v>465</v>
      </c>
      <c r="DH10" s="661" t="s">
        <v>504</v>
      </c>
      <c r="DI10" s="661" t="s">
        <v>465</v>
      </c>
      <c r="DJ10" s="735" t="s">
        <v>465</v>
      </c>
      <c r="DK10" s="661" t="s">
        <v>500</v>
      </c>
      <c r="DL10" s="661" t="s">
        <v>505</v>
      </c>
      <c r="DM10" s="735">
        <v>1748</v>
      </c>
      <c r="DN10" s="661" t="s">
        <v>504</v>
      </c>
      <c r="DO10" s="661" t="s">
        <v>465</v>
      </c>
      <c r="DP10" s="735" t="s">
        <v>465</v>
      </c>
      <c r="DQ10" s="661" t="s">
        <v>504</v>
      </c>
      <c r="DR10" s="661" t="s">
        <v>465</v>
      </c>
      <c r="DS10" s="735" t="s">
        <v>465</v>
      </c>
      <c r="DT10" s="735" t="s">
        <v>504</v>
      </c>
      <c r="DU10" s="735" t="s">
        <v>465</v>
      </c>
      <c r="DV10" s="735" t="s">
        <v>465</v>
      </c>
      <c r="DW10" s="661" t="s">
        <v>504</v>
      </c>
      <c r="DX10" s="661" t="s">
        <v>465</v>
      </c>
      <c r="DY10" s="735" t="s">
        <v>465</v>
      </c>
      <c r="DZ10" s="661" t="s">
        <v>504</v>
      </c>
      <c r="EA10" s="661" t="s">
        <v>465</v>
      </c>
      <c r="EB10" s="735" t="s">
        <v>465</v>
      </c>
      <c r="EC10" s="661" t="s">
        <v>504</v>
      </c>
      <c r="ED10" s="661" t="s">
        <v>465</v>
      </c>
      <c r="EE10" s="735" t="s">
        <v>465</v>
      </c>
      <c r="EF10" s="735" t="s">
        <v>504</v>
      </c>
      <c r="EG10" s="735" t="s">
        <v>465</v>
      </c>
      <c r="EH10" s="735" t="s">
        <v>465</v>
      </c>
      <c r="EI10" s="661" t="s">
        <v>500</v>
      </c>
      <c r="EJ10" s="661" t="s">
        <v>506</v>
      </c>
      <c r="EK10" s="735">
        <v>1476</v>
      </c>
      <c r="EL10" s="742">
        <v>1</v>
      </c>
      <c r="EM10" s="661" t="s">
        <v>465</v>
      </c>
      <c r="EN10" s="735">
        <v>25</v>
      </c>
      <c r="EO10" s="661" t="s">
        <v>504</v>
      </c>
      <c r="EP10" s="661" t="s">
        <v>465</v>
      </c>
      <c r="EQ10" s="1176" t="s">
        <v>465</v>
      </c>
      <c r="ER10" s="661" t="s">
        <v>507</v>
      </c>
      <c r="ES10" s="661" t="s">
        <v>508</v>
      </c>
      <c r="ET10" s="661" t="s">
        <v>509</v>
      </c>
      <c r="EU10" s="661" t="s">
        <v>510</v>
      </c>
      <c r="EV10" s="661" t="s">
        <v>511</v>
      </c>
      <c r="EW10" s="661">
        <v>8</v>
      </c>
      <c r="EX10" s="661">
        <v>1525</v>
      </c>
    </row>
    <row r="11" spans="3:154" ht="123" customHeight="1" x14ac:dyDescent="0.2">
      <c r="C11" s="1156" t="s">
        <v>693</v>
      </c>
      <c r="D11" s="1156" t="s">
        <v>5277</v>
      </c>
      <c r="E11" s="738" t="s">
        <v>290</v>
      </c>
      <c r="F11" s="738" t="s">
        <v>375</v>
      </c>
      <c r="G11" s="738"/>
      <c r="H11" s="738" t="s">
        <v>512</v>
      </c>
      <c r="I11" s="738" t="s">
        <v>513</v>
      </c>
      <c r="J11" s="1165">
        <v>2018</v>
      </c>
      <c r="K11" s="1096">
        <v>43617</v>
      </c>
      <c r="L11" s="1096">
        <v>43830</v>
      </c>
      <c r="M11" s="1369">
        <f t="shared" si="5"/>
        <v>213</v>
      </c>
      <c r="N11" s="738" t="s">
        <v>514</v>
      </c>
      <c r="O11" s="738" t="s">
        <v>515</v>
      </c>
      <c r="P11" s="632" t="s">
        <v>516</v>
      </c>
      <c r="Q11" s="738"/>
      <c r="R11" s="632"/>
      <c r="S11" s="632"/>
      <c r="T11" s="632"/>
      <c r="U11" s="632"/>
      <c r="V11" s="632"/>
      <c r="W11" s="632" t="s">
        <v>517</v>
      </c>
      <c r="X11" s="632" t="s">
        <v>516</v>
      </c>
      <c r="Y11" s="632"/>
      <c r="Z11" s="632"/>
      <c r="AA11" s="738" t="s">
        <v>518</v>
      </c>
      <c r="AB11" s="738" t="s">
        <v>518</v>
      </c>
      <c r="AC11" s="738" t="s">
        <v>519</v>
      </c>
      <c r="AD11" s="738" t="s">
        <v>520</v>
      </c>
      <c r="AE11" s="702">
        <v>178.715</v>
      </c>
      <c r="AF11" s="671">
        <f t="shared" si="1"/>
        <v>178.71540000000002</v>
      </c>
      <c r="AG11" s="671">
        <f t="shared" si="2"/>
        <v>4.0000000001327862E-4</v>
      </c>
      <c r="AH11" s="702">
        <v>144.68199999999999</v>
      </c>
      <c r="AI11" s="683">
        <v>0.78359999999999996</v>
      </c>
      <c r="AJ11" s="683">
        <v>1.57E-3</v>
      </c>
      <c r="AK11" s="702">
        <v>26.277000000000001</v>
      </c>
      <c r="AL11" s="683">
        <v>0.1424</v>
      </c>
      <c r="AM11" s="683"/>
      <c r="AN11" s="702">
        <v>3.6930000000000001</v>
      </c>
      <c r="AO11" s="683">
        <v>0.02</v>
      </c>
      <c r="AP11" s="702">
        <v>4.0633999999999997</v>
      </c>
      <c r="AQ11" s="683">
        <v>2.1999999999999999E-2</v>
      </c>
      <c r="AR11" s="702"/>
      <c r="AS11" s="683"/>
      <c r="AT11" s="632"/>
      <c r="AU11" s="632"/>
      <c r="AV11" s="632"/>
      <c r="AW11" s="632" t="s">
        <v>471</v>
      </c>
      <c r="AX11" s="632" t="s">
        <v>521</v>
      </c>
      <c r="AY11" s="632">
        <v>5.9080000000000004</v>
      </c>
      <c r="AZ11" s="683">
        <v>3.2000000000000001E-2</v>
      </c>
      <c r="BA11" s="632">
        <v>371.2</v>
      </c>
      <c r="BB11" s="683">
        <v>3.98E-3</v>
      </c>
      <c r="BC11" s="710">
        <v>184</v>
      </c>
      <c r="BD11" s="710">
        <v>172</v>
      </c>
      <c r="BE11" s="706">
        <v>172</v>
      </c>
      <c r="BF11" s="710">
        <v>3</v>
      </c>
      <c r="BG11" s="710"/>
      <c r="BH11" s="710">
        <v>18</v>
      </c>
      <c r="BI11" s="710"/>
      <c r="BJ11" s="710"/>
      <c r="BK11" s="710"/>
      <c r="BL11" s="710"/>
      <c r="BM11" s="710">
        <v>48</v>
      </c>
      <c r="BN11" s="710">
        <v>22</v>
      </c>
      <c r="BO11" s="710"/>
      <c r="BP11" s="710">
        <v>18</v>
      </c>
      <c r="BQ11" s="710">
        <v>52</v>
      </c>
      <c r="BR11" s="710">
        <v>11</v>
      </c>
      <c r="BS11" s="710"/>
      <c r="BT11" s="710"/>
      <c r="BU11" s="710"/>
      <c r="BV11" s="710"/>
      <c r="BW11" s="710"/>
      <c r="BX11" s="710"/>
      <c r="BY11" s="710"/>
      <c r="BZ11" s="710"/>
      <c r="CA11" s="717">
        <f>SUM(BF11:BZ11)</f>
        <v>172</v>
      </c>
      <c r="CB11" s="717">
        <f t="shared" si="3"/>
        <v>172</v>
      </c>
      <c r="CC11" s="717">
        <f t="shared" si="4"/>
        <v>0</v>
      </c>
      <c r="CD11" s="671">
        <v>161.34</v>
      </c>
      <c r="CE11" s="632" t="s">
        <v>522</v>
      </c>
      <c r="CF11" s="653" t="s">
        <v>523</v>
      </c>
      <c r="CG11" s="683">
        <v>0.20419999999999999</v>
      </c>
      <c r="CH11" s="671">
        <v>790.04399999999998</v>
      </c>
      <c r="CI11" s="653" t="s">
        <v>523</v>
      </c>
      <c r="CJ11" s="632" t="s">
        <v>471</v>
      </c>
      <c r="CK11" s="632" t="s">
        <v>524</v>
      </c>
      <c r="CL11" s="632" t="s">
        <v>525</v>
      </c>
      <c r="CM11" s="710">
        <v>2</v>
      </c>
      <c r="CN11" s="710">
        <v>0</v>
      </c>
      <c r="CO11" s="710"/>
      <c r="CP11" s="632" t="s">
        <v>479</v>
      </c>
      <c r="CQ11" s="632"/>
      <c r="CR11" s="710"/>
      <c r="CS11" s="632" t="s">
        <v>471</v>
      </c>
      <c r="CT11" s="632" t="s">
        <v>526</v>
      </c>
      <c r="CU11" s="710">
        <v>15722</v>
      </c>
      <c r="CV11" s="710"/>
      <c r="CW11" s="710"/>
      <c r="CX11" s="710"/>
      <c r="CY11" s="710"/>
      <c r="CZ11" s="710"/>
      <c r="DA11" s="710"/>
      <c r="DB11" s="632"/>
      <c r="DC11" s="632"/>
      <c r="DD11" s="710"/>
      <c r="DE11" s="632"/>
      <c r="DF11" s="632"/>
      <c r="DG11" s="710"/>
      <c r="DH11" s="632"/>
      <c r="DI11" s="632"/>
      <c r="DJ11" s="710"/>
      <c r="DK11" s="632"/>
      <c r="DL11" s="632"/>
      <c r="DM11" s="710"/>
      <c r="DN11" s="632"/>
      <c r="DO11" s="632"/>
      <c r="DP11" s="710"/>
      <c r="DQ11" s="632" t="s">
        <v>471</v>
      </c>
      <c r="DR11" s="632" t="s">
        <v>526</v>
      </c>
      <c r="DS11" s="710">
        <v>12845</v>
      </c>
      <c r="DT11" s="710"/>
      <c r="DU11" s="710"/>
      <c r="DV11" s="710"/>
      <c r="DW11" s="632"/>
      <c r="DX11" s="632"/>
      <c r="DY11" s="710"/>
      <c r="DZ11" s="632"/>
      <c r="EA11" s="632"/>
      <c r="EB11" s="710"/>
      <c r="EC11" s="632"/>
      <c r="ED11" s="632"/>
      <c r="EE11" s="710"/>
      <c r="EF11" s="710"/>
      <c r="EG11" s="710"/>
      <c r="EH11" s="710"/>
      <c r="EI11" s="632"/>
      <c r="EJ11" s="632"/>
      <c r="EK11" s="710"/>
      <c r="EL11" s="632" t="s">
        <v>479</v>
      </c>
      <c r="EM11" s="632" t="s">
        <v>527</v>
      </c>
      <c r="EN11" s="670">
        <v>160</v>
      </c>
      <c r="EO11" s="632" t="s">
        <v>479</v>
      </c>
      <c r="EP11" s="632"/>
      <c r="EQ11" s="632"/>
      <c r="ER11" s="632"/>
      <c r="ES11" s="632"/>
      <c r="ET11" s="632"/>
      <c r="EU11" s="632"/>
      <c r="EV11" s="632" t="s">
        <v>479</v>
      </c>
      <c r="EW11" s="632"/>
      <c r="EX11" s="632"/>
    </row>
    <row r="12" spans="3:154" ht="26.1" customHeight="1" x14ac:dyDescent="0.2">
      <c r="C12" s="1156"/>
      <c r="D12" s="1156"/>
      <c r="E12" s="1454" t="s">
        <v>291</v>
      </c>
      <c r="F12" s="1454" t="s">
        <v>376</v>
      </c>
      <c r="G12" s="1454"/>
      <c r="H12" s="1455" t="s">
        <v>5493</v>
      </c>
      <c r="I12" s="1455" t="s">
        <v>5494</v>
      </c>
      <c r="J12" s="1455">
        <v>1998</v>
      </c>
      <c r="K12" s="1455" t="s">
        <v>5495</v>
      </c>
      <c r="L12" s="1455" t="s">
        <v>5496</v>
      </c>
      <c r="M12" s="1370" t="s">
        <v>5497</v>
      </c>
      <c r="N12" s="1455" t="s">
        <v>5498</v>
      </c>
      <c r="O12" s="1456" t="s">
        <v>5499</v>
      </c>
      <c r="P12" s="1455"/>
      <c r="Q12" s="1455"/>
      <c r="R12" s="1455"/>
      <c r="S12" s="1455"/>
      <c r="T12" s="1455"/>
      <c r="U12" s="1455"/>
      <c r="V12" s="1455" t="s">
        <v>5500</v>
      </c>
      <c r="W12" s="1455" t="s">
        <v>5501</v>
      </c>
      <c r="X12" s="1456" t="s">
        <v>5502</v>
      </c>
      <c r="Y12" s="1456"/>
      <c r="Z12" s="1456"/>
      <c r="AA12" s="1455" t="s">
        <v>5503</v>
      </c>
      <c r="AB12" s="1455" t="s">
        <v>5504</v>
      </c>
      <c r="AC12" s="1455" t="s">
        <v>622</v>
      </c>
      <c r="AD12" s="1455" t="s">
        <v>5505</v>
      </c>
      <c r="AE12" s="1455" t="s">
        <v>5515</v>
      </c>
      <c r="AF12" s="1455"/>
      <c r="AG12" s="1455"/>
      <c r="AH12" s="1455">
        <v>25.619</v>
      </c>
      <c r="AI12" s="1455">
        <v>0.46679999999999999</v>
      </c>
      <c r="AJ12" s="1455">
        <f>AH12/112788.309</f>
        <v>2.2714233617954145E-4</v>
      </c>
      <c r="AK12" s="1455">
        <v>15.632999999999999</v>
      </c>
      <c r="AL12" s="1455">
        <v>0.2848</v>
      </c>
      <c r="AM12" s="1455"/>
      <c r="AN12" s="1455" t="s">
        <v>5516</v>
      </c>
      <c r="AO12" s="1455">
        <v>0.24829999999999999</v>
      </c>
      <c r="AP12" s="1455"/>
      <c r="AQ12" s="1455"/>
      <c r="AR12" s="1455"/>
      <c r="AS12" s="1455"/>
      <c r="AT12" s="1455"/>
      <c r="AU12" s="1455"/>
      <c r="AV12" s="1455"/>
      <c r="AW12" s="1455" t="s">
        <v>500</v>
      </c>
      <c r="AX12" s="1455" t="s">
        <v>5506</v>
      </c>
      <c r="AY12" s="1455"/>
      <c r="AZ12" s="1455"/>
      <c r="BA12" s="1455" t="s">
        <v>5517</v>
      </c>
      <c r="BB12" s="1455">
        <v>2.0000000000000001E-4</v>
      </c>
      <c r="BC12" s="1455">
        <v>493</v>
      </c>
      <c r="BD12" s="1455">
        <v>493</v>
      </c>
      <c r="BE12" s="1455">
        <v>363</v>
      </c>
      <c r="BF12" s="1455">
        <v>27</v>
      </c>
      <c r="BG12" s="1455"/>
      <c r="BH12" s="1455"/>
      <c r="BI12" s="1455">
        <v>17</v>
      </c>
      <c r="BJ12" s="1455"/>
      <c r="BK12" s="1455">
        <v>10</v>
      </c>
      <c r="BL12" s="1455"/>
      <c r="BM12" s="1455">
        <v>56</v>
      </c>
      <c r="BN12" s="1455">
        <v>28</v>
      </c>
      <c r="BO12" s="1455"/>
      <c r="BP12" s="1455">
        <v>47</v>
      </c>
      <c r="BQ12" s="1455">
        <v>82</v>
      </c>
      <c r="BR12" s="1455"/>
      <c r="BS12" s="1455">
        <v>7</v>
      </c>
      <c r="BT12" s="1455"/>
      <c r="BU12" s="1455"/>
      <c r="BV12" s="1455">
        <v>15</v>
      </c>
      <c r="BW12" s="1455"/>
      <c r="BX12" s="1455">
        <v>23</v>
      </c>
      <c r="BY12" s="1455"/>
      <c r="BZ12" s="1455">
        <v>51</v>
      </c>
      <c r="CA12" s="1457"/>
      <c r="CB12" s="1458"/>
      <c r="CC12" s="1458"/>
      <c r="CD12" s="1455" t="s">
        <v>5507</v>
      </c>
      <c r="CE12" s="1455" t="s">
        <v>5508</v>
      </c>
      <c r="CF12" s="1455"/>
      <c r="CG12" s="1455"/>
      <c r="CH12" s="1455"/>
      <c r="CI12" s="1455"/>
      <c r="CJ12" s="1455"/>
      <c r="CK12" s="1455"/>
      <c r="CL12" s="1455"/>
      <c r="CM12" s="1455"/>
      <c r="CN12" s="1455"/>
      <c r="CO12" s="1455">
        <v>4</v>
      </c>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t="s">
        <v>471</v>
      </c>
      <c r="DL12" s="1455" t="s">
        <v>5509</v>
      </c>
      <c r="DM12" s="1455">
        <v>493</v>
      </c>
      <c r="DN12" s="1455" t="s">
        <v>504</v>
      </c>
      <c r="DO12" s="1455"/>
      <c r="DP12" s="1455"/>
      <c r="DQ12" s="1455" t="s">
        <v>504</v>
      </c>
      <c r="DR12" s="1455"/>
      <c r="DS12" s="1455"/>
      <c r="DT12" s="1455" t="s">
        <v>504</v>
      </c>
      <c r="DU12" s="1455"/>
      <c r="DV12" s="1455"/>
      <c r="DW12" s="1455" t="s">
        <v>504</v>
      </c>
      <c r="DX12" s="1455"/>
      <c r="DY12" s="1455"/>
      <c r="DZ12" s="1455" t="s">
        <v>504</v>
      </c>
      <c r="EA12" s="1455"/>
      <c r="EB12" s="1455"/>
      <c r="EC12" s="1455" t="s">
        <v>504</v>
      </c>
      <c r="ED12" s="1455"/>
      <c r="EE12" s="1455"/>
      <c r="EF12" s="1455" t="s">
        <v>500</v>
      </c>
      <c r="EG12" s="1455"/>
      <c r="EH12" s="1455"/>
      <c r="EI12" s="1455" t="s">
        <v>500</v>
      </c>
      <c r="EJ12" s="1455"/>
      <c r="EK12" s="1455"/>
      <c r="EL12" s="1455" t="s">
        <v>5510</v>
      </c>
      <c r="EM12" s="1455"/>
      <c r="EN12" s="1455">
        <v>24</v>
      </c>
      <c r="EO12" s="1455" t="s">
        <v>504</v>
      </c>
      <c r="EP12" s="1455"/>
      <c r="EQ12" s="1455" t="s">
        <v>5511</v>
      </c>
      <c r="ER12" s="1459" t="s">
        <v>5512</v>
      </c>
      <c r="ES12" s="1455"/>
      <c r="ET12" s="1455" t="s">
        <v>5513</v>
      </c>
      <c r="EU12" s="1455"/>
      <c r="EV12" s="1455" t="s">
        <v>5514</v>
      </c>
      <c r="EW12" s="1455">
        <v>4</v>
      </c>
      <c r="EX12" s="1455">
        <v>200</v>
      </c>
    </row>
    <row r="13" spans="3:154" ht="93" customHeight="1" x14ac:dyDescent="0.2">
      <c r="C13" s="1156" t="s">
        <v>693</v>
      </c>
      <c r="D13" s="1156" t="s">
        <v>5278</v>
      </c>
      <c r="E13" s="1104" t="s">
        <v>291</v>
      </c>
      <c r="F13" s="1104" t="s">
        <v>376</v>
      </c>
      <c r="G13" s="1104" t="s">
        <v>2640</v>
      </c>
      <c r="H13" s="1104" t="s">
        <v>2641</v>
      </c>
      <c r="I13" s="1104" t="s">
        <v>2642</v>
      </c>
      <c r="J13" s="1104">
        <v>2019</v>
      </c>
      <c r="K13" s="1104">
        <v>43570</v>
      </c>
      <c r="L13" s="1104">
        <v>44193</v>
      </c>
      <c r="M13" s="1369">
        <f t="shared" si="5"/>
        <v>623</v>
      </c>
      <c r="N13" s="1104"/>
      <c r="O13" s="1104"/>
      <c r="P13" s="1104"/>
      <c r="Q13" s="1104"/>
      <c r="R13" s="1104"/>
      <c r="S13" s="1104"/>
      <c r="T13" s="1104"/>
      <c r="U13" s="1104"/>
      <c r="V13" s="1104"/>
      <c r="W13" s="1104"/>
      <c r="X13" s="1104"/>
      <c r="Y13" s="1104" t="s">
        <v>2643</v>
      </c>
      <c r="Z13" s="1104" t="s">
        <v>2644</v>
      </c>
      <c r="AA13" s="1104" t="s">
        <v>2645</v>
      </c>
      <c r="AB13" s="1104" t="s">
        <v>2646</v>
      </c>
      <c r="AC13" s="1104" t="s">
        <v>2647</v>
      </c>
      <c r="AD13" s="1104" t="s">
        <v>2648</v>
      </c>
      <c r="AE13" s="1178">
        <v>8.6999999999999993</v>
      </c>
      <c r="AF13" s="1113">
        <f t="shared" si="1"/>
        <v>8.6999999999999993</v>
      </c>
      <c r="AG13" s="1113">
        <f t="shared" si="2"/>
        <v>0</v>
      </c>
      <c r="AH13" s="1178"/>
      <c r="AI13" s="1104"/>
      <c r="AJ13" s="1104"/>
      <c r="AK13" s="1178">
        <v>8.6999999999999993</v>
      </c>
      <c r="AL13" s="1104">
        <v>1</v>
      </c>
      <c r="AM13" s="1179">
        <v>6.9999999999999999E-4</v>
      </c>
      <c r="AN13" s="1178"/>
      <c r="AO13" s="1104"/>
      <c r="AP13" s="1178"/>
      <c r="AQ13" s="1104"/>
      <c r="AR13" s="1178"/>
      <c r="AS13" s="1104"/>
      <c r="AT13" s="1104"/>
      <c r="AU13" s="1104"/>
      <c r="AV13" s="1104"/>
      <c r="AW13" s="1104" t="s">
        <v>504</v>
      </c>
      <c r="AX13" s="1104"/>
      <c r="AY13" s="1104"/>
      <c r="AZ13" s="1104"/>
      <c r="BA13" s="1104">
        <v>4.4000000000000004</v>
      </c>
      <c r="BB13" s="1104">
        <v>4.0000000000000002E-4</v>
      </c>
      <c r="BC13" s="1104">
        <f>113+68</f>
        <v>181</v>
      </c>
      <c r="BD13" s="1104">
        <f>20+22</f>
        <v>42</v>
      </c>
      <c r="BE13" s="1180">
        <f>4+3</f>
        <v>7</v>
      </c>
      <c r="BF13" s="1104"/>
      <c r="BG13" s="1104"/>
      <c r="BH13" s="1104"/>
      <c r="BI13" s="1104"/>
      <c r="BJ13" s="1104"/>
      <c r="BK13" s="1104"/>
      <c r="BL13" s="1104">
        <v>4</v>
      </c>
      <c r="BM13" s="1104"/>
      <c r="BN13" s="1104"/>
      <c r="BO13" s="1104"/>
      <c r="BP13" s="1104"/>
      <c r="BQ13" s="1104"/>
      <c r="BR13" s="1104"/>
      <c r="BS13" s="1104"/>
      <c r="BT13" s="1104"/>
      <c r="BU13" s="1104"/>
      <c r="BV13" s="1104"/>
      <c r="BW13" s="1104"/>
      <c r="BX13" s="1104"/>
      <c r="BY13" s="1104">
        <v>3</v>
      </c>
      <c r="BZ13" s="1104"/>
      <c r="CA13" s="1104">
        <f>SUM(BF13:BZ13)</f>
        <v>7</v>
      </c>
      <c r="CB13" s="1117">
        <f t="shared" si="3"/>
        <v>7</v>
      </c>
      <c r="CC13" s="1117">
        <f t="shared" si="4"/>
        <v>0</v>
      </c>
      <c r="CD13" s="1104">
        <v>354.1</v>
      </c>
      <c r="CE13" s="1104" t="s">
        <v>2649</v>
      </c>
      <c r="CF13" s="1104"/>
      <c r="CG13" s="1104">
        <v>100</v>
      </c>
      <c r="CH13" s="1104">
        <v>354.1</v>
      </c>
      <c r="CI13" s="1104" t="s">
        <v>2650</v>
      </c>
      <c r="CJ13" s="1104" t="s">
        <v>471</v>
      </c>
      <c r="CK13" s="1104" t="s">
        <v>2651</v>
      </c>
      <c r="CL13" s="1104" t="s">
        <v>2652</v>
      </c>
      <c r="CM13" s="1104">
        <v>6</v>
      </c>
      <c r="CN13" s="1104"/>
      <c r="CO13" s="1104"/>
      <c r="CP13" s="1104" t="s">
        <v>504</v>
      </c>
      <c r="CQ13" s="1104"/>
      <c r="CR13" s="1104"/>
      <c r="CS13" s="1104" t="s">
        <v>504</v>
      </c>
      <c r="CT13" s="1104"/>
      <c r="CU13" s="1104"/>
      <c r="CV13" s="1104" t="s">
        <v>504</v>
      </c>
      <c r="CW13" s="1104"/>
      <c r="CX13" s="1104"/>
      <c r="CY13" s="1104" t="s">
        <v>504</v>
      </c>
      <c r="CZ13" s="1104"/>
      <c r="DA13" s="1104"/>
      <c r="DB13" s="1104" t="s">
        <v>504</v>
      </c>
      <c r="DC13" s="1104"/>
      <c r="DD13" s="1104"/>
      <c r="DE13" s="1104" t="s">
        <v>500</v>
      </c>
      <c r="DF13" s="1104" t="s">
        <v>2653</v>
      </c>
      <c r="DG13" s="1104">
        <v>100</v>
      </c>
      <c r="DH13" s="1104" t="s">
        <v>504</v>
      </c>
      <c r="DI13" s="1104"/>
      <c r="DJ13" s="1104"/>
      <c r="DK13" s="1104" t="s">
        <v>500</v>
      </c>
      <c r="DL13" s="1104" t="s">
        <v>2654</v>
      </c>
      <c r="DM13" s="1104">
        <v>68</v>
      </c>
      <c r="DN13" s="1104" t="s">
        <v>500</v>
      </c>
      <c r="DO13" s="1104" t="s">
        <v>2655</v>
      </c>
      <c r="DP13" s="1104">
        <v>35531</v>
      </c>
      <c r="DQ13" s="1104"/>
      <c r="DR13" s="1104"/>
      <c r="DS13" s="1104"/>
      <c r="DT13" s="1104" t="s">
        <v>504</v>
      </c>
      <c r="DU13" s="1104"/>
      <c r="DV13" s="1104"/>
      <c r="DW13" s="1104" t="s">
        <v>504</v>
      </c>
      <c r="DX13" s="1104"/>
      <c r="DY13" s="1104"/>
      <c r="DZ13" s="1104" t="s">
        <v>504</v>
      </c>
      <c r="EA13" s="1104"/>
      <c r="EB13" s="1104"/>
      <c r="EC13" s="1104" t="s">
        <v>504</v>
      </c>
      <c r="ED13" s="1104"/>
      <c r="EE13" s="1104"/>
      <c r="EF13" s="1104" t="s">
        <v>504</v>
      </c>
      <c r="EG13" s="1104"/>
      <c r="EH13" s="1104"/>
      <c r="EI13" s="1104"/>
      <c r="EJ13" s="1104"/>
      <c r="EK13" s="1104"/>
      <c r="EL13" s="1104"/>
      <c r="EM13" s="1104"/>
      <c r="EN13" s="1104"/>
      <c r="EO13" s="1104" t="s">
        <v>471</v>
      </c>
      <c r="EP13" s="1104" t="s">
        <v>2656</v>
      </c>
      <c r="EQ13" s="1104" t="s">
        <v>2657</v>
      </c>
      <c r="ER13" s="1104" t="s">
        <v>2658</v>
      </c>
      <c r="ES13" s="1104" t="s">
        <v>2657</v>
      </c>
      <c r="ET13" s="1104" t="s">
        <v>2659</v>
      </c>
      <c r="EU13" s="1104" t="s">
        <v>2660</v>
      </c>
      <c r="EV13" s="1104" t="s">
        <v>504</v>
      </c>
      <c r="EW13" s="1104"/>
      <c r="EX13" s="1104"/>
    </row>
    <row r="14" spans="3:154" x14ac:dyDescent="0.2">
      <c r="C14" s="1156"/>
      <c r="D14" s="1156"/>
      <c r="E14" s="1454" t="s">
        <v>292</v>
      </c>
      <c r="F14" s="1454" t="s">
        <v>377</v>
      </c>
      <c r="G14" s="1454"/>
      <c r="H14" s="1460"/>
      <c r="I14" s="1460"/>
      <c r="J14" s="1460"/>
      <c r="K14" s="1460"/>
      <c r="L14" s="1460"/>
      <c r="M14" s="1369">
        <f t="shared" si="5"/>
        <v>0</v>
      </c>
      <c r="N14" s="1460"/>
      <c r="O14" s="1460"/>
      <c r="P14" s="1460"/>
      <c r="Q14" s="1460"/>
      <c r="R14" s="1460"/>
      <c r="S14" s="1460"/>
      <c r="T14" s="1460"/>
      <c r="U14" s="1460"/>
      <c r="V14" s="1460"/>
      <c r="W14" s="1460"/>
      <c r="X14" s="1460"/>
      <c r="Y14" s="1460"/>
      <c r="Z14" s="1460"/>
      <c r="AA14" s="1460"/>
      <c r="AB14" s="1460"/>
      <c r="AC14" s="1460"/>
      <c r="AD14" s="1460"/>
      <c r="AE14" s="1461"/>
      <c r="AF14" s="1462">
        <f t="shared" si="1"/>
        <v>0</v>
      </c>
      <c r="AG14" s="1462">
        <f t="shared" si="2"/>
        <v>0</v>
      </c>
      <c r="AH14" s="1461"/>
      <c r="AI14" s="1460"/>
      <c r="AJ14" s="1460"/>
      <c r="AK14" s="1461"/>
      <c r="AL14" s="1460"/>
      <c r="AM14" s="1460"/>
      <c r="AN14" s="1461"/>
      <c r="AO14" s="1460"/>
      <c r="AP14" s="1461"/>
      <c r="AQ14" s="1460"/>
      <c r="AR14" s="1461"/>
      <c r="AS14" s="1460"/>
      <c r="AT14" s="1460"/>
      <c r="AU14" s="1460"/>
      <c r="AV14" s="1460"/>
      <c r="AW14" s="1460"/>
      <c r="AX14" s="1460"/>
      <c r="AY14" s="1460"/>
      <c r="AZ14" s="1460"/>
      <c r="BA14" s="1460"/>
      <c r="BB14" s="1460"/>
      <c r="BC14" s="1460"/>
      <c r="BD14" s="1460"/>
      <c r="BE14" s="1463"/>
      <c r="BF14" s="1460"/>
      <c r="BG14" s="1460"/>
      <c r="BH14" s="1460"/>
      <c r="BI14" s="1460"/>
      <c r="BJ14" s="1460"/>
      <c r="BK14" s="1460"/>
      <c r="BL14" s="1460"/>
      <c r="BM14" s="1460"/>
      <c r="BN14" s="1460"/>
      <c r="BO14" s="1460"/>
      <c r="BP14" s="1460"/>
      <c r="BQ14" s="1460"/>
      <c r="BR14" s="1460"/>
      <c r="BS14" s="1460"/>
      <c r="BT14" s="1460"/>
      <c r="BU14" s="1460"/>
      <c r="BV14" s="1460"/>
      <c r="BW14" s="1460"/>
      <c r="BX14" s="1460"/>
      <c r="BY14" s="1460"/>
      <c r="BZ14" s="1460"/>
      <c r="CA14" s="1460"/>
      <c r="CB14" s="1464">
        <f t="shared" si="3"/>
        <v>0</v>
      </c>
      <c r="CC14" s="1464">
        <f t="shared" si="4"/>
        <v>0</v>
      </c>
      <c r="CD14" s="1460"/>
      <c r="CE14" s="1460"/>
      <c r="CF14" s="1460"/>
      <c r="CG14" s="1460"/>
      <c r="CH14" s="1460"/>
      <c r="CI14" s="1460"/>
      <c r="CJ14" s="1460"/>
      <c r="CK14" s="1460"/>
      <c r="CL14" s="1460"/>
      <c r="CM14" s="1460"/>
      <c r="CN14" s="1460"/>
      <c r="CO14" s="1460"/>
      <c r="CP14" s="1460"/>
      <c r="CQ14" s="1460"/>
      <c r="CR14" s="1460"/>
      <c r="CS14" s="1460"/>
      <c r="CT14" s="1460"/>
      <c r="CU14" s="1460"/>
      <c r="CV14" s="1460"/>
      <c r="CW14" s="1460"/>
      <c r="CX14" s="1460"/>
      <c r="CY14" s="1460"/>
      <c r="CZ14" s="1460"/>
      <c r="DA14" s="1460"/>
      <c r="DB14" s="1460"/>
      <c r="DC14" s="1460"/>
      <c r="DD14" s="1460"/>
      <c r="DE14" s="1460"/>
      <c r="DF14" s="1460"/>
      <c r="DG14" s="1460"/>
      <c r="DH14" s="1460"/>
      <c r="DI14" s="1460"/>
      <c r="DJ14" s="1460"/>
      <c r="DK14" s="1460"/>
      <c r="DL14" s="1460"/>
      <c r="DM14" s="1460"/>
      <c r="DN14" s="1460"/>
      <c r="DO14" s="1460"/>
      <c r="DP14" s="1460"/>
      <c r="DQ14" s="1460"/>
      <c r="DR14" s="1460"/>
      <c r="DS14" s="1460"/>
      <c r="DT14" s="1460"/>
      <c r="DU14" s="1460"/>
      <c r="DV14" s="1460"/>
      <c r="DW14" s="1460"/>
      <c r="DX14" s="1460"/>
      <c r="DY14" s="1460"/>
      <c r="DZ14" s="1460"/>
      <c r="EA14" s="1460"/>
      <c r="EB14" s="1460"/>
      <c r="EC14" s="1460"/>
      <c r="ED14" s="1460"/>
      <c r="EE14" s="1460"/>
      <c r="EF14" s="1460"/>
      <c r="EG14" s="1460"/>
      <c r="EH14" s="1460"/>
      <c r="EI14" s="1460"/>
      <c r="EJ14" s="1460"/>
      <c r="EK14" s="1460"/>
      <c r="EL14" s="1460"/>
      <c r="EM14" s="1460"/>
      <c r="EN14" s="1460"/>
      <c r="EO14" s="1460"/>
      <c r="EP14" s="1460"/>
      <c r="EQ14" s="1460"/>
      <c r="ER14" s="1460"/>
      <c r="ES14" s="1460"/>
      <c r="ET14" s="1460"/>
      <c r="EU14" s="1460"/>
      <c r="EV14" s="1460"/>
      <c r="EW14" s="1460"/>
      <c r="EX14" s="1460"/>
    </row>
    <row r="15" spans="3:154" ht="48" customHeight="1" x14ac:dyDescent="0.2">
      <c r="C15" s="1156" t="s">
        <v>1423</v>
      </c>
      <c r="D15" s="1156" t="s">
        <v>5278</v>
      </c>
      <c r="E15" s="1104" t="s">
        <v>292</v>
      </c>
      <c r="F15" s="1104" t="s">
        <v>377</v>
      </c>
      <c r="G15" s="1104" t="s">
        <v>5450</v>
      </c>
      <c r="H15" s="1104" t="s">
        <v>5451</v>
      </c>
      <c r="I15" s="1104" t="s">
        <v>5452</v>
      </c>
      <c r="J15" s="1122">
        <v>2020</v>
      </c>
      <c r="K15" s="1125">
        <v>43875</v>
      </c>
      <c r="L15" s="1125">
        <v>44195</v>
      </c>
      <c r="M15" s="1369">
        <f t="shared" si="5"/>
        <v>320</v>
      </c>
      <c r="N15" s="1125"/>
      <c r="O15" s="1125"/>
      <c r="P15" s="1125"/>
      <c r="Q15" s="1125"/>
      <c r="R15" s="1125"/>
      <c r="S15" s="1125"/>
      <c r="T15" s="1125"/>
      <c r="U15" s="1125"/>
      <c r="V15" s="1125"/>
      <c r="W15" s="1125"/>
      <c r="X15" s="1125"/>
      <c r="Y15" s="1104" t="s">
        <v>5453</v>
      </c>
      <c r="Z15" s="1181" t="s">
        <v>5454</v>
      </c>
      <c r="AA15" s="1104" t="s">
        <v>5455</v>
      </c>
      <c r="AB15" s="1104" t="s">
        <v>5456</v>
      </c>
      <c r="AC15" s="1104" t="s">
        <v>767</v>
      </c>
      <c r="AD15" s="1104" t="s">
        <v>5455</v>
      </c>
      <c r="AE15" s="1182">
        <v>1.3959999999999999</v>
      </c>
      <c r="AF15" s="1113">
        <f t="shared" si="1"/>
        <v>1.3179999999999998</v>
      </c>
      <c r="AG15" s="1113">
        <f t="shared" si="2"/>
        <v>-7.8000000000000069E-2</v>
      </c>
      <c r="AH15" s="1182"/>
      <c r="AI15" s="1182"/>
      <c r="AJ15" s="1182"/>
      <c r="AK15" s="1182">
        <v>1.1559999999999999</v>
      </c>
      <c r="AL15" s="1179">
        <v>1</v>
      </c>
      <c r="AM15" s="1179">
        <v>5.0000000000000001E-4</v>
      </c>
      <c r="AN15" s="1182">
        <v>0</v>
      </c>
      <c r="AO15" s="1179">
        <v>0</v>
      </c>
      <c r="AP15" s="1113">
        <v>0.16200000000000001</v>
      </c>
      <c r="AQ15" s="1179">
        <v>0</v>
      </c>
      <c r="AR15" s="1179"/>
      <c r="AS15" s="1179"/>
      <c r="AT15" s="1179"/>
      <c r="AU15" s="1179"/>
      <c r="AV15" s="1179"/>
      <c r="AW15" s="1182" t="s">
        <v>479</v>
      </c>
      <c r="AX15" s="1179"/>
      <c r="AY15" s="1179"/>
      <c r="AZ15" s="1179"/>
      <c r="BA15" s="1182">
        <v>0.4</v>
      </c>
      <c r="BB15" s="1179">
        <v>4.0000000000000002E-4</v>
      </c>
      <c r="BC15" s="1130">
        <v>5</v>
      </c>
      <c r="BD15" s="1130">
        <v>3</v>
      </c>
      <c r="BE15" s="1130">
        <v>3</v>
      </c>
      <c r="BF15" s="1130"/>
      <c r="BG15" s="1130"/>
      <c r="BH15" s="1130"/>
      <c r="BI15" s="1130"/>
      <c r="BJ15" s="1130"/>
      <c r="BK15" s="1130"/>
      <c r="BL15" s="1130"/>
      <c r="BM15" s="1130"/>
      <c r="BN15" s="1130"/>
      <c r="BO15" s="1130"/>
      <c r="BP15" s="1130">
        <v>3</v>
      </c>
      <c r="BQ15" s="1130"/>
      <c r="BR15" s="1130"/>
      <c r="BS15" s="1130"/>
      <c r="BT15" s="1130"/>
      <c r="BU15" s="1130"/>
      <c r="BV15" s="1130"/>
      <c r="BW15" s="1130"/>
      <c r="BX15" s="1130"/>
      <c r="BY15" s="1130"/>
      <c r="BZ15" s="1183">
        <f>SUM(BF15:BY15)</f>
        <v>3</v>
      </c>
      <c r="CA15" s="1182">
        <v>6</v>
      </c>
      <c r="CB15" s="1117">
        <f t="shared" si="3"/>
        <v>6</v>
      </c>
      <c r="CC15" s="1117">
        <f t="shared" si="4"/>
        <v>0</v>
      </c>
      <c r="CD15" s="1104" t="s">
        <v>5457</v>
      </c>
      <c r="CE15" s="1104"/>
      <c r="CF15" s="1104">
        <v>10.93</v>
      </c>
      <c r="CG15" s="1179" t="s">
        <v>5458</v>
      </c>
      <c r="CH15" s="1113">
        <v>2.7440000000000002</v>
      </c>
      <c r="CI15" s="1184" t="s">
        <v>5449</v>
      </c>
      <c r="CJ15" s="1104" t="s">
        <v>504</v>
      </c>
      <c r="CK15" s="1104"/>
      <c r="CL15" s="1104"/>
      <c r="CM15" s="1130"/>
      <c r="CN15" s="1130"/>
      <c r="CO15" s="1130">
        <v>22</v>
      </c>
      <c r="CP15" s="1104" t="s">
        <v>504</v>
      </c>
      <c r="CQ15" s="1104"/>
      <c r="CR15" s="1130"/>
      <c r="CS15" s="1104" t="s">
        <v>500</v>
      </c>
      <c r="CT15" s="1104" t="s">
        <v>5459</v>
      </c>
      <c r="CU15" s="1115">
        <v>216</v>
      </c>
      <c r="CV15" s="1104" t="s">
        <v>504</v>
      </c>
      <c r="CW15" s="1104"/>
      <c r="CX15" s="1115"/>
      <c r="CY15" s="1115" t="s">
        <v>479</v>
      </c>
      <c r="CZ15" s="1115"/>
      <c r="DA15" s="1115"/>
      <c r="DB15" s="1109" t="s">
        <v>504</v>
      </c>
      <c r="DC15" s="1109"/>
      <c r="DD15" s="1115"/>
      <c r="DE15" s="1104" t="s">
        <v>504</v>
      </c>
      <c r="DF15" s="1104"/>
      <c r="DG15" s="1130"/>
      <c r="DH15" s="1104" t="s">
        <v>504</v>
      </c>
      <c r="DI15" s="1104"/>
      <c r="DJ15" s="1130"/>
      <c r="DK15" s="1104" t="s">
        <v>504</v>
      </c>
      <c r="DL15" s="1104"/>
      <c r="DM15" s="1130"/>
      <c r="DN15" s="1104" t="s">
        <v>504</v>
      </c>
      <c r="DO15" s="1104"/>
      <c r="DP15" s="1130"/>
      <c r="DQ15" s="1104" t="s">
        <v>504</v>
      </c>
      <c r="DR15" s="1104"/>
      <c r="DS15" s="1130"/>
      <c r="DT15" s="1104" t="s">
        <v>500</v>
      </c>
      <c r="DU15" s="1104" t="s">
        <v>5459</v>
      </c>
      <c r="DV15" s="1115" t="s">
        <v>5460</v>
      </c>
      <c r="DW15" s="1109"/>
      <c r="DX15" s="1109"/>
      <c r="DY15" s="1115"/>
      <c r="DZ15" s="1104" t="s">
        <v>504</v>
      </c>
      <c r="EA15" s="1104"/>
      <c r="EB15" s="1130"/>
      <c r="EC15" s="1104" t="s">
        <v>504</v>
      </c>
      <c r="ED15" s="1104"/>
      <c r="EE15" s="1130"/>
      <c r="EF15" s="1104" t="s">
        <v>504</v>
      </c>
      <c r="EG15" s="1104"/>
      <c r="EH15" s="1130"/>
      <c r="EI15" s="1104" t="s">
        <v>504</v>
      </c>
      <c r="EJ15" s="1104"/>
      <c r="EK15" s="1130"/>
      <c r="EL15" s="1130"/>
      <c r="EM15" s="1130"/>
      <c r="EN15" s="1130"/>
      <c r="EO15" s="1104" t="s">
        <v>504</v>
      </c>
      <c r="EP15" s="1104"/>
      <c r="EQ15" s="1104"/>
      <c r="ER15" s="1104"/>
      <c r="ES15" s="1104"/>
      <c r="ET15" s="1104"/>
      <c r="EU15" s="1104"/>
      <c r="EV15" s="1104"/>
      <c r="EW15" s="1104">
        <v>0</v>
      </c>
      <c r="EX15" s="1104"/>
    </row>
    <row r="16" spans="3:154" ht="89.1" customHeight="1" x14ac:dyDescent="0.2">
      <c r="C16" s="1156" t="s">
        <v>693</v>
      </c>
      <c r="D16" s="1156" t="s">
        <v>5278</v>
      </c>
      <c r="E16" s="1104" t="s">
        <v>292</v>
      </c>
      <c r="F16" s="1104" t="s">
        <v>377</v>
      </c>
      <c r="G16" s="1109" t="s">
        <v>5461</v>
      </c>
      <c r="H16" s="1109" t="s">
        <v>5462</v>
      </c>
      <c r="I16" s="1109"/>
      <c r="J16" s="1110">
        <v>2020</v>
      </c>
      <c r="K16" s="1091" t="s">
        <v>5463</v>
      </c>
      <c r="L16" s="1091" t="s">
        <v>5464</v>
      </c>
      <c r="M16" s="1369">
        <f t="shared" si="5"/>
        <v>316</v>
      </c>
      <c r="N16" s="1091"/>
      <c r="O16" s="1091"/>
      <c r="P16" s="1091"/>
      <c r="Q16" s="1091"/>
      <c r="R16" s="1091"/>
      <c r="S16" s="1091"/>
      <c r="T16" s="1091"/>
      <c r="U16" s="1091"/>
      <c r="V16" s="1091"/>
      <c r="W16" s="1091"/>
      <c r="X16" s="1091"/>
      <c r="Y16" s="1109" t="s">
        <v>5462</v>
      </c>
      <c r="Z16" s="1181" t="s">
        <v>5465</v>
      </c>
      <c r="AA16" s="1109" t="s">
        <v>5466</v>
      </c>
      <c r="AB16" s="1109" t="s">
        <v>5467</v>
      </c>
      <c r="AC16" s="1109" t="s">
        <v>5468</v>
      </c>
      <c r="AD16" s="1109" t="s">
        <v>5469</v>
      </c>
      <c r="AE16" s="1113">
        <v>0.49399999999999999</v>
      </c>
      <c r="AF16" s="1113">
        <f>AH16+AK16+AN16+AP16+AR16</f>
        <v>0.49399999999999999</v>
      </c>
      <c r="AG16" s="1113">
        <f t="shared" si="2"/>
        <v>0</v>
      </c>
      <c r="AH16" s="1113"/>
      <c r="AI16" s="1113"/>
      <c r="AJ16" s="1113"/>
      <c r="AK16" s="1113">
        <v>0.247</v>
      </c>
      <c r="AL16" s="1114">
        <v>0.5</v>
      </c>
      <c r="AM16" s="1114">
        <v>5.9999999999999995E-4</v>
      </c>
      <c r="AN16" s="1113">
        <v>0.247</v>
      </c>
      <c r="AO16" s="1114">
        <v>0.5</v>
      </c>
      <c r="AP16" s="1113"/>
      <c r="AQ16" s="1114"/>
      <c r="AR16" s="1114"/>
      <c r="AS16" s="1114"/>
      <c r="AT16" s="1114"/>
      <c r="AU16" s="1114"/>
      <c r="AV16" s="1114"/>
      <c r="AW16" s="1114" t="s">
        <v>500</v>
      </c>
      <c r="AX16" s="1114" t="s">
        <v>838</v>
      </c>
      <c r="AY16" s="1114">
        <v>0</v>
      </c>
      <c r="AZ16" s="1114"/>
      <c r="BA16" s="1113">
        <v>0.2</v>
      </c>
      <c r="BB16" s="1114">
        <v>2.0000000000000001E-4</v>
      </c>
      <c r="BC16" s="1115">
        <v>1</v>
      </c>
      <c r="BD16" s="1115">
        <v>1</v>
      </c>
      <c r="BE16" s="1115">
        <v>1</v>
      </c>
      <c r="BF16" s="1115"/>
      <c r="BG16" s="1115"/>
      <c r="BH16" s="1115"/>
      <c r="BI16" s="1115"/>
      <c r="BJ16" s="1115"/>
      <c r="BK16" s="1115"/>
      <c r="BL16" s="1115"/>
      <c r="BM16" s="1115"/>
      <c r="BN16" s="1115"/>
      <c r="BO16" s="1115"/>
      <c r="BP16" s="1115"/>
      <c r="BQ16" s="1115"/>
      <c r="BR16" s="1115">
        <v>1</v>
      </c>
      <c r="BS16" s="1115"/>
      <c r="BT16" s="1115"/>
      <c r="BU16" s="1115"/>
      <c r="BV16" s="1115"/>
      <c r="BW16" s="1115"/>
      <c r="BX16" s="1115"/>
      <c r="BY16" s="1115"/>
      <c r="BZ16" s="1115"/>
      <c r="CA16" s="1117">
        <f>SUM(BF16:BZ16)</f>
        <v>1</v>
      </c>
      <c r="CB16" s="1117">
        <f t="shared" si="3"/>
        <v>1</v>
      </c>
      <c r="CC16" s="1117">
        <f t="shared" si="4"/>
        <v>0</v>
      </c>
      <c r="CD16" s="1113">
        <v>1.952</v>
      </c>
      <c r="CE16" s="1109"/>
      <c r="CF16" s="1109"/>
      <c r="CG16" s="1126">
        <v>1</v>
      </c>
      <c r="CH16" s="1113">
        <v>1.952</v>
      </c>
      <c r="CI16" s="1114"/>
      <c r="CJ16" s="1109" t="s">
        <v>504</v>
      </c>
      <c r="CK16" s="1109"/>
      <c r="CL16" s="1109"/>
      <c r="CM16" s="1115"/>
      <c r="CN16" s="1115"/>
      <c r="CO16" s="1115"/>
      <c r="CP16" s="1109" t="s">
        <v>500</v>
      </c>
      <c r="CQ16" s="1109" t="s">
        <v>935</v>
      </c>
      <c r="CR16" s="1115">
        <v>257</v>
      </c>
      <c r="CS16" s="1109" t="s">
        <v>500</v>
      </c>
      <c r="CT16" s="1109" t="s">
        <v>935</v>
      </c>
      <c r="CU16" s="1115">
        <v>58</v>
      </c>
      <c r="CV16" s="1115" t="s">
        <v>504</v>
      </c>
      <c r="CW16" s="1115"/>
      <c r="CX16" s="1115"/>
      <c r="CY16" s="1115" t="s">
        <v>504</v>
      </c>
      <c r="CZ16" s="1115"/>
      <c r="DA16" s="1115"/>
      <c r="DB16" s="1109" t="s">
        <v>504</v>
      </c>
      <c r="DC16" s="1109"/>
      <c r="DD16" s="1115"/>
      <c r="DE16" s="1109" t="s">
        <v>504</v>
      </c>
      <c r="DF16" s="1109"/>
      <c r="DG16" s="1115"/>
      <c r="DH16" s="1109" t="s">
        <v>504</v>
      </c>
      <c r="DI16" s="1109"/>
      <c r="DJ16" s="1115"/>
      <c r="DK16" s="1109"/>
      <c r="DL16" s="1109"/>
      <c r="DM16" s="1115"/>
      <c r="DN16" s="1109" t="s">
        <v>504</v>
      </c>
      <c r="DO16" s="1109"/>
      <c r="DP16" s="1115"/>
      <c r="DQ16" s="1109" t="s">
        <v>500</v>
      </c>
      <c r="DR16" s="1109" t="s">
        <v>935</v>
      </c>
      <c r="DS16" s="1115">
        <v>257</v>
      </c>
      <c r="DT16" s="1115" t="s">
        <v>504</v>
      </c>
      <c r="DU16" s="1115"/>
      <c r="DV16" s="1115"/>
      <c r="DW16" s="1109" t="s">
        <v>504</v>
      </c>
      <c r="DX16" s="1109"/>
      <c r="DY16" s="1115"/>
      <c r="DZ16" s="1109" t="s">
        <v>504</v>
      </c>
      <c r="EA16" s="1109"/>
      <c r="EB16" s="1115"/>
      <c r="EC16" s="1109" t="s">
        <v>504</v>
      </c>
      <c r="ED16" s="1109"/>
      <c r="EE16" s="1115"/>
      <c r="EF16" s="1115" t="s">
        <v>504</v>
      </c>
      <c r="EG16" s="1115"/>
      <c r="EH16" s="1115"/>
      <c r="EI16" s="1109"/>
      <c r="EJ16" s="1109"/>
      <c r="EK16" s="1115"/>
      <c r="EL16" s="1115"/>
      <c r="EM16" s="1115"/>
      <c r="EN16" s="1115"/>
      <c r="EO16" s="1109" t="s">
        <v>504</v>
      </c>
      <c r="EP16" s="1109"/>
      <c r="EQ16" s="1109" t="s">
        <v>504</v>
      </c>
      <c r="ER16" s="1109"/>
      <c r="ES16" s="1109"/>
      <c r="ET16" s="1109"/>
      <c r="EU16" s="1109"/>
      <c r="EV16" s="1109" t="s">
        <v>504</v>
      </c>
      <c r="EW16" s="1109"/>
      <c r="EX16" s="1109"/>
    </row>
    <row r="17" spans="3:154" ht="45.95" customHeight="1" x14ac:dyDescent="0.2">
      <c r="C17" s="1156" t="s">
        <v>693</v>
      </c>
      <c r="D17" s="1156" t="s">
        <v>5277</v>
      </c>
      <c r="E17" s="738" t="s">
        <v>293</v>
      </c>
      <c r="F17" s="738" t="s">
        <v>378</v>
      </c>
      <c r="G17" s="738"/>
      <c r="H17" s="738" t="s">
        <v>2290</v>
      </c>
      <c r="I17" s="738" t="s">
        <v>2103</v>
      </c>
      <c r="J17" s="637">
        <v>2014</v>
      </c>
      <c r="K17" s="377">
        <v>43755</v>
      </c>
      <c r="L17" s="377">
        <v>44196</v>
      </c>
      <c r="M17" s="1369">
        <f t="shared" si="5"/>
        <v>441</v>
      </c>
      <c r="N17" s="632" t="s">
        <v>2292</v>
      </c>
      <c r="O17" s="632" t="s">
        <v>2293</v>
      </c>
      <c r="P17" s="632" t="s">
        <v>2294</v>
      </c>
      <c r="Q17" s="632" t="s">
        <v>465</v>
      </c>
      <c r="R17" s="632" t="s">
        <v>465</v>
      </c>
      <c r="S17" s="632" t="s">
        <v>465</v>
      </c>
      <c r="T17" s="632" t="s">
        <v>465</v>
      </c>
      <c r="U17" s="632" t="s">
        <v>2295</v>
      </c>
      <c r="V17" s="653" t="s">
        <v>2296</v>
      </c>
      <c r="W17" s="632" t="s">
        <v>465</v>
      </c>
      <c r="X17" s="632" t="s">
        <v>465</v>
      </c>
      <c r="Y17" s="632"/>
      <c r="Z17" s="632"/>
      <c r="AA17" s="738" t="s">
        <v>2297</v>
      </c>
      <c r="AB17" s="738" t="s">
        <v>2298</v>
      </c>
      <c r="AC17" s="738" t="s">
        <v>622</v>
      </c>
      <c r="AD17" s="738" t="s">
        <v>2299</v>
      </c>
      <c r="AE17" s="702">
        <v>589.49400000000003</v>
      </c>
      <c r="AF17" s="671">
        <f t="shared" si="1"/>
        <v>589.49439999999993</v>
      </c>
      <c r="AG17" s="671">
        <f t="shared" si="2"/>
        <v>3.9999999989959178E-4</v>
      </c>
      <c r="AH17" s="702">
        <v>399.66199999999998</v>
      </c>
      <c r="AI17" s="683">
        <v>0.67800000000000005</v>
      </c>
      <c r="AJ17" s="683">
        <v>1.5E-3</v>
      </c>
      <c r="AK17" s="702">
        <v>88.608999999999995</v>
      </c>
      <c r="AL17" s="683">
        <v>0.15029999999999999</v>
      </c>
      <c r="AM17" s="683"/>
      <c r="AN17" s="702">
        <v>49.731999999999999</v>
      </c>
      <c r="AO17" s="683">
        <v>8.4400000000000003E-2</v>
      </c>
      <c r="AP17" s="702">
        <v>51.491399999999999</v>
      </c>
      <c r="AQ17" s="683">
        <v>8.7300000000000003E-2</v>
      </c>
      <c r="AR17" s="702"/>
      <c r="AS17" s="683" t="s">
        <v>465</v>
      </c>
      <c r="AT17" s="632" t="s">
        <v>465</v>
      </c>
      <c r="AU17" s="632" t="s">
        <v>465</v>
      </c>
      <c r="AV17" s="632" t="s">
        <v>465</v>
      </c>
      <c r="AW17" s="738" t="s">
        <v>471</v>
      </c>
      <c r="AX17" s="738" t="s">
        <v>2300</v>
      </c>
      <c r="AY17" s="632" t="s">
        <v>465</v>
      </c>
      <c r="AZ17" s="683" t="s">
        <v>465</v>
      </c>
      <c r="BA17" s="702">
        <v>400</v>
      </c>
      <c r="BB17" s="683">
        <v>1.8E-3</v>
      </c>
      <c r="BC17" s="710">
        <v>1061</v>
      </c>
      <c r="BD17" s="710">
        <v>1033</v>
      </c>
      <c r="BE17" s="706">
        <v>563</v>
      </c>
      <c r="BF17" s="710">
        <v>15</v>
      </c>
      <c r="BG17" s="710">
        <v>116</v>
      </c>
      <c r="BH17" s="710">
        <v>13</v>
      </c>
      <c r="BI17" s="710">
        <v>15</v>
      </c>
      <c r="BJ17" s="710">
        <v>1</v>
      </c>
      <c r="BK17" s="710">
        <v>21</v>
      </c>
      <c r="BL17" s="710">
        <v>137</v>
      </c>
      <c r="BM17" s="710">
        <v>52</v>
      </c>
      <c r="BN17" s="710">
        <v>23</v>
      </c>
      <c r="BO17" s="710">
        <v>13</v>
      </c>
      <c r="BP17" s="710">
        <v>40</v>
      </c>
      <c r="BQ17" s="710">
        <v>6</v>
      </c>
      <c r="BR17" s="710">
        <v>70</v>
      </c>
      <c r="BS17" s="710">
        <v>0</v>
      </c>
      <c r="BT17" s="710">
        <v>0</v>
      </c>
      <c r="BU17" s="710">
        <v>0</v>
      </c>
      <c r="BV17" s="710">
        <v>1</v>
      </c>
      <c r="BW17" s="710">
        <v>40</v>
      </c>
      <c r="BX17" s="710">
        <v>0</v>
      </c>
      <c r="BY17" s="710">
        <v>0</v>
      </c>
      <c r="BZ17" s="710">
        <v>0</v>
      </c>
      <c r="CA17" s="717">
        <f>SUM(BF17:BZ17)</f>
        <v>563</v>
      </c>
      <c r="CB17" s="717">
        <f t="shared" si="3"/>
        <v>563</v>
      </c>
      <c r="CC17" s="717">
        <f t="shared" si="4"/>
        <v>0</v>
      </c>
      <c r="CD17" s="671">
        <v>786.14300000000003</v>
      </c>
      <c r="CE17" s="632" t="s">
        <v>2301</v>
      </c>
      <c r="CF17" s="632" t="s">
        <v>465</v>
      </c>
      <c r="CG17" s="683">
        <v>0.19470000000000001</v>
      </c>
      <c r="CH17" s="671">
        <v>4038.1509999999998</v>
      </c>
      <c r="CI17" s="733" t="s">
        <v>2302</v>
      </c>
      <c r="CJ17" s="738" t="s">
        <v>471</v>
      </c>
      <c r="CK17" s="738" t="s">
        <v>2303</v>
      </c>
      <c r="CL17" s="738" t="s">
        <v>2304</v>
      </c>
      <c r="CM17" s="822">
        <v>6</v>
      </c>
      <c r="CN17" s="710" t="s">
        <v>465</v>
      </c>
      <c r="CO17" s="710" t="s">
        <v>465</v>
      </c>
      <c r="CP17" s="738" t="s">
        <v>471</v>
      </c>
      <c r="CQ17" s="738" t="s">
        <v>2305</v>
      </c>
      <c r="CR17" s="710">
        <v>65730</v>
      </c>
      <c r="CS17" s="632" t="s">
        <v>471</v>
      </c>
      <c r="CT17" s="632" t="s">
        <v>2306</v>
      </c>
      <c r="CU17" s="710">
        <v>169709</v>
      </c>
      <c r="CV17" s="710" t="s">
        <v>479</v>
      </c>
      <c r="CW17" s="710" t="s">
        <v>465</v>
      </c>
      <c r="CX17" s="710" t="s">
        <v>465</v>
      </c>
      <c r="CY17" s="710" t="s">
        <v>479</v>
      </c>
      <c r="CZ17" s="710" t="s">
        <v>465</v>
      </c>
      <c r="DA17" s="710" t="s">
        <v>465</v>
      </c>
      <c r="DB17" s="632" t="s">
        <v>479</v>
      </c>
      <c r="DC17" s="632" t="s">
        <v>465</v>
      </c>
      <c r="DD17" s="710" t="s">
        <v>465</v>
      </c>
      <c r="DE17" s="632" t="s">
        <v>2307</v>
      </c>
      <c r="DF17" s="632" t="s">
        <v>465</v>
      </c>
      <c r="DG17" s="710" t="s">
        <v>465</v>
      </c>
      <c r="DH17" s="632" t="s">
        <v>2307</v>
      </c>
      <c r="DI17" s="632" t="s">
        <v>465</v>
      </c>
      <c r="DJ17" s="710" t="s">
        <v>465</v>
      </c>
      <c r="DK17" s="632" t="s">
        <v>2307</v>
      </c>
      <c r="DL17" s="632" t="s">
        <v>465</v>
      </c>
      <c r="DM17" s="710" t="s">
        <v>465</v>
      </c>
      <c r="DN17" s="632" t="s">
        <v>2307</v>
      </c>
      <c r="DO17" s="632" t="s">
        <v>465</v>
      </c>
      <c r="DP17" s="710" t="s">
        <v>465</v>
      </c>
      <c r="DQ17" s="632" t="s">
        <v>2307</v>
      </c>
      <c r="DR17" s="632" t="s">
        <v>465</v>
      </c>
      <c r="DS17" s="710" t="s">
        <v>465</v>
      </c>
      <c r="DT17" s="632" t="s">
        <v>2307</v>
      </c>
      <c r="DU17" s="632" t="s">
        <v>465</v>
      </c>
      <c r="DV17" s="710" t="s">
        <v>465</v>
      </c>
      <c r="DW17" s="632" t="s">
        <v>2307</v>
      </c>
      <c r="DX17" s="632" t="s">
        <v>465</v>
      </c>
      <c r="DY17" s="710" t="s">
        <v>465</v>
      </c>
      <c r="DZ17" s="632" t="s">
        <v>2307</v>
      </c>
      <c r="EA17" s="632" t="s">
        <v>465</v>
      </c>
      <c r="EB17" s="710" t="s">
        <v>465</v>
      </c>
      <c r="EC17" s="632" t="s">
        <v>2307</v>
      </c>
      <c r="ED17" s="632" t="s">
        <v>465</v>
      </c>
      <c r="EE17" s="710" t="s">
        <v>465</v>
      </c>
      <c r="EF17" s="710" t="s">
        <v>471</v>
      </c>
      <c r="EG17" s="710" t="s">
        <v>2308</v>
      </c>
      <c r="EH17" s="710">
        <v>14</v>
      </c>
      <c r="EI17" s="738" t="s">
        <v>471</v>
      </c>
      <c r="EJ17" s="1185" t="s">
        <v>2309</v>
      </c>
      <c r="EK17" s="710"/>
      <c r="EL17" s="688">
        <v>1</v>
      </c>
      <c r="EM17" s="632"/>
      <c r="EN17" s="670" t="s">
        <v>2310</v>
      </c>
      <c r="EO17" s="738" t="s">
        <v>471</v>
      </c>
      <c r="EP17" s="1185" t="s">
        <v>2311</v>
      </c>
      <c r="EQ17" s="653" t="s">
        <v>2312</v>
      </c>
      <c r="ER17" s="653" t="s">
        <v>2313</v>
      </c>
      <c r="ES17" s="653" t="s">
        <v>2314</v>
      </c>
      <c r="ET17" s="632" t="s">
        <v>2315</v>
      </c>
      <c r="EU17" s="632" t="s">
        <v>2316</v>
      </c>
      <c r="EV17" s="632" t="s">
        <v>2317</v>
      </c>
      <c r="EW17" s="632">
        <v>27</v>
      </c>
      <c r="EX17" s="632">
        <v>840</v>
      </c>
    </row>
    <row r="18" spans="3:154" ht="113.1" customHeight="1" x14ac:dyDescent="0.2">
      <c r="C18" s="1156" t="s">
        <v>5483</v>
      </c>
      <c r="D18" s="1156" t="s">
        <v>5277</v>
      </c>
      <c r="E18" s="738" t="s">
        <v>293</v>
      </c>
      <c r="F18" s="738" t="s">
        <v>378</v>
      </c>
      <c r="G18" s="738"/>
      <c r="H18" s="738" t="s">
        <v>2318</v>
      </c>
      <c r="I18" s="738" t="s">
        <v>1733</v>
      </c>
      <c r="J18" s="1165">
        <v>2015</v>
      </c>
      <c r="K18" s="1096">
        <v>43839</v>
      </c>
      <c r="L18" s="1096">
        <v>44196</v>
      </c>
      <c r="M18" s="1369">
        <f t="shared" si="5"/>
        <v>357</v>
      </c>
      <c r="N18" s="632" t="s">
        <v>2319</v>
      </c>
      <c r="O18" s="632" t="s">
        <v>2320</v>
      </c>
      <c r="P18" s="632" t="s">
        <v>2321</v>
      </c>
      <c r="Q18" s="632" t="s">
        <v>465</v>
      </c>
      <c r="R18" s="632" t="s">
        <v>465</v>
      </c>
      <c r="S18" s="632" t="s">
        <v>465</v>
      </c>
      <c r="T18" s="632" t="s">
        <v>465</v>
      </c>
      <c r="U18" s="738" t="s">
        <v>2322</v>
      </c>
      <c r="V18" s="653" t="s">
        <v>2296</v>
      </c>
      <c r="W18" s="632" t="s">
        <v>2323</v>
      </c>
      <c r="X18" s="653" t="s">
        <v>2324</v>
      </c>
      <c r="Y18" s="653"/>
      <c r="Z18" s="653"/>
      <c r="AA18" s="738" t="s">
        <v>2325</v>
      </c>
      <c r="AB18" s="738" t="s">
        <v>2298</v>
      </c>
      <c r="AC18" s="738" t="s">
        <v>622</v>
      </c>
      <c r="AD18" s="738" t="s">
        <v>2299</v>
      </c>
      <c r="AE18" s="702">
        <v>257.11</v>
      </c>
      <c r="AF18" s="671">
        <f t="shared" si="1"/>
        <v>257.11</v>
      </c>
      <c r="AG18" s="671">
        <f t="shared" si="2"/>
        <v>0</v>
      </c>
      <c r="AH18" s="702">
        <v>224.56100000000001</v>
      </c>
      <c r="AI18" s="683">
        <v>0.87339999999999995</v>
      </c>
      <c r="AJ18" s="683">
        <v>8.9999999999999998E-4</v>
      </c>
      <c r="AK18" s="702">
        <v>30.114000000000001</v>
      </c>
      <c r="AL18" s="683">
        <v>0.1171</v>
      </c>
      <c r="AM18" s="683"/>
      <c r="AN18" s="702">
        <v>2.4350000000000001</v>
      </c>
      <c r="AO18" s="683">
        <v>9.4999999999999998E-3</v>
      </c>
      <c r="AP18" s="702"/>
      <c r="AQ18" s="683" t="s">
        <v>465</v>
      </c>
      <c r="AR18" s="702"/>
      <c r="AS18" s="683" t="s">
        <v>465</v>
      </c>
      <c r="AT18" s="632" t="s">
        <v>465</v>
      </c>
      <c r="AU18" s="632" t="s">
        <v>465</v>
      </c>
      <c r="AV18" s="632" t="s">
        <v>465</v>
      </c>
      <c r="AW18" s="738" t="s">
        <v>471</v>
      </c>
      <c r="AX18" s="738" t="s">
        <v>2326</v>
      </c>
      <c r="AY18" s="632" t="s">
        <v>465</v>
      </c>
      <c r="AZ18" s="683" t="s">
        <v>465</v>
      </c>
      <c r="BA18" s="671">
        <v>224.93199999999999</v>
      </c>
      <c r="BB18" s="683">
        <v>1E-3</v>
      </c>
      <c r="BC18" s="822">
        <v>1095</v>
      </c>
      <c r="BD18" s="822">
        <v>1095</v>
      </c>
      <c r="BE18" s="706">
        <v>1095</v>
      </c>
      <c r="BF18" s="710">
        <v>36</v>
      </c>
      <c r="BG18" s="710">
        <v>103</v>
      </c>
      <c r="BH18" s="710">
        <v>60</v>
      </c>
      <c r="BI18" s="710">
        <v>33</v>
      </c>
      <c r="BJ18" s="710">
        <v>0</v>
      </c>
      <c r="BK18" s="710">
        <v>136</v>
      </c>
      <c r="BL18" s="710">
        <v>217</v>
      </c>
      <c r="BM18" s="710">
        <v>189</v>
      </c>
      <c r="BN18" s="710">
        <v>48</v>
      </c>
      <c r="BO18" s="710">
        <v>1</v>
      </c>
      <c r="BP18" s="710">
        <v>119</v>
      </c>
      <c r="BQ18" s="710">
        <v>82</v>
      </c>
      <c r="BR18" s="710">
        <v>39</v>
      </c>
      <c r="BS18" s="710">
        <v>11</v>
      </c>
      <c r="BT18" s="710">
        <v>0</v>
      </c>
      <c r="BU18" s="710">
        <v>0</v>
      </c>
      <c r="BV18" s="710">
        <v>0</v>
      </c>
      <c r="BW18" s="710">
        <v>9</v>
      </c>
      <c r="BX18" s="710">
        <v>0</v>
      </c>
      <c r="BY18" s="710">
        <v>0</v>
      </c>
      <c r="BZ18" s="710">
        <v>12</v>
      </c>
      <c r="CA18" s="717">
        <f>SUM(BF18:BZ18)</f>
        <v>1095</v>
      </c>
      <c r="CB18" s="717">
        <f t="shared" si="3"/>
        <v>1095</v>
      </c>
      <c r="CC18" s="717">
        <f t="shared" si="4"/>
        <v>0</v>
      </c>
      <c r="CD18" s="671" t="s">
        <v>2328</v>
      </c>
      <c r="CE18" s="632" t="s">
        <v>465</v>
      </c>
      <c r="CF18" s="632" t="s">
        <v>465</v>
      </c>
      <c r="CG18" s="683" t="s">
        <v>2328</v>
      </c>
      <c r="CH18" s="671">
        <v>4038.1509999999998</v>
      </c>
      <c r="CI18" s="733" t="s">
        <v>2302</v>
      </c>
      <c r="CJ18" s="738" t="s">
        <v>479</v>
      </c>
      <c r="CK18" s="738" t="s">
        <v>465</v>
      </c>
      <c r="CL18" s="738" t="s">
        <v>465</v>
      </c>
      <c r="CM18" s="822" t="s">
        <v>465</v>
      </c>
      <c r="CN18" s="822" t="s">
        <v>465</v>
      </c>
      <c r="CO18" s="822">
        <v>2</v>
      </c>
      <c r="CP18" s="738" t="s">
        <v>2307</v>
      </c>
      <c r="CQ18" s="738" t="s">
        <v>465</v>
      </c>
      <c r="CR18" s="822" t="s">
        <v>465</v>
      </c>
      <c r="CS18" s="632" t="s">
        <v>471</v>
      </c>
      <c r="CT18" s="632" t="s">
        <v>2329</v>
      </c>
      <c r="CU18" s="710"/>
      <c r="CV18" s="738" t="s">
        <v>2307</v>
      </c>
      <c r="CW18" s="738" t="s">
        <v>465</v>
      </c>
      <c r="CX18" s="822" t="s">
        <v>465</v>
      </c>
      <c r="CY18" s="738" t="s">
        <v>2307</v>
      </c>
      <c r="CZ18" s="738" t="s">
        <v>465</v>
      </c>
      <c r="DA18" s="822" t="s">
        <v>465</v>
      </c>
      <c r="DB18" s="738" t="s">
        <v>2307</v>
      </c>
      <c r="DC18" s="738" t="s">
        <v>465</v>
      </c>
      <c r="DD18" s="822" t="s">
        <v>465</v>
      </c>
      <c r="DE18" s="738" t="s">
        <v>2307</v>
      </c>
      <c r="DF18" s="738" t="s">
        <v>465</v>
      </c>
      <c r="DG18" s="822" t="s">
        <v>465</v>
      </c>
      <c r="DH18" s="738" t="s">
        <v>2307</v>
      </c>
      <c r="DI18" s="738" t="s">
        <v>465</v>
      </c>
      <c r="DJ18" s="822" t="s">
        <v>465</v>
      </c>
      <c r="DK18" s="738" t="s">
        <v>2307</v>
      </c>
      <c r="DL18" s="738" t="s">
        <v>465</v>
      </c>
      <c r="DM18" s="822" t="s">
        <v>465</v>
      </c>
      <c r="DN18" s="738" t="s">
        <v>471</v>
      </c>
      <c r="DO18" s="653" t="s">
        <v>2330</v>
      </c>
      <c r="DP18" s="710">
        <v>16291</v>
      </c>
      <c r="DQ18" s="632" t="s">
        <v>471</v>
      </c>
      <c r="DR18" s="632" t="s">
        <v>2329</v>
      </c>
      <c r="DS18" s="710" t="s">
        <v>2328</v>
      </c>
      <c r="DT18" s="738" t="s">
        <v>2307</v>
      </c>
      <c r="DU18" s="738" t="s">
        <v>465</v>
      </c>
      <c r="DV18" s="822" t="s">
        <v>465</v>
      </c>
      <c r="DW18" s="738" t="s">
        <v>2307</v>
      </c>
      <c r="DX18" s="738" t="s">
        <v>465</v>
      </c>
      <c r="DY18" s="822" t="s">
        <v>465</v>
      </c>
      <c r="DZ18" s="738" t="s">
        <v>2307</v>
      </c>
      <c r="EA18" s="738" t="s">
        <v>465</v>
      </c>
      <c r="EB18" s="822" t="s">
        <v>465</v>
      </c>
      <c r="EC18" s="738" t="s">
        <v>2307</v>
      </c>
      <c r="ED18" s="738" t="s">
        <v>465</v>
      </c>
      <c r="EE18" s="822" t="s">
        <v>465</v>
      </c>
      <c r="EF18" s="738" t="s">
        <v>2307</v>
      </c>
      <c r="EG18" s="738" t="s">
        <v>465</v>
      </c>
      <c r="EH18" s="822" t="s">
        <v>465</v>
      </c>
      <c r="EI18" s="738" t="s">
        <v>2307</v>
      </c>
      <c r="EJ18" s="738" t="s">
        <v>465</v>
      </c>
      <c r="EK18" s="822" t="s">
        <v>465</v>
      </c>
      <c r="EL18" s="688">
        <v>1</v>
      </c>
      <c r="EM18" s="632" t="s">
        <v>465</v>
      </c>
      <c r="EN18" s="670" t="s">
        <v>2331</v>
      </c>
      <c r="EO18" s="738" t="s">
        <v>479</v>
      </c>
      <c r="EP18" s="738" t="s">
        <v>465</v>
      </c>
      <c r="EQ18" s="653" t="s">
        <v>2332</v>
      </c>
      <c r="ER18" s="653" t="s">
        <v>2333</v>
      </c>
      <c r="ES18" s="653" t="s">
        <v>2334</v>
      </c>
      <c r="ET18" s="632" t="s">
        <v>2335</v>
      </c>
      <c r="EU18" s="632" t="s">
        <v>479</v>
      </c>
      <c r="EV18" s="632" t="s">
        <v>2336</v>
      </c>
      <c r="EW18" s="632">
        <v>3</v>
      </c>
      <c r="EX18" s="632">
        <v>340</v>
      </c>
    </row>
    <row r="19" spans="3:154" ht="111.95" customHeight="1" x14ac:dyDescent="0.2">
      <c r="C19" s="1156" t="s">
        <v>693</v>
      </c>
      <c r="D19" s="1156" t="s">
        <v>5277</v>
      </c>
      <c r="E19" s="738" t="s">
        <v>293</v>
      </c>
      <c r="F19" s="738" t="s">
        <v>378</v>
      </c>
      <c r="G19" s="738"/>
      <c r="H19" s="738" t="s">
        <v>2337</v>
      </c>
      <c r="I19" s="738" t="s">
        <v>1734</v>
      </c>
      <c r="J19" s="1165">
        <v>2017</v>
      </c>
      <c r="K19" s="1096">
        <v>43886</v>
      </c>
      <c r="L19" s="1096">
        <v>44196</v>
      </c>
      <c r="M19" s="1369">
        <f t="shared" si="5"/>
        <v>310</v>
      </c>
      <c r="N19" s="632" t="s">
        <v>2339</v>
      </c>
      <c r="O19" s="632" t="s">
        <v>2340</v>
      </c>
      <c r="P19" s="653" t="s">
        <v>2341</v>
      </c>
      <c r="Q19" s="632" t="s">
        <v>465</v>
      </c>
      <c r="R19" s="632" t="s">
        <v>465</v>
      </c>
      <c r="S19" s="632" t="s">
        <v>465</v>
      </c>
      <c r="T19" s="632" t="s">
        <v>465</v>
      </c>
      <c r="U19" s="632" t="s">
        <v>2342</v>
      </c>
      <c r="V19" s="653" t="s">
        <v>2296</v>
      </c>
      <c r="W19" s="632" t="s">
        <v>465</v>
      </c>
      <c r="X19" s="632" t="s">
        <v>465</v>
      </c>
      <c r="Y19" s="632"/>
      <c r="Z19" s="632"/>
      <c r="AA19" s="738" t="s">
        <v>2343</v>
      </c>
      <c r="AB19" s="738" t="s">
        <v>2343</v>
      </c>
      <c r="AC19" s="738" t="s">
        <v>622</v>
      </c>
      <c r="AD19" s="738" t="s">
        <v>2299</v>
      </c>
      <c r="AE19" s="702">
        <v>1739.951</v>
      </c>
      <c r="AF19" s="671">
        <f>AH19+AK19+AN19+AP19+AR19</f>
        <v>1739.951</v>
      </c>
      <c r="AG19" s="671">
        <f t="shared" si="2"/>
        <v>0</v>
      </c>
      <c r="AH19" s="702">
        <v>1612.943</v>
      </c>
      <c r="AI19" s="683">
        <v>0.92700000000000005</v>
      </c>
      <c r="AJ19" s="683">
        <v>6.1999999999999998E-3</v>
      </c>
      <c r="AK19" s="702">
        <v>110.468</v>
      </c>
      <c r="AL19" s="683">
        <v>6.3500000000000001E-2</v>
      </c>
      <c r="AM19" s="683"/>
      <c r="AN19" s="702">
        <v>16.54</v>
      </c>
      <c r="AO19" s="683">
        <v>9.4999999999999998E-3</v>
      </c>
      <c r="AP19" s="702"/>
      <c r="AQ19" s="683" t="s">
        <v>465</v>
      </c>
      <c r="AR19" s="702"/>
      <c r="AS19" s="683" t="s">
        <v>465</v>
      </c>
      <c r="AT19" s="632" t="s">
        <v>465</v>
      </c>
      <c r="AU19" s="632" t="s">
        <v>465</v>
      </c>
      <c r="AV19" s="632" t="s">
        <v>465</v>
      </c>
      <c r="AW19" s="632" t="s">
        <v>479</v>
      </c>
      <c r="AX19" s="632" t="s">
        <v>465</v>
      </c>
      <c r="AY19" s="632" t="s">
        <v>465</v>
      </c>
      <c r="AZ19" s="683" t="s">
        <v>465</v>
      </c>
      <c r="BA19" s="671">
        <v>700</v>
      </c>
      <c r="BB19" s="683">
        <v>3.0999999999999999E-3</v>
      </c>
      <c r="BC19" s="710">
        <v>500</v>
      </c>
      <c r="BD19" s="710">
        <v>380</v>
      </c>
      <c r="BE19" s="706">
        <v>380</v>
      </c>
      <c r="BF19" s="710">
        <v>0</v>
      </c>
      <c r="BG19" s="710">
        <v>0</v>
      </c>
      <c r="BH19" s="710">
        <v>0</v>
      </c>
      <c r="BI19" s="710">
        <v>0</v>
      </c>
      <c r="BJ19" s="710">
        <v>0</v>
      </c>
      <c r="BK19" s="710">
        <v>0</v>
      </c>
      <c r="BL19" s="710">
        <v>0</v>
      </c>
      <c r="BM19" s="710">
        <v>0</v>
      </c>
      <c r="BN19" s="710">
        <v>0</v>
      </c>
      <c r="BO19" s="710">
        <v>380</v>
      </c>
      <c r="BP19" s="710">
        <v>0</v>
      </c>
      <c r="BQ19" s="710">
        <v>0</v>
      </c>
      <c r="BR19" s="710">
        <v>0</v>
      </c>
      <c r="BS19" s="710">
        <v>0</v>
      </c>
      <c r="BT19" s="710">
        <v>0</v>
      </c>
      <c r="BU19" s="710">
        <v>0</v>
      </c>
      <c r="BV19" s="710">
        <v>0</v>
      </c>
      <c r="BW19" s="710">
        <v>0</v>
      </c>
      <c r="BX19" s="710">
        <v>0</v>
      </c>
      <c r="BY19" s="710">
        <v>0</v>
      </c>
      <c r="BZ19" s="710">
        <v>0</v>
      </c>
      <c r="CA19" s="717">
        <f>SUM(BF19:BZ19)</f>
        <v>380</v>
      </c>
      <c r="CB19" s="717">
        <f t="shared" si="3"/>
        <v>380</v>
      </c>
      <c r="CC19" s="717">
        <f t="shared" si="4"/>
        <v>0</v>
      </c>
      <c r="CD19" s="671">
        <v>93.42</v>
      </c>
      <c r="CE19" s="632" t="s">
        <v>2344</v>
      </c>
      <c r="CF19" s="632" t="s">
        <v>465</v>
      </c>
      <c r="CG19" s="683">
        <v>2.3099999999999999E-2</v>
      </c>
      <c r="CH19" s="671">
        <v>4038.1509999999998</v>
      </c>
      <c r="CI19" s="733" t="s">
        <v>2302</v>
      </c>
      <c r="CJ19" s="632" t="s">
        <v>465</v>
      </c>
      <c r="CK19" s="632" t="s">
        <v>465</v>
      </c>
      <c r="CL19" s="632" t="s">
        <v>465</v>
      </c>
      <c r="CM19" s="710" t="s">
        <v>465</v>
      </c>
      <c r="CN19" s="710" t="s">
        <v>465</v>
      </c>
      <c r="CO19" s="710">
        <v>5</v>
      </c>
      <c r="CP19" s="738" t="s">
        <v>479</v>
      </c>
      <c r="CQ19" s="738" t="s">
        <v>465</v>
      </c>
      <c r="CR19" s="738" t="s">
        <v>465</v>
      </c>
      <c r="CS19" s="632" t="s">
        <v>471</v>
      </c>
      <c r="CT19" s="632" t="s">
        <v>2345</v>
      </c>
      <c r="CU19" s="710"/>
      <c r="CV19" s="738" t="s">
        <v>479</v>
      </c>
      <c r="CW19" s="738" t="s">
        <v>465</v>
      </c>
      <c r="CX19" s="738" t="s">
        <v>465</v>
      </c>
      <c r="CY19" s="738" t="s">
        <v>479</v>
      </c>
      <c r="CZ19" s="738" t="s">
        <v>465</v>
      </c>
      <c r="DA19" s="738" t="s">
        <v>465</v>
      </c>
      <c r="DB19" s="738" t="s">
        <v>479</v>
      </c>
      <c r="DC19" s="738" t="s">
        <v>465</v>
      </c>
      <c r="DD19" s="738" t="s">
        <v>465</v>
      </c>
      <c r="DE19" s="738" t="s">
        <v>479</v>
      </c>
      <c r="DF19" s="738" t="s">
        <v>465</v>
      </c>
      <c r="DG19" s="738" t="s">
        <v>465</v>
      </c>
      <c r="DH19" s="738" t="s">
        <v>479</v>
      </c>
      <c r="DI19" s="738" t="s">
        <v>465</v>
      </c>
      <c r="DJ19" s="738" t="s">
        <v>465</v>
      </c>
      <c r="DK19" s="738" t="s">
        <v>479</v>
      </c>
      <c r="DL19" s="738" t="s">
        <v>465</v>
      </c>
      <c r="DM19" s="738" t="s">
        <v>465</v>
      </c>
      <c r="DN19" s="738" t="s">
        <v>479</v>
      </c>
      <c r="DO19" s="738" t="s">
        <v>465</v>
      </c>
      <c r="DP19" s="738" t="s">
        <v>465</v>
      </c>
      <c r="DQ19" s="632" t="s">
        <v>471</v>
      </c>
      <c r="DR19" s="632" t="s">
        <v>2345</v>
      </c>
      <c r="DS19" s="710">
        <v>100000</v>
      </c>
      <c r="DT19" s="738" t="s">
        <v>479</v>
      </c>
      <c r="DU19" s="738" t="s">
        <v>465</v>
      </c>
      <c r="DV19" s="738" t="s">
        <v>465</v>
      </c>
      <c r="DW19" s="738" t="s">
        <v>479</v>
      </c>
      <c r="DX19" s="738" t="s">
        <v>465</v>
      </c>
      <c r="DY19" s="738" t="s">
        <v>465</v>
      </c>
      <c r="DZ19" s="738" t="s">
        <v>479</v>
      </c>
      <c r="EA19" s="738" t="s">
        <v>465</v>
      </c>
      <c r="EB19" s="738" t="s">
        <v>465</v>
      </c>
      <c r="EC19" s="738" t="s">
        <v>479</v>
      </c>
      <c r="ED19" s="738" t="s">
        <v>465</v>
      </c>
      <c r="EE19" s="738" t="s">
        <v>465</v>
      </c>
      <c r="EF19" s="738" t="s">
        <v>479</v>
      </c>
      <c r="EG19" s="738" t="s">
        <v>465</v>
      </c>
      <c r="EH19" s="738" t="s">
        <v>465</v>
      </c>
      <c r="EI19" s="738" t="s">
        <v>479</v>
      </c>
      <c r="EJ19" s="738" t="s">
        <v>465</v>
      </c>
      <c r="EK19" s="738" t="s">
        <v>465</v>
      </c>
      <c r="EL19" s="688">
        <v>1</v>
      </c>
      <c r="EM19" s="632" t="s">
        <v>465</v>
      </c>
      <c r="EN19" s="670" t="s">
        <v>2347</v>
      </c>
      <c r="EO19" s="738" t="s">
        <v>471</v>
      </c>
      <c r="EP19" s="738" t="s">
        <v>2348</v>
      </c>
      <c r="EQ19" s="653" t="s">
        <v>2349</v>
      </c>
      <c r="ER19" s="632" t="s">
        <v>465</v>
      </c>
      <c r="ES19" s="632" t="s">
        <v>465</v>
      </c>
      <c r="ET19" s="632" t="s">
        <v>2350</v>
      </c>
      <c r="EU19" s="632" t="s">
        <v>2351</v>
      </c>
      <c r="EV19" s="738" t="s">
        <v>2352</v>
      </c>
      <c r="EW19" s="738" t="s">
        <v>465</v>
      </c>
      <c r="EX19" s="738" t="s">
        <v>465</v>
      </c>
    </row>
    <row r="20" spans="3:154" ht="111.95" customHeight="1" x14ac:dyDescent="0.2">
      <c r="C20" s="1156" t="s">
        <v>693</v>
      </c>
      <c r="D20" s="1156" t="s">
        <v>5278</v>
      </c>
      <c r="E20" s="1104" t="s">
        <v>293</v>
      </c>
      <c r="F20" s="1104" t="s">
        <v>378</v>
      </c>
      <c r="G20" s="1109" t="s">
        <v>2661</v>
      </c>
      <c r="H20" s="1109" t="s">
        <v>2662</v>
      </c>
      <c r="I20" s="1109" t="s">
        <v>2663</v>
      </c>
      <c r="J20" s="1110">
        <v>2020</v>
      </c>
      <c r="K20" s="1105">
        <v>44013</v>
      </c>
      <c r="L20" s="1105">
        <v>44134</v>
      </c>
      <c r="M20" s="1369">
        <f t="shared" si="5"/>
        <v>121</v>
      </c>
      <c r="N20" s="1105"/>
      <c r="O20" s="1105"/>
      <c r="P20" s="1105"/>
      <c r="Q20" s="1105"/>
      <c r="R20" s="1105"/>
      <c r="S20" s="1105"/>
      <c r="T20" s="1105"/>
      <c r="U20" s="1105"/>
      <c r="V20" s="1105"/>
      <c r="W20" s="1105"/>
      <c r="X20" s="1105"/>
      <c r="Y20" s="1109" t="s">
        <v>2666</v>
      </c>
      <c r="Z20" s="1127" t="s">
        <v>2667</v>
      </c>
      <c r="AA20" s="1109" t="s">
        <v>2668</v>
      </c>
      <c r="AB20" s="1109" t="s">
        <v>2669</v>
      </c>
      <c r="AC20" s="1109" t="s">
        <v>622</v>
      </c>
      <c r="AD20" s="1109" t="s">
        <v>2670</v>
      </c>
      <c r="AE20" s="1112">
        <v>0.41199999999999998</v>
      </c>
      <c r="AF20" s="1113">
        <f t="shared" si="1"/>
        <v>0.41240000000000004</v>
      </c>
      <c r="AG20" s="1113">
        <f t="shared" si="2"/>
        <v>4.0000000000006697E-4</v>
      </c>
      <c r="AH20" s="1112"/>
      <c r="AI20" s="1113"/>
      <c r="AJ20" s="1113"/>
      <c r="AK20" s="1112">
        <v>0.376</v>
      </c>
      <c r="AL20" s="1114">
        <v>0.91259999999999997</v>
      </c>
      <c r="AM20" s="1114">
        <v>5.0000000000000001E-4</v>
      </c>
      <c r="AN20" s="1112">
        <v>0.02</v>
      </c>
      <c r="AO20" s="1114">
        <v>4.8500000000000001E-2</v>
      </c>
      <c r="AP20" s="1112">
        <v>1.6400000000000001E-2</v>
      </c>
      <c r="AQ20" s="1114">
        <v>3.8899999999999997E-2</v>
      </c>
      <c r="AR20" s="1112"/>
      <c r="AS20" s="1114"/>
      <c r="AT20" s="1114"/>
      <c r="AU20" s="1114"/>
      <c r="AV20" s="1114"/>
      <c r="AW20" s="1114" t="s">
        <v>471</v>
      </c>
      <c r="AX20" s="1114" t="s">
        <v>2671</v>
      </c>
      <c r="AY20" s="1114"/>
      <c r="AZ20" s="1114"/>
      <c r="BA20" s="1113">
        <v>0.88</v>
      </c>
      <c r="BB20" s="1114">
        <v>1.2999999999999999E-3</v>
      </c>
      <c r="BC20" s="1115">
        <v>12</v>
      </c>
      <c r="BD20" s="1115">
        <v>3</v>
      </c>
      <c r="BE20" s="1116">
        <v>3</v>
      </c>
      <c r="BF20" s="1115"/>
      <c r="BG20" s="1115"/>
      <c r="BH20" s="1115"/>
      <c r="BI20" s="1115"/>
      <c r="BJ20" s="1115"/>
      <c r="BK20" s="1115"/>
      <c r="BL20" s="1115"/>
      <c r="BM20" s="1115"/>
      <c r="BN20" s="1115">
        <v>1</v>
      </c>
      <c r="BO20" s="1115"/>
      <c r="BP20" s="1115">
        <v>1</v>
      </c>
      <c r="BQ20" s="1115"/>
      <c r="BR20" s="1115">
        <v>1</v>
      </c>
      <c r="BS20" s="1115"/>
      <c r="BT20" s="1115"/>
      <c r="BU20" s="1115"/>
      <c r="BV20" s="1115"/>
      <c r="BW20" s="1115"/>
      <c r="BX20" s="1115"/>
      <c r="BY20" s="1115"/>
      <c r="BZ20" s="1115"/>
      <c r="CA20" s="1117">
        <v>3</v>
      </c>
      <c r="CB20" s="1117">
        <f t="shared" si="3"/>
        <v>3</v>
      </c>
      <c r="CC20" s="1117">
        <f t="shared" si="4"/>
        <v>0</v>
      </c>
      <c r="CD20" s="1113">
        <v>2.2999999999999998</v>
      </c>
      <c r="CE20" s="1109" t="s">
        <v>2672</v>
      </c>
      <c r="CF20" s="1109"/>
      <c r="CG20" s="1114">
        <v>0.12959999999999999</v>
      </c>
      <c r="CH20" s="1113">
        <v>17.753</v>
      </c>
      <c r="CI20" s="1139" t="s">
        <v>2302</v>
      </c>
      <c r="CJ20" s="1109" t="s">
        <v>479</v>
      </c>
      <c r="CK20" s="1109"/>
      <c r="CL20" s="1109"/>
      <c r="CM20" s="1115"/>
      <c r="CN20" s="1115"/>
      <c r="CO20" s="1115">
        <v>2</v>
      </c>
      <c r="CP20" s="1109" t="s">
        <v>471</v>
      </c>
      <c r="CQ20" s="1109" t="s">
        <v>2673</v>
      </c>
      <c r="CR20" s="1115">
        <v>80</v>
      </c>
      <c r="CS20" s="1109" t="s">
        <v>471</v>
      </c>
      <c r="CT20" s="1109" t="s">
        <v>2674</v>
      </c>
      <c r="CU20" s="1115">
        <v>242</v>
      </c>
      <c r="CV20" s="1115" t="s">
        <v>479</v>
      </c>
      <c r="CW20" s="1115"/>
      <c r="CX20" s="1115"/>
      <c r="CY20" s="1115" t="s">
        <v>479</v>
      </c>
      <c r="CZ20" s="1115"/>
      <c r="DA20" s="1115"/>
      <c r="DB20" s="1109" t="s">
        <v>479</v>
      </c>
      <c r="DC20" s="1109"/>
      <c r="DD20" s="1115"/>
      <c r="DE20" s="1109" t="s">
        <v>479</v>
      </c>
      <c r="DF20" s="1109"/>
      <c r="DG20" s="1115" t="s">
        <v>465</v>
      </c>
      <c r="DH20" s="1109" t="s">
        <v>479</v>
      </c>
      <c r="DI20" s="1109"/>
      <c r="DJ20" s="1115"/>
      <c r="DK20" s="1109" t="s">
        <v>479</v>
      </c>
      <c r="DL20" s="1109"/>
      <c r="DM20" s="1115"/>
      <c r="DN20" s="1109" t="s">
        <v>479</v>
      </c>
      <c r="DO20" s="1109"/>
      <c r="DP20" s="1115"/>
      <c r="DQ20" s="1109" t="s">
        <v>471</v>
      </c>
      <c r="DR20" s="1109" t="s">
        <v>2675</v>
      </c>
      <c r="DS20" s="1115" t="s">
        <v>465</v>
      </c>
      <c r="DT20" s="1115" t="s">
        <v>479</v>
      </c>
      <c r="DU20" s="1115"/>
      <c r="DV20" s="1115"/>
      <c r="DW20" s="1109" t="s">
        <v>479</v>
      </c>
      <c r="DX20" s="1109"/>
      <c r="DY20" s="1115"/>
      <c r="DZ20" s="1109" t="s">
        <v>479</v>
      </c>
      <c r="EA20" s="1109"/>
      <c r="EB20" s="1115"/>
      <c r="EC20" s="1109" t="s">
        <v>479</v>
      </c>
      <c r="ED20" s="1109"/>
      <c r="EE20" s="1115"/>
      <c r="EF20" s="1115" t="s">
        <v>471</v>
      </c>
      <c r="EG20" s="1115" t="s">
        <v>2676</v>
      </c>
      <c r="EH20" s="1115">
        <v>9</v>
      </c>
      <c r="EI20" s="1109" t="s">
        <v>479</v>
      </c>
      <c r="EJ20" s="1109" t="s">
        <v>465</v>
      </c>
      <c r="EK20" s="1115" t="s">
        <v>465</v>
      </c>
      <c r="EL20" s="1115"/>
      <c r="EM20" s="1115"/>
      <c r="EN20" s="1115"/>
      <c r="EO20" s="1109" t="s">
        <v>479</v>
      </c>
      <c r="EP20" s="1109"/>
      <c r="EQ20" s="1109"/>
      <c r="ER20" s="1127"/>
      <c r="ES20" s="1109"/>
      <c r="ET20" s="1135" t="s">
        <v>2677</v>
      </c>
      <c r="EU20" s="1109" t="s">
        <v>2678</v>
      </c>
      <c r="EV20" s="1109" t="s">
        <v>2679</v>
      </c>
      <c r="EW20" s="1109">
        <v>1</v>
      </c>
      <c r="EX20" s="1109">
        <v>15</v>
      </c>
    </row>
    <row r="21" spans="3:154" ht="111.95" customHeight="1" x14ac:dyDescent="0.2">
      <c r="C21" s="1156" t="s">
        <v>693</v>
      </c>
      <c r="D21" s="1156" t="s">
        <v>5278</v>
      </c>
      <c r="E21" s="1104" t="s">
        <v>293</v>
      </c>
      <c r="F21" s="1104" t="s">
        <v>378</v>
      </c>
      <c r="G21" s="1109" t="s">
        <v>2680</v>
      </c>
      <c r="H21" s="1109" t="s">
        <v>2681</v>
      </c>
      <c r="I21" s="1109" t="s">
        <v>2663</v>
      </c>
      <c r="J21" s="1110">
        <v>2020</v>
      </c>
      <c r="K21" s="1105">
        <v>43961</v>
      </c>
      <c r="L21" s="1105">
        <v>44196</v>
      </c>
      <c r="M21" s="1369">
        <f t="shared" si="5"/>
        <v>235</v>
      </c>
      <c r="N21" s="1105"/>
      <c r="O21" s="1105"/>
      <c r="P21" s="1105"/>
      <c r="Q21" s="1105"/>
      <c r="R21" s="1105"/>
      <c r="S21" s="1105"/>
      <c r="T21" s="1105"/>
      <c r="U21" s="1105"/>
      <c r="V21" s="1105"/>
      <c r="W21" s="1105"/>
      <c r="X21" s="1105"/>
      <c r="Y21" s="1109" t="s">
        <v>2683</v>
      </c>
      <c r="Z21" s="1127" t="s">
        <v>2684</v>
      </c>
      <c r="AA21" s="1109" t="s">
        <v>2685</v>
      </c>
      <c r="AB21" s="1109" t="s">
        <v>2686</v>
      </c>
      <c r="AC21" s="1109" t="s">
        <v>622</v>
      </c>
      <c r="AD21" s="1109" t="s">
        <v>2687</v>
      </c>
      <c r="AE21" s="1112">
        <v>1.7090000000000001</v>
      </c>
      <c r="AF21" s="1113">
        <f t="shared" si="1"/>
        <v>1.7089999999999999</v>
      </c>
      <c r="AG21" s="1113">
        <f t="shared" si="2"/>
        <v>0</v>
      </c>
      <c r="AH21" s="1112"/>
      <c r="AI21" s="1113"/>
      <c r="AJ21" s="1113"/>
      <c r="AK21" s="1112">
        <v>1.236</v>
      </c>
      <c r="AL21" s="1114">
        <v>0.72319999999999995</v>
      </c>
      <c r="AM21" s="1114">
        <v>8.0000000000000004E-4</v>
      </c>
      <c r="AN21" s="1112">
        <v>0.32700000000000001</v>
      </c>
      <c r="AO21" s="1114">
        <v>0.19139999999999999</v>
      </c>
      <c r="AP21" s="1112">
        <v>0.14599999999999999</v>
      </c>
      <c r="AQ21" s="1114">
        <v>8.5400000000000004E-2</v>
      </c>
      <c r="AR21" s="1112"/>
      <c r="AS21" s="1114"/>
      <c r="AT21" s="1114"/>
      <c r="AU21" s="1114"/>
      <c r="AV21" s="1114"/>
      <c r="AW21" s="1114" t="s">
        <v>471</v>
      </c>
      <c r="AX21" s="1114" t="s">
        <v>2688</v>
      </c>
      <c r="AY21" s="1114"/>
      <c r="AZ21" s="1114"/>
      <c r="BA21" s="1113"/>
      <c r="BB21" s="1114"/>
      <c r="BC21" s="1115">
        <v>15</v>
      </c>
      <c r="BD21" s="1115">
        <v>4</v>
      </c>
      <c r="BE21" s="1116">
        <v>4</v>
      </c>
      <c r="BF21" s="1115">
        <v>2</v>
      </c>
      <c r="BG21" s="1115">
        <v>1</v>
      </c>
      <c r="BH21" s="1115"/>
      <c r="BI21" s="1115"/>
      <c r="BJ21" s="1115"/>
      <c r="BK21" s="1115">
        <v>1</v>
      </c>
      <c r="BL21" s="1115"/>
      <c r="BM21" s="1115"/>
      <c r="BN21" s="1115"/>
      <c r="BO21" s="1115"/>
      <c r="BP21" s="1115"/>
      <c r="BQ21" s="1115"/>
      <c r="BR21" s="1115"/>
      <c r="BS21" s="1115"/>
      <c r="BT21" s="1115"/>
      <c r="BU21" s="1115"/>
      <c r="BV21" s="1115"/>
      <c r="BW21" s="1115"/>
      <c r="BX21" s="1115"/>
      <c r="BY21" s="1115"/>
      <c r="BZ21" s="1115"/>
      <c r="CA21" s="1117">
        <f>SUM(BF21:BZ21)</f>
        <v>4</v>
      </c>
      <c r="CB21" s="1117">
        <f t="shared" si="3"/>
        <v>4</v>
      </c>
      <c r="CC21" s="1117">
        <f t="shared" si="4"/>
        <v>0</v>
      </c>
      <c r="CD21" s="1113">
        <v>1.966</v>
      </c>
      <c r="CE21" s="1109" t="s">
        <v>2689</v>
      </c>
      <c r="CF21" s="1109"/>
      <c r="CG21" s="1114">
        <v>4.0500000000000001E-2</v>
      </c>
      <c r="CH21" s="1113">
        <v>48.518999999999998</v>
      </c>
      <c r="CI21" s="1139" t="s">
        <v>2302</v>
      </c>
      <c r="CJ21" s="1109" t="s">
        <v>479</v>
      </c>
      <c r="CK21" s="1109"/>
      <c r="CL21" s="1109"/>
      <c r="CM21" s="1115"/>
      <c r="CN21" s="1115"/>
      <c r="CO21" s="1115">
        <v>2</v>
      </c>
      <c r="CP21" s="1109" t="s">
        <v>471</v>
      </c>
      <c r="CQ21" s="1109" t="s">
        <v>2673</v>
      </c>
      <c r="CR21" s="1115">
        <v>179</v>
      </c>
      <c r="CS21" s="1109" t="s">
        <v>471</v>
      </c>
      <c r="CT21" s="1109" t="s">
        <v>2690</v>
      </c>
      <c r="CU21" s="1115">
        <v>294</v>
      </c>
      <c r="CV21" s="1115" t="s">
        <v>479</v>
      </c>
      <c r="CW21" s="1115"/>
      <c r="CX21" s="1115"/>
      <c r="CY21" s="1115"/>
      <c r="CZ21" s="1115"/>
      <c r="DA21" s="1115"/>
      <c r="DB21" s="1109" t="s">
        <v>479</v>
      </c>
      <c r="DC21" s="1109"/>
      <c r="DD21" s="1115"/>
      <c r="DE21" s="1109" t="s">
        <v>479</v>
      </c>
      <c r="DF21" s="1109"/>
      <c r="DG21" s="1115"/>
      <c r="DH21" s="1109" t="s">
        <v>479</v>
      </c>
      <c r="DI21" s="1109"/>
      <c r="DJ21" s="1115"/>
      <c r="DK21" s="1109" t="s">
        <v>479</v>
      </c>
      <c r="DL21" s="1109"/>
      <c r="DM21" s="1115"/>
      <c r="DN21" s="1109" t="s">
        <v>479</v>
      </c>
      <c r="DO21" s="1109"/>
      <c r="DP21" s="1115"/>
      <c r="DQ21" s="1109" t="s">
        <v>471</v>
      </c>
      <c r="DR21" s="1109" t="s">
        <v>2690</v>
      </c>
      <c r="DS21" s="1115">
        <v>154</v>
      </c>
      <c r="DT21" s="1115" t="s">
        <v>479</v>
      </c>
      <c r="DU21" s="1115"/>
      <c r="DV21" s="1115"/>
      <c r="DW21" s="1109" t="s">
        <v>479</v>
      </c>
      <c r="DX21" s="1109"/>
      <c r="DY21" s="1115"/>
      <c r="DZ21" s="1109" t="s">
        <v>479</v>
      </c>
      <c r="EA21" s="1109"/>
      <c r="EB21" s="1115"/>
      <c r="EC21" s="1109" t="s">
        <v>479</v>
      </c>
      <c r="ED21" s="1109"/>
      <c r="EE21" s="1115"/>
      <c r="EF21" s="1115" t="s">
        <v>471</v>
      </c>
      <c r="EG21" s="1115" t="s">
        <v>2691</v>
      </c>
      <c r="EH21" s="1115">
        <v>7</v>
      </c>
      <c r="EI21" s="1109" t="s">
        <v>479</v>
      </c>
      <c r="EJ21" s="1109"/>
      <c r="EK21" s="1115"/>
      <c r="EL21" s="1115"/>
      <c r="EM21" s="1115"/>
      <c r="EN21" s="1115"/>
      <c r="EO21" s="1109" t="s">
        <v>479</v>
      </c>
      <c r="EP21" s="1109"/>
      <c r="EQ21" s="1135"/>
      <c r="ER21" s="1127" t="s">
        <v>2692</v>
      </c>
      <c r="ES21" s="1189"/>
      <c r="ET21" s="1109"/>
      <c r="EU21" s="1127" t="s">
        <v>2693</v>
      </c>
      <c r="EV21" s="1109" t="s">
        <v>2679</v>
      </c>
      <c r="EW21" s="1109">
        <v>2</v>
      </c>
      <c r="EX21" s="1109">
        <v>16</v>
      </c>
    </row>
    <row r="22" spans="3:154" customFormat="1" ht="111.95" customHeight="1" x14ac:dyDescent="0.25">
      <c r="C22" s="1156" t="s">
        <v>693</v>
      </c>
      <c r="D22" s="1156" t="s">
        <v>5278</v>
      </c>
      <c r="E22" s="1104" t="s">
        <v>293</v>
      </c>
      <c r="F22" s="1104" t="s">
        <v>378</v>
      </c>
      <c r="G22" s="1187" t="s">
        <v>2694</v>
      </c>
      <c r="H22" s="1187" t="s">
        <v>2662</v>
      </c>
      <c r="I22" s="1187" t="s">
        <v>2663</v>
      </c>
      <c r="J22" s="1190">
        <v>2018</v>
      </c>
      <c r="K22" s="1105">
        <v>44120</v>
      </c>
      <c r="L22" s="1105">
        <v>44196</v>
      </c>
      <c r="M22" s="1369">
        <f t="shared" si="5"/>
        <v>76</v>
      </c>
      <c r="N22" s="1105"/>
      <c r="O22" s="1105"/>
      <c r="P22" s="1105"/>
      <c r="Q22" s="1105"/>
      <c r="R22" s="1105"/>
      <c r="S22" s="1105"/>
      <c r="T22" s="1105"/>
      <c r="U22" s="1105"/>
      <c r="V22" s="1105"/>
      <c r="W22" s="1105"/>
      <c r="X22" s="1105"/>
      <c r="Y22" s="1187" t="s">
        <v>2696</v>
      </c>
      <c r="Z22" s="1188" t="s">
        <v>2697</v>
      </c>
      <c r="AA22" s="1187" t="s">
        <v>2698</v>
      </c>
      <c r="AB22" s="1187" t="s">
        <v>2699</v>
      </c>
      <c r="AC22" s="1187" t="s">
        <v>622</v>
      </c>
      <c r="AD22" s="1187" t="s">
        <v>2670</v>
      </c>
      <c r="AE22" s="1112">
        <v>0.23799999999999999</v>
      </c>
      <c r="AF22" s="1113">
        <f t="shared" si="1"/>
        <v>0.23800000000000002</v>
      </c>
      <c r="AG22" s="1113">
        <f t="shared" si="2"/>
        <v>0</v>
      </c>
      <c r="AH22" s="1112"/>
      <c r="AI22" s="1113"/>
      <c r="AJ22" s="1113"/>
      <c r="AK22" s="1112">
        <v>0.218</v>
      </c>
      <c r="AL22" s="1114">
        <v>0.91600000000000004</v>
      </c>
      <c r="AM22" s="1114">
        <v>2.0000000000000001E-4</v>
      </c>
      <c r="AN22" s="1112">
        <v>0.01</v>
      </c>
      <c r="AO22" s="1114">
        <v>4.2000000000000003E-2</v>
      </c>
      <c r="AP22" s="1112">
        <v>0.01</v>
      </c>
      <c r="AQ22" s="1114">
        <v>4.2000000000000003E-2</v>
      </c>
      <c r="AR22" s="1112"/>
      <c r="AS22" s="1114"/>
      <c r="AT22" s="1114"/>
      <c r="AU22" s="1114"/>
      <c r="AV22" s="1114"/>
      <c r="AW22" s="1114" t="s">
        <v>471</v>
      </c>
      <c r="AX22" s="1114" t="s">
        <v>2700</v>
      </c>
      <c r="AY22" s="1113">
        <v>0.01</v>
      </c>
      <c r="AZ22" s="1114">
        <v>4.2000000000000003E-2</v>
      </c>
      <c r="BA22" s="1113">
        <v>1</v>
      </c>
      <c r="BB22" s="1114">
        <v>1.1000000000000001E-3</v>
      </c>
      <c r="BC22" s="1115">
        <v>2</v>
      </c>
      <c r="BD22" s="1115">
        <v>2</v>
      </c>
      <c r="BE22" s="1116">
        <v>1</v>
      </c>
      <c r="BF22" s="1115"/>
      <c r="BG22" s="1115">
        <v>1</v>
      </c>
      <c r="BH22" s="1115"/>
      <c r="BI22" s="1115"/>
      <c r="BJ22" s="1115"/>
      <c r="BK22" s="1115"/>
      <c r="BL22" s="1115"/>
      <c r="BM22" s="1115"/>
      <c r="BN22" s="1115"/>
      <c r="BO22" s="1115"/>
      <c r="BP22" s="1115"/>
      <c r="BQ22" s="1115"/>
      <c r="BR22" s="1115"/>
      <c r="BS22" s="1115"/>
      <c r="BT22" s="1115"/>
      <c r="BU22" s="1115"/>
      <c r="BV22" s="1115"/>
      <c r="BW22" s="1115"/>
      <c r="BX22" s="1115"/>
      <c r="BY22" s="1115"/>
      <c r="BZ22" s="1115"/>
      <c r="CA22" s="1117">
        <f>SUM(BF22:BZ22)</f>
        <v>1</v>
      </c>
      <c r="CB22" s="1117">
        <f t="shared" si="3"/>
        <v>1</v>
      </c>
      <c r="CC22" s="1117">
        <f t="shared" si="4"/>
        <v>0</v>
      </c>
      <c r="CD22" s="1113">
        <v>10</v>
      </c>
      <c r="CE22" s="1187" t="s">
        <v>2689</v>
      </c>
      <c r="CF22" s="1109"/>
      <c r="CG22" s="1114">
        <v>0.31929999999999997</v>
      </c>
      <c r="CH22" s="1113">
        <v>31.318999999999999</v>
      </c>
      <c r="CI22" s="1191" t="s">
        <v>2302</v>
      </c>
      <c r="CJ22" s="1109" t="s">
        <v>479</v>
      </c>
      <c r="CK22" s="1109"/>
      <c r="CL22" s="1109"/>
      <c r="CM22" s="1115"/>
      <c r="CN22" s="1115"/>
      <c r="CO22" s="1115">
        <v>2</v>
      </c>
      <c r="CP22" s="1109" t="s">
        <v>471</v>
      </c>
      <c r="CQ22" s="1187" t="s">
        <v>2673</v>
      </c>
      <c r="CR22" s="1115">
        <v>387</v>
      </c>
      <c r="CS22" s="1109" t="s">
        <v>471</v>
      </c>
      <c r="CT22" s="1187" t="s">
        <v>2674</v>
      </c>
      <c r="CU22" s="1115">
        <v>51</v>
      </c>
      <c r="CV22" s="1115" t="s">
        <v>479</v>
      </c>
      <c r="CW22" s="1115"/>
      <c r="CX22" s="1115"/>
      <c r="CY22" s="1115" t="s">
        <v>479</v>
      </c>
      <c r="CZ22" s="1115"/>
      <c r="DA22" s="1115"/>
      <c r="DB22" s="1109" t="s">
        <v>479</v>
      </c>
      <c r="DC22" s="1109"/>
      <c r="DD22" s="1115"/>
      <c r="DE22" s="1109" t="s">
        <v>479</v>
      </c>
      <c r="DF22" s="1109" t="s">
        <v>465</v>
      </c>
      <c r="DG22" s="1115" t="s">
        <v>465</v>
      </c>
      <c r="DH22" s="1109" t="s">
        <v>479</v>
      </c>
      <c r="DI22" s="1109" t="s">
        <v>465</v>
      </c>
      <c r="DJ22" s="1115" t="s">
        <v>465</v>
      </c>
      <c r="DK22" s="1109" t="s">
        <v>479</v>
      </c>
      <c r="DL22" s="1109"/>
      <c r="DM22" s="1115"/>
      <c r="DN22" s="1109" t="s">
        <v>479</v>
      </c>
      <c r="DO22" s="1109"/>
      <c r="DP22" s="1115"/>
      <c r="DQ22" s="1109" t="s">
        <v>471</v>
      </c>
      <c r="DR22" s="1187" t="s">
        <v>2701</v>
      </c>
      <c r="DS22" s="1115">
        <v>51</v>
      </c>
      <c r="DT22" s="1115" t="s">
        <v>479</v>
      </c>
      <c r="DU22" s="1115"/>
      <c r="DV22" s="1115"/>
      <c r="DW22" s="1109" t="s">
        <v>479</v>
      </c>
      <c r="DX22" s="1109"/>
      <c r="DY22" s="1115"/>
      <c r="DZ22" s="1109" t="s">
        <v>479</v>
      </c>
      <c r="EA22" s="1109"/>
      <c r="EB22" s="1115"/>
      <c r="EC22" s="1109" t="s">
        <v>479</v>
      </c>
      <c r="ED22" s="1109"/>
      <c r="EE22" s="1115"/>
      <c r="EF22" s="1115" t="s">
        <v>471</v>
      </c>
      <c r="EG22" s="1115" t="s">
        <v>2702</v>
      </c>
      <c r="EH22" s="1115">
        <v>7</v>
      </c>
      <c r="EI22" s="1109" t="s">
        <v>479</v>
      </c>
      <c r="EJ22" s="1109" t="s">
        <v>465</v>
      </c>
      <c r="EK22" s="1115" t="s">
        <v>465</v>
      </c>
      <c r="EL22" s="1115"/>
      <c r="EM22" s="1115"/>
      <c r="EN22" s="1115"/>
      <c r="EO22" s="1109" t="s">
        <v>479</v>
      </c>
      <c r="EP22" s="1109" t="s">
        <v>465</v>
      </c>
      <c r="EQ22" s="1109" t="s">
        <v>465</v>
      </c>
      <c r="ER22" s="1109" t="s">
        <v>465</v>
      </c>
      <c r="ES22" s="1109" t="s">
        <v>465</v>
      </c>
      <c r="ET22" s="1109" t="s">
        <v>2703</v>
      </c>
      <c r="EU22" s="1109" t="s">
        <v>2704</v>
      </c>
      <c r="EV22" s="1109" t="s">
        <v>2679</v>
      </c>
      <c r="EW22" s="1109">
        <v>1</v>
      </c>
      <c r="EX22" s="1109">
        <v>22</v>
      </c>
    </row>
    <row r="23" spans="3:154" ht="111.95" customHeight="1" x14ac:dyDescent="0.2">
      <c r="C23" s="1156" t="s">
        <v>693</v>
      </c>
      <c r="D23" s="1156" t="s">
        <v>5278</v>
      </c>
      <c r="E23" s="1193" t="s">
        <v>293</v>
      </c>
      <c r="F23" s="1193" t="s">
        <v>378</v>
      </c>
      <c r="G23" s="1109" t="s">
        <v>2705</v>
      </c>
      <c r="H23" s="1109" t="s">
        <v>2681</v>
      </c>
      <c r="I23" s="1109" t="s">
        <v>2663</v>
      </c>
      <c r="J23" s="1110">
        <v>2020</v>
      </c>
      <c r="K23" s="1105">
        <v>43901</v>
      </c>
      <c r="L23" s="1105">
        <v>44134</v>
      </c>
      <c r="M23" s="1369">
        <f t="shared" si="5"/>
        <v>233</v>
      </c>
      <c r="N23" s="1105"/>
      <c r="O23" s="1105"/>
      <c r="P23" s="1105"/>
      <c r="Q23" s="1105"/>
      <c r="R23" s="1105"/>
      <c r="S23" s="1105"/>
      <c r="T23" s="1105"/>
      <c r="U23" s="1105"/>
      <c r="V23" s="1105"/>
      <c r="W23" s="1105"/>
      <c r="X23" s="1105"/>
      <c r="Y23" s="1109" t="s">
        <v>2707</v>
      </c>
      <c r="Z23" s="1131" t="s">
        <v>2708</v>
      </c>
      <c r="AA23" s="1109" t="s">
        <v>2709</v>
      </c>
      <c r="AB23" s="1109" t="s">
        <v>2710</v>
      </c>
      <c r="AC23" s="1109" t="s">
        <v>622</v>
      </c>
      <c r="AD23" s="1109" t="s">
        <v>2670</v>
      </c>
      <c r="AE23" s="1112">
        <v>0.4</v>
      </c>
      <c r="AF23" s="1113">
        <f t="shared" si="1"/>
        <v>0.4</v>
      </c>
      <c r="AG23" s="1113">
        <f t="shared" si="2"/>
        <v>0</v>
      </c>
      <c r="AH23" s="1112"/>
      <c r="AI23" s="1113"/>
      <c r="AJ23" s="1113"/>
      <c r="AK23" s="1112">
        <v>0.245</v>
      </c>
      <c r="AL23" s="1114">
        <v>0.61250000000000004</v>
      </c>
      <c r="AM23" s="1194">
        <v>2.9999999999999997E-4</v>
      </c>
      <c r="AN23" s="1112">
        <v>5.5E-2</v>
      </c>
      <c r="AO23" s="1114">
        <v>0.13750000000000001</v>
      </c>
      <c r="AP23" s="1112">
        <v>0.1</v>
      </c>
      <c r="AQ23" s="1114">
        <v>0.25</v>
      </c>
      <c r="AR23" s="1112"/>
      <c r="AS23" s="1114"/>
      <c r="AT23" s="1114"/>
      <c r="AU23" s="1114"/>
      <c r="AV23" s="1114"/>
      <c r="AW23" s="1114" t="s">
        <v>471</v>
      </c>
      <c r="AX23" s="1114" t="s">
        <v>2711</v>
      </c>
      <c r="AY23" s="1116"/>
      <c r="AZ23" s="1114"/>
      <c r="BA23" s="1113">
        <v>1</v>
      </c>
      <c r="BB23" s="1114">
        <v>8.0000000000000004E-4</v>
      </c>
      <c r="BC23" s="1115">
        <v>1</v>
      </c>
      <c r="BD23" s="1115">
        <v>1</v>
      </c>
      <c r="BE23" s="1116">
        <v>1</v>
      </c>
      <c r="BF23" s="1115"/>
      <c r="BG23" s="1115">
        <v>1</v>
      </c>
      <c r="BH23" s="1115"/>
      <c r="BI23" s="1115"/>
      <c r="BJ23" s="1115"/>
      <c r="BK23" s="1115"/>
      <c r="BL23" s="1115"/>
      <c r="BM23" s="1115"/>
      <c r="BN23" s="1115"/>
      <c r="BO23" s="1115"/>
      <c r="BP23" s="1115"/>
      <c r="BQ23" s="1115"/>
      <c r="BR23" s="1115"/>
      <c r="BS23" s="1115"/>
      <c r="BT23" s="1115"/>
      <c r="BU23" s="1115"/>
      <c r="BV23" s="1115"/>
      <c r="BW23" s="1115"/>
      <c r="BX23" s="1115"/>
      <c r="BY23" s="1115"/>
      <c r="BZ23" s="1115"/>
      <c r="CA23" s="1117">
        <f>SUM(BF23:BZ23)</f>
        <v>1</v>
      </c>
      <c r="CB23" s="1117">
        <f t="shared" si="3"/>
        <v>1</v>
      </c>
      <c r="CC23" s="1117">
        <f t="shared" si="4"/>
        <v>0</v>
      </c>
      <c r="CD23" s="1113">
        <v>0.1</v>
      </c>
      <c r="CE23" s="1109" t="s">
        <v>2689</v>
      </c>
      <c r="CF23" s="1109"/>
      <c r="CG23" s="1114">
        <v>3.5999999999999999E-3</v>
      </c>
      <c r="CH23" s="1113">
        <v>27.766999999999999</v>
      </c>
      <c r="CI23" s="1149" t="s">
        <v>2302</v>
      </c>
      <c r="CJ23" s="1109" t="s">
        <v>479</v>
      </c>
      <c r="CK23" s="1109" t="s">
        <v>465</v>
      </c>
      <c r="CL23" s="1109" t="s">
        <v>465</v>
      </c>
      <c r="CM23" s="1115" t="s">
        <v>465</v>
      </c>
      <c r="CN23" s="1115" t="s">
        <v>465</v>
      </c>
      <c r="CO23" s="1115">
        <v>3</v>
      </c>
      <c r="CP23" s="1109" t="s">
        <v>479</v>
      </c>
      <c r="CQ23" s="1109" t="s">
        <v>465</v>
      </c>
      <c r="CR23" s="1115" t="s">
        <v>465</v>
      </c>
      <c r="CS23" s="1109" t="s">
        <v>471</v>
      </c>
      <c r="CT23" s="1109" t="s">
        <v>2674</v>
      </c>
      <c r="CU23" s="1115">
        <v>14</v>
      </c>
      <c r="CV23" s="1115" t="s">
        <v>479</v>
      </c>
      <c r="CW23" s="1115" t="s">
        <v>465</v>
      </c>
      <c r="CX23" s="1115" t="s">
        <v>465</v>
      </c>
      <c r="CY23" s="1115" t="s">
        <v>479</v>
      </c>
      <c r="CZ23" s="1115" t="s">
        <v>465</v>
      </c>
      <c r="DA23" s="1115" t="s">
        <v>465</v>
      </c>
      <c r="DB23" s="1109" t="s">
        <v>479</v>
      </c>
      <c r="DC23" s="1109"/>
      <c r="DD23" s="1115"/>
      <c r="DE23" s="1109" t="s">
        <v>479</v>
      </c>
      <c r="DF23" s="1109"/>
      <c r="DG23" s="1115"/>
      <c r="DH23" s="1109" t="s">
        <v>479</v>
      </c>
      <c r="DI23" s="1109"/>
      <c r="DJ23" s="1115"/>
      <c r="DK23" s="1109" t="s">
        <v>479</v>
      </c>
      <c r="DL23" s="1109"/>
      <c r="DM23" s="1115"/>
      <c r="DN23" s="1109" t="s">
        <v>479</v>
      </c>
      <c r="DO23" s="1109"/>
      <c r="DP23" s="1115"/>
      <c r="DQ23" s="1109" t="s">
        <v>479</v>
      </c>
      <c r="DR23" s="1109"/>
      <c r="DS23" s="1115"/>
      <c r="DT23" s="1115" t="s">
        <v>479</v>
      </c>
      <c r="DU23" s="1115"/>
      <c r="DV23" s="1115"/>
      <c r="DW23" s="1109" t="s">
        <v>479</v>
      </c>
      <c r="DX23" s="1109"/>
      <c r="DY23" s="1115"/>
      <c r="DZ23" s="1109" t="s">
        <v>479</v>
      </c>
      <c r="EA23" s="1109"/>
      <c r="EB23" s="1115"/>
      <c r="EC23" s="1109" t="s">
        <v>479</v>
      </c>
      <c r="ED23" s="1109"/>
      <c r="EE23" s="1115"/>
      <c r="EF23" s="1115" t="s">
        <v>471</v>
      </c>
      <c r="EG23" s="1115" t="s">
        <v>2702</v>
      </c>
      <c r="EH23" s="1115">
        <v>7</v>
      </c>
      <c r="EI23" s="1109" t="s">
        <v>479</v>
      </c>
      <c r="EJ23" s="1109" t="s">
        <v>465</v>
      </c>
      <c r="EK23" s="1115" t="s">
        <v>465</v>
      </c>
      <c r="EL23" s="1115"/>
      <c r="EM23" s="1115"/>
      <c r="EN23" s="1115"/>
      <c r="EO23" s="1109" t="s">
        <v>479</v>
      </c>
      <c r="EP23" s="1109"/>
      <c r="EQ23" s="1109"/>
      <c r="ER23" s="1109" t="s">
        <v>465</v>
      </c>
      <c r="ES23" s="1109" t="s">
        <v>465</v>
      </c>
      <c r="ET23" s="1109" t="s">
        <v>2712</v>
      </c>
      <c r="EU23" s="1109" t="s">
        <v>2713</v>
      </c>
      <c r="EV23" s="1109" t="s">
        <v>2714</v>
      </c>
      <c r="EW23" s="1109">
        <v>1</v>
      </c>
      <c r="EX23" s="1109">
        <v>13</v>
      </c>
    </row>
    <row r="24" spans="3:154" x14ac:dyDescent="0.2">
      <c r="C24" s="1156"/>
      <c r="D24" s="1156"/>
      <c r="E24" s="1454" t="s">
        <v>294</v>
      </c>
      <c r="F24" s="1454" t="s">
        <v>379</v>
      </c>
      <c r="G24" s="1454"/>
      <c r="H24" s="1460"/>
      <c r="I24" s="1460"/>
      <c r="J24" s="1460"/>
      <c r="K24" s="1460"/>
      <c r="L24" s="1460"/>
      <c r="M24" s="1369">
        <f t="shared" si="5"/>
        <v>0</v>
      </c>
      <c r="N24" s="1460"/>
      <c r="O24" s="1460"/>
      <c r="P24" s="1460"/>
      <c r="Q24" s="1460"/>
      <c r="R24" s="1460"/>
      <c r="S24" s="1460"/>
      <c r="T24" s="1460"/>
      <c r="U24" s="1460"/>
      <c r="V24" s="1460"/>
      <c r="W24" s="1460"/>
      <c r="X24" s="1460"/>
      <c r="Y24" s="1460"/>
      <c r="Z24" s="1460"/>
      <c r="AA24" s="1460"/>
      <c r="AB24" s="1460"/>
      <c r="AC24" s="1460"/>
      <c r="AD24" s="1460"/>
      <c r="AE24" s="1461"/>
      <c r="AF24" s="1462">
        <f t="shared" si="1"/>
        <v>0</v>
      </c>
      <c r="AG24" s="1462">
        <f t="shared" si="2"/>
        <v>0</v>
      </c>
      <c r="AH24" s="1461"/>
      <c r="AI24" s="1460"/>
      <c r="AJ24" s="1460"/>
      <c r="AK24" s="1461"/>
      <c r="AL24" s="1460"/>
      <c r="AM24" s="1460"/>
      <c r="AN24" s="1461"/>
      <c r="AO24" s="1460"/>
      <c r="AP24" s="1461"/>
      <c r="AQ24" s="1460"/>
      <c r="AR24" s="1461"/>
      <c r="AS24" s="1460"/>
      <c r="AT24" s="1460"/>
      <c r="AU24" s="1460"/>
      <c r="AV24" s="1460"/>
      <c r="AW24" s="1460"/>
      <c r="AX24" s="1460"/>
      <c r="AY24" s="1460"/>
      <c r="AZ24" s="1460"/>
      <c r="BA24" s="1460"/>
      <c r="BB24" s="1460"/>
      <c r="BC24" s="1460"/>
      <c r="BD24" s="1460"/>
      <c r="BE24" s="1463"/>
      <c r="BF24" s="1460"/>
      <c r="BG24" s="1460"/>
      <c r="BH24" s="1460"/>
      <c r="BI24" s="1460"/>
      <c r="BJ24" s="1460"/>
      <c r="BK24" s="1460"/>
      <c r="BL24" s="1460"/>
      <c r="BM24" s="1460"/>
      <c r="BN24" s="1460"/>
      <c r="BO24" s="1460"/>
      <c r="BP24" s="1460"/>
      <c r="BQ24" s="1460"/>
      <c r="BR24" s="1460"/>
      <c r="BS24" s="1460"/>
      <c r="BT24" s="1460"/>
      <c r="BU24" s="1460"/>
      <c r="BV24" s="1460"/>
      <c r="BW24" s="1460"/>
      <c r="BX24" s="1460"/>
      <c r="BY24" s="1460"/>
      <c r="BZ24" s="1460"/>
      <c r="CA24" s="1460"/>
      <c r="CB24" s="1464">
        <f t="shared" si="3"/>
        <v>0</v>
      </c>
      <c r="CC24" s="1464">
        <f t="shared" si="4"/>
        <v>0</v>
      </c>
      <c r="CD24" s="1460"/>
      <c r="CE24" s="1460"/>
      <c r="CF24" s="1460"/>
      <c r="CG24" s="1460"/>
      <c r="CH24" s="1460"/>
      <c r="CI24" s="1460"/>
      <c r="CJ24" s="1460"/>
      <c r="CK24" s="1460"/>
      <c r="CL24" s="1460"/>
      <c r="CM24" s="1460"/>
      <c r="CN24" s="1460"/>
      <c r="CO24" s="1460"/>
      <c r="CP24" s="1460"/>
      <c r="CQ24" s="1460"/>
      <c r="CR24" s="1460"/>
      <c r="CS24" s="1460"/>
      <c r="CT24" s="1460"/>
      <c r="CU24" s="1460"/>
      <c r="CV24" s="1460"/>
      <c r="CW24" s="1460"/>
      <c r="CX24" s="1460"/>
      <c r="CY24" s="1460"/>
      <c r="CZ24" s="1460"/>
      <c r="DA24" s="1460"/>
      <c r="DB24" s="1460"/>
      <c r="DC24" s="1460"/>
      <c r="DD24" s="1460"/>
      <c r="DE24" s="1460"/>
      <c r="DF24" s="1460"/>
      <c r="DG24" s="1460"/>
      <c r="DH24" s="1460"/>
      <c r="DI24" s="1460"/>
      <c r="DJ24" s="1460"/>
      <c r="DK24" s="1460"/>
      <c r="DL24" s="1460"/>
      <c r="DM24" s="1460"/>
      <c r="DN24" s="1460"/>
      <c r="DO24" s="1460"/>
      <c r="DP24" s="1460"/>
      <c r="DQ24" s="1460"/>
      <c r="DR24" s="1460"/>
      <c r="DS24" s="1460"/>
      <c r="DT24" s="1460"/>
      <c r="DU24" s="1460"/>
      <c r="DV24" s="1460"/>
      <c r="DW24" s="1460"/>
      <c r="DX24" s="1460"/>
      <c r="DY24" s="1460"/>
      <c r="DZ24" s="1460"/>
      <c r="EA24" s="1460"/>
      <c r="EB24" s="1460"/>
      <c r="EC24" s="1460"/>
      <c r="ED24" s="1460"/>
      <c r="EE24" s="1460"/>
      <c r="EF24" s="1460"/>
      <c r="EG24" s="1460"/>
      <c r="EH24" s="1460"/>
      <c r="EI24" s="1460"/>
      <c r="EJ24" s="1460"/>
      <c r="EK24" s="1460"/>
      <c r="EL24" s="1460"/>
      <c r="EM24" s="1460"/>
      <c r="EN24" s="1460"/>
      <c r="EO24" s="1460"/>
      <c r="EP24" s="1460"/>
      <c r="EQ24" s="1460"/>
      <c r="ER24" s="1460"/>
      <c r="ES24" s="1460"/>
      <c r="ET24" s="1460"/>
      <c r="EU24" s="1460"/>
      <c r="EV24" s="1460"/>
      <c r="EW24" s="1460"/>
      <c r="EX24" s="1460"/>
    </row>
    <row r="25" spans="3:154" ht="66.95" customHeight="1" x14ac:dyDescent="0.2">
      <c r="C25" s="1156" t="s">
        <v>693</v>
      </c>
      <c r="D25" s="1156" t="s">
        <v>5277</v>
      </c>
      <c r="E25" s="738" t="s">
        <v>295</v>
      </c>
      <c r="F25" s="738" t="s">
        <v>380</v>
      </c>
      <c r="G25" s="738"/>
      <c r="H25" s="661" t="s">
        <v>640</v>
      </c>
      <c r="I25" s="661" t="s">
        <v>640</v>
      </c>
      <c r="J25" s="1169">
        <v>2018</v>
      </c>
      <c r="K25" s="1095">
        <v>43831</v>
      </c>
      <c r="L25" s="1095">
        <v>44195</v>
      </c>
      <c r="M25" s="1369">
        <f t="shared" si="5"/>
        <v>364</v>
      </c>
      <c r="N25" s="661" t="s">
        <v>643</v>
      </c>
      <c r="O25" s="661" t="s">
        <v>644</v>
      </c>
      <c r="P25" s="661" t="s">
        <v>645</v>
      </c>
      <c r="Q25" s="661" t="s">
        <v>504</v>
      </c>
      <c r="R25" s="661"/>
      <c r="S25" s="661" t="s">
        <v>504</v>
      </c>
      <c r="T25" s="661"/>
      <c r="U25" s="661" t="s">
        <v>504</v>
      </c>
      <c r="V25" s="661"/>
      <c r="W25" s="661" t="s">
        <v>646</v>
      </c>
      <c r="X25" s="661" t="s">
        <v>647</v>
      </c>
      <c r="Y25" s="661"/>
      <c r="Z25" s="661"/>
      <c r="AA25" s="661" t="s">
        <v>648</v>
      </c>
      <c r="AB25" s="661" t="s">
        <v>648</v>
      </c>
      <c r="AC25" s="661" t="s">
        <v>519</v>
      </c>
      <c r="AD25" s="661" t="s">
        <v>649</v>
      </c>
      <c r="AE25" s="676">
        <v>107.7</v>
      </c>
      <c r="AF25" s="671">
        <f t="shared" si="1"/>
        <v>107.7</v>
      </c>
      <c r="AG25" s="671">
        <f t="shared" si="2"/>
        <v>0</v>
      </c>
      <c r="AH25" s="676">
        <v>95.5</v>
      </c>
      <c r="AI25" s="1171">
        <v>0.878</v>
      </c>
      <c r="AJ25" s="1171">
        <v>1.1999999999999999E-3</v>
      </c>
      <c r="AK25" s="676">
        <v>6.5</v>
      </c>
      <c r="AL25" s="1171">
        <v>6.0199999999999997E-2</v>
      </c>
      <c r="AM25" s="1171"/>
      <c r="AN25" s="676">
        <v>5.7</v>
      </c>
      <c r="AO25" s="1171">
        <v>5.2900000000000003E-2</v>
      </c>
      <c r="AP25" s="676">
        <v>0</v>
      </c>
      <c r="AQ25" s="1172">
        <v>0</v>
      </c>
      <c r="AR25" s="676">
        <v>0</v>
      </c>
      <c r="AS25" s="1172">
        <v>0</v>
      </c>
      <c r="AT25" s="661" t="s">
        <v>504</v>
      </c>
      <c r="AU25" s="661" t="s">
        <v>504</v>
      </c>
      <c r="AV25" s="661">
        <v>0</v>
      </c>
      <c r="AW25" s="661" t="s">
        <v>504</v>
      </c>
      <c r="AX25" s="661" t="s">
        <v>504</v>
      </c>
      <c r="AY25" s="661">
        <v>0</v>
      </c>
      <c r="AZ25" s="1171">
        <v>0</v>
      </c>
      <c r="BA25" s="1172">
        <v>100</v>
      </c>
      <c r="BB25" s="1171">
        <v>1.2999999999999999E-3</v>
      </c>
      <c r="BC25" s="735">
        <v>227</v>
      </c>
      <c r="BD25" s="735">
        <v>227</v>
      </c>
      <c r="BE25" s="1173">
        <v>119</v>
      </c>
      <c r="BF25" s="735">
        <v>0</v>
      </c>
      <c r="BG25" s="735">
        <v>0</v>
      </c>
      <c r="BH25" s="735">
        <v>1</v>
      </c>
      <c r="BI25" s="735">
        <v>0</v>
      </c>
      <c r="BJ25" s="735">
        <v>0</v>
      </c>
      <c r="BK25" s="735">
        <v>0</v>
      </c>
      <c r="BL25" s="735">
        <v>0</v>
      </c>
      <c r="BM25" s="735">
        <v>0</v>
      </c>
      <c r="BN25" s="735">
        <v>5</v>
      </c>
      <c r="BO25" s="735">
        <v>0</v>
      </c>
      <c r="BP25" s="735">
        <v>13</v>
      </c>
      <c r="BQ25" s="735">
        <v>13</v>
      </c>
      <c r="BR25" s="735">
        <v>85</v>
      </c>
      <c r="BS25" s="735">
        <v>2</v>
      </c>
      <c r="BT25" s="735">
        <v>0</v>
      </c>
      <c r="BU25" s="735">
        <v>0</v>
      </c>
      <c r="BV25" s="735">
        <v>0</v>
      </c>
      <c r="BW25" s="735">
        <v>0</v>
      </c>
      <c r="BX25" s="735">
        <v>0</v>
      </c>
      <c r="BY25" s="735">
        <v>0</v>
      </c>
      <c r="BZ25" s="735">
        <v>0</v>
      </c>
      <c r="CA25" s="1195">
        <f t="shared" ref="CA25:CA31" si="6">SUM(BF25:BZ25)</f>
        <v>119</v>
      </c>
      <c r="CB25" s="717">
        <f t="shared" si="3"/>
        <v>119</v>
      </c>
      <c r="CC25" s="717">
        <f t="shared" si="4"/>
        <v>0</v>
      </c>
      <c r="CD25" s="1172">
        <v>330</v>
      </c>
      <c r="CE25" s="661" t="s">
        <v>650</v>
      </c>
      <c r="CF25" s="661" t="s">
        <v>651</v>
      </c>
      <c r="CG25" s="1171">
        <v>0.27600000000000002</v>
      </c>
      <c r="CH25" s="1172">
        <v>119291</v>
      </c>
      <c r="CI25" s="1171" t="s">
        <v>652</v>
      </c>
      <c r="CJ25" s="661" t="s">
        <v>500</v>
      </c>
      <c r="CK25" s="661" t="s">
        <v>654</v>
      </c>
      <c r="CL25" s="661" t="s">
        <v>504</v>
      </c>
      <c r="CM25" s="735">
        <v>0</v>
      </c>
      <c r="CN25" s="735">
        <v>3</v>
      </c>
      <c r="CO25" s="735">
        <v>0</v>
      </c>
      <c r="CP25" s="661" t="s">
        <v>504</v>
      </c>
      <c r="CQ25" s="661"/>
      <c r="CR25" s="735"/>
      <c r="CS25" s="661" t="s">
        <v>500</v>
      </c>
      <c r="CT25" s="661" t="s">
        <v>655</v>
      </c>
      <c r="CU25" s="735">
        <v>25000</v>
      </c>
      <c r="CV25" s="735" t="s">
        <v>656</v>
      </c>
      <c r="CW25" s="735" t="s">
        <v>657</v>
      </c>
      <c r="CX25" s="735">
        <v>1520</v>
      </c>
      <c r="CY25" s="735" t="s">
        <v>504</v>
      </c>
      <c r="CZ25" s="735"/>
      <c r="DA25" s="735"/>
      <c r="DB25" s="661" t="s">
        <v>504</v>
      </c>
      <c r="DC25" s="661"/>
      <c r="DD25" s="735"/>
      <c r="DE25" s="661" t="s">
        <v>504</v>
      </c>
      <c r="DF25" s="661"/>
      <c r="DG25" s="735"/>
      <c r="DH25" s="661" t="s">
        <v>504</v>
      </c>
      <c r="DI25" s="661"/>
      <c r="DJ25" s="735"/>
      <c r="DK25" s="661" t="s">
        <v>504</v>
      </c>
      <c r="DL25" s="661"/>
      <c r="DM25" s="735"/>
      <c r="DN25" s="661" t="s">
        <v>504</v>
      </c>
      <c r="DO25" s="661"/>
      <c r="DP25" s="735"/>
      <c r="DQ25" s="661" t="s">
        <v>500</v>
      </c>
      <c r="DR25" s="661" t="s">
        <v>658</v>
      </c>
      <c r="DS25" s="735">
        <v>25000</v>
      </c>
      <c r="DT25" s="735" t="s">
        <v>504</v>
      </c>
      <c r="DU25" s="735"/>
      <c r="DV25" s="735"/>
      <c r="DW25" s="661" t="s">
        <v>504</v>
      </c>
      <c r="DX25" s="661"/>
      <c r="DY25" s="735"/>
      <c r="DZ25" s="661" t="s">
        <v>504</v>
      </c>
      <c r="EA25" s="661"/>
      <c r="EB25" s="735"/>
      <c r="EC25" s="661" t="s">
        <v>504</v>
      </c>
      <c r="ED25" s="661"/>
      <c r="EE25" s="735"/>
      <c r="EF25" s="735" t="s">
        <v>504</v>
      </c>
      <c r="EG25" s="735"/>
      <c r="EH25" s="735"/>
      <c r="EI25" s="661" t="s">
        <v>504</v>
      </c>
      <c r="EJ25" s="661"/>
      <c r="EK25" s="735"/>
      <c r="EL25" s="742">
        <v>1</v>
      </c>
      <c r="EM25" s="661" t="s">
        <v>504</v>
      </c>
      <c r="EN25" s="1196">
        <v>95</v>
      </c>
      <c r="EO25" s="661" t="s">
        <v>504</v>
      </c>
      <c r="EP25" s="661"/>
      <c r="EQ25" s="661"/>
      <c r="ER25" s="661"/>
      <c r="ES25" s="661"/>
      <c r="ET25" s="661" t="s">
        <v>659</v>
      </c>
      <c r="EU25" s="661"/>
      <c r="EV25" s="661" t="s">
        <v>504</v>
      </c>
      <c r="EW25" s="661"/>
      <c r="EX25" s="661"/>
    </row>
    <row r="26" spans="3:154" ht="78" customHeight="1" x14ac:dyDescent="0.2">
      <c r="C26" s="1156" t="s">
        <v>1423</v>
      </c>
      <c r="D26" s="1156" t="s">
        <v>5277</v>
      </c>
      <c r="E26" s="738" t="s">
        <v>296</v>
      </c>
      <c r="F26" s="738" t="s">
        <v>381</v>
      </c>
      <c r="G26" s="738"/>
      <c r="H26" s="632" t="s">
        <v>2353</v>
      </c>
      <c r="I26" s="632" t="s">
        <v>2354</v>
      </c>
      <c r="J26" s="637">
        <v>2013</v>
      </c>
      <c r="K26" s="377">
        <v>43738</v>
      </c>
      <c r="L26" s="377">
        <v>44104</v>
      </c>
      <c r="M26" s="1369">
        <f t="shared" si="5"/>
        <v>366</v>
      </c>
      <c r="N26" s="632" t="s">
        <v>2355</v>
      </c>
      <c r="O26" s="632" t="s">
        <v>2356</v>
      </c>
      <c r="P26" s="632" t="s">
        <v>2357</v>
      </c>
      <c r="Q26" s="632" t="s">
        <v>504</v>
      </c>
      <c r="R26" s="632"/>
      <c r="S26" s="632" t="s">
        <v>2358</v>
      </c>
      <c r="T26" s="632" t="s">
        <v>2359</v>
      </c>
      <c r="U26" s="632" t="s">
        <v>2360</v>
      </c>
      <c r="V26" s="632" t="s">
        <v>2361</v>
      </c>
      <c r="W26" s="632" t="s">
        <v>504</v>
      </c>
      <c r="X26" s="632"/>
      <c r="Y26" s="632"/>
      <c r="Z26" s="632"/>
      <c r="AA26" s="632" t="s">
        <v>2362</v>
      </c>
      <c r="AB26" s="632" t="s">
        <v>2363</v>
      </c>
      <c r="AC26" s="632" t="s">
        <v>767</v>
      </c>
      <c r="AD26" s="632" t="s">
        <v>2364</v>
      </c>
      <c r="AE26" s="702">
        <v>60</v>
      </c>
      <c r="AF26" s="671">
        <f t="shared" si="1"/>
        <v>60</v>
      </c>
      <c r="AG26" s="671">
        <f t="shared" si="2"/>
        <v>0</v>
      </c>
      <c r="AH26" s="702">
        <v>60</v>
      </c>
      <c r="AI26" s="683">
        <v>1</v>
      </c>
      <c r="AJ26" s="683">
        <v>6.9999999999999999E-4</v>
      </c>
      <c r="AK26" s="702">
        <v>0</v>
      </c>
      <c r="AL26" s="683">
        <v>0</v>
      </c>
      <c r="AM26" s="683"/>
      <c r="AN26" s="702">
        <v>0</v>
      </c>
      <c r="AO26" s="683">
        <v>0</v>
      </c>
      <c r="AP26" s="702">
        <v>0</v>
      </c>
      <c r="AQ26" s="683">
        <v>0</v>
      </c>
      <c r="AR26" s="702">
        <v>0</v>
      </c>
      <c r="AS26" s="683">
        <v>0</v>
      </c>
      <c r="AT26" s="632" t="s">
        <v>504</v>
      </c>
      <c r="AU26" s="632" t="s">
        <v>504</v>
      </c>
      <c r="AV26" s="632" t="s">
        <v>504</v>
      </c>
      <c r="AW26" s="632" t="s">
        <v>504</v>
      </c>
      <c r="AX26" s="632"/>
      <c r="AY26" s="632"/>
      <c r="AZ26" s="683"/>
      <c r="BA26" s="700">
        <v>60</v>
      </c>
      <c r="BB26" s="683">
        <v>6.9999999999999999E-4</v>
      </c>
      <c r="BC26" s="710">
        <v>1324</v>
      </c>
      <c r="BD26" s="710">
        <v>1324</v>
      </c>
      <c r="BE26" s="706">
        <v>1054</v>
      </c>
      <c r="BF26" s="710">
        <v>4</v>
      </c>
      <c r="BG26" s="710"/>
      <c r="BH26" s="710">
        <v>15</v>
      </c>
      <c r="BI26" s="710">
        <v>68</v>
      </c>
      <c r="BJ26" s="710"/>
      <c r="BK26" s="710"/>
      <c r="BL26" s="710"/>
      <c r="BM26" s="710"/>
      <c r="BN26" s="710">
        <v>307</v>
      </c>
      <c r="BO26" s="710">
        <v>531</v>
      </c>
      <c r="BP26" s="710">
        <v>129</v>
      </c>
      <c r="BQ26" s="710"/>
      <c r="BR26" s="710"/>
      <c r="BS26" s="710"/>
      <c r="BT26" s="710"/>
      <c r="BU26" s="710"/>
      <c r="BV26" s="710"/>
      <c r="BW26" s="710"/>
      <c r="BX26" s="710"/>
      <c r="BY26" s="710"/>
      <c r="BZ26" s="710"/>
      <c r="CA26" s="717">
        <f t="shared" si="6"/>
        <v>1054</v>
      </c>
      <c r="CB26" s="717">
        <f t="shared" si="3"/>
        <v>1054</v>
      </c>
      <c r="CC26" s="717">
        <f t="shared" si="4"/>
        <v>0</v>
      </c>
      <c r="CD26" s="671">
        <v>231</v>
      </c>
      <c r="CE26" s="632" t="s">
        <v>2365</v>
      </c>
      <c r="CF26" s="632"/>
      <c r="CG26" s="683">
        <v>0.23430000000000001</v>
      </c>
      <c r="CH26" s="671">
        <v>985.9</v>
      </c>
      <c r="CI26" s="683" t="s">
        <v>2366</v>
      </c>
      <c r="CJ26" s="632" t="s">
        <v>500</v>
      </c>
      <c r="CK26" s="632" t="s">
        <v>2367</v>
      </c>
      <c r="CL26" s="632" t="s">
        <v>2368</v>
      </c>
      <c r="CM26" s="710">
        <v>6</v>
      </c>
      <c r="CN26" s="710"/>
      <c r="CO26" s="710"/>
      <c r="CP26" s="632"/>
      <c r="CQ26" s="632"/>
      <c r="CR26" s="710"/>
      <c r="CS26" s="632"/>
      <c r="CT26" s="632"/>
      <c r="CU26" s="710"/>
      <c r="CV26" s="710" t="s">
        <v>500</v>
      </c>
      <c r="CW26" s="710" t="s">
        <v>2369</v>
      </c>
      <c r="CX26" s="710">
        <v>1324</v>
      </c>
      <c r="CY26" s="710"/>
      <c r="CZ26" s="710"/>
      <c r="DA26" s="710"/>
      <c r="DB26" s="632"/>
      <c r="DC26" s="632"/>
      <c r="DD26" s="710"/>
      <c r="DE26" s="632"/>
      <c r="DF26" s="632"/>
      <c r="DG26" s="710"/>
      <c r="DH26" s="632"/>
      <c r="DI26" s="632"/>
      <c r="DJ26" s="710"/>
      <c r="DK26" s="632"/>
      <c r="DL26" s="632"/>
      <c r="DM26" s="710"/>
      <c r="DN26" s="632"/>
      <c r="DO26" s="632"/>
      <c r="DP26" s="710"/>
      <c r="DQ26" s="632"/>
      <c r="DR26" s="632"/>
      <c r="DS26" s="710"/>
      <c r="DT26" s="710"/>
      <c r="DU26" s="710"/>
      <c r="DV26" s="710"/>
      <c r="DW26" s="632"/>
      <c r="DX26" s="632"/>
      <c r="DY26" s="710"/>
      <c r="DZ26" s="632"/>
      <c r="EA26" s="632"/>
      <c r="EB26" s="710"/>
      <c r="EC26" s="632" t="s">
        <v>500</v>
      </c>
      <c r="ED26" s="632" t="s">
        <v>2370</v>
      </c>
      <c r="EE26" s="710">
        <v>12</v>
      </c>
      <c r="EF26" s="710"/>
      <c r="EG26" s="710"/>
      <c r="EH26" s="710"/>
      <c r="EI26" s="632"/>
      <c r="EJ26" s="632"/>
      <c r="EK26" s="710"/>
      <c r="EL26" s="688">
        <v>1</v>
      </c>
      <c r="EM26" s="632"/>
      <c r="EN26" s="670">
        <v>235</v>
      </c>
      <c r="EO26" s="632" t="s">
        <v>500</v>
      </c>
      <c r="EP26" s="632" t="s">
        <v>2371</v>
      </c>
      <c r="EQ26" s="632" t="s">
        <v>2372</v>
      </c>
      <c r="ER26" s="632" t="s">
        <v>2373</v>
      </c>
      <c r="ES26" s="632"/>
      <c r="ET26" s="632"/>
      <c r="EU26" s="632"/>
      <c r="EV26" s="632" t="s">
        <v>2374</v>
      </c>
      <c r="EW26" s="632">
        <v>26</v>
      </c>
      <c r="EX26" s="632">
        <v>754</v>
      </c>
    </row>
    <row r="27" spans="3:154" ht="90" customHeight="1" x14ac:dyDescent="0.2">
      <c r="C27" s="1156" t="s">
        <v>5479</v>
      </c>
      <c r="D27" s="1156" t="s">
        <v>5277</v>
      </c>
      <c r="E27" s="738" t="s">
        <v>297</v>
      </c>
      <c r="F27" s="738" t="s">
        <v>382</v>
      </c>
      <c r="G27" s="738"/>
      <c r="H27" s="738" t="s">
        <v>959</v>
      </c>
      <c r="I27" s="738" t="s">
        <v>959</v>
      </c>
      <c r="J27" s="1165">
        <v>2017</v>
      </c>
      <c r="K27" s="1096">
        <v>43831</v>
      </c>
      <c r="L27" s="1096">
        <v>44196</v>
      </c>
      <c r="M27" s="1369">
        <f t="shared" si="5"/>
        <v>365</v>
      </c>
      <c r="N27" s="632" t="s">
        <v>973</v>
      </c>
      <c r="O27" s="632" t="s">
        <v>974</v>
      </c>
      <c r="P27" s="653" t="s">
        <v>975</v>
      </c>
      <c r="Q27" s="632"/>
      <c r="R27" s="632"/>
      <c r="S27" s="632"/>
      <c r="T27" s="632"/>
      <c r="U27" s="632"/>
      <c r="V27" s="632"/>
      <c r="W27" s="632"/>
      <c r="X27" s="632"/>
      <c r="Y27" s="632"/>
      <c r="Z27" s="632"/>
      <c r="AA27" s="632" t="s">
        <v>976</v>
      </c>
      <c r="AB27" s="632" t="s">
        <v>976</v>
      </c>
      <c r="AC27" s="632" t="s">
        <v>622</v>
      </c>
      <c r="AD27" s="632" t="s">
        <v>977</v>
      </c>
      <c r="AE27" s="702">
        <v>563.98599999999999</v>
      </c>
      <c r="AF27" s="671">
        <f t="shared" si="1"/>
        <v>563.98699999999997</v>
      </c>
      <c r="AG27" s="671">
        <f t="shared" si="2"/>
        <v>9.9999999997635314E-4</v>
      </c>
      <c r="AH27" s="702">
        <v>45.167999999999999</v>
      </c>
      <c r="AI27" s="683">
        <f>AH27/AE27*100%</f>
        <v>8.0087094360498309E-2</v>
      </c>
      <c r="AJ27" s="683">
        <v>5.9999999999999995E-4</v>
      </c>
      <c r="AK27" s="702">
        <v>25.669</v>
      </c>
      <c r="AL27" s="683">
        <f>AK27/AE27*100%</f>
        <v>4.5513541116268846E-2</v>
      </c>
      <c r="AM27" s="683"/>
      <c r="AN27" s="702">
        <v>15.19</v>
      </c>
      <c r="AO27" s="683">
        <f>AN27/AE27*100%</f>
        <v>2.6933292670385436E-2</v>
      </c>
      <c r="AP27" s="702"/>
      <c r="AQ27" s="683"/>
      <c r="AR27" s="702">
        <v>477.96</v>
      </c>
      <c r="AS27" s="683">
        <f>AR27/AE27*100%</f>
        <v>0.84746784494650573</v>
      </c>
      <c r="AT27" s="632" t="s">
        <v>978</v>
      </c>
      <c r="AU27" s="632" t="s">
        <v>946</v>
      </c>
      <c r="AV27" s="632" t="s">
        <v>976</v>
      </c>
      <c r="AW27" s="632" t="s">
        <v>479</v>
      </c>
      <c r="AX27" s="632"/>
      <c r="AY27" s="632"/>
      <c r="AZ27" s="683"/>
      <c r="BA27" s="632">
        <v>462.95</v>
      </c>
      <c r="BB27" s="683">
        <v>0.02</v>
      </c>
      <c r="BC27" s="710">
        <v>169</v>
      </c>
      <c r="BD27" s="710">
        <v>169</v>
      </c>
      <c r="BE27" s="706">
        <v>169</v>
      </c>
      <c r="BF27" s="710"/>
      <c r="BG27" s="710"/>
      <c r="BH27" s="710"/>
      <c r="BI27" s="710"/>
      <c r="BJ27" s="710"/>
      <c r="BK27" s="710"/>
      <c r="BL27" s="710"/>
      <c r="BM27" s="710"/>
      <c r="BN27" s="710"/>
      <c r="BO27" s="710">
        <v>125</v>
      </c>
      <c r="BP27" s="710"/>
      <c r="BQ27" s="710">
        <v>44</v>
      </c>
      <c r="BR27" s="710"/>
      <c r="BS27" s="710"/>
      <c r="BT27" s="710"/>
      <c r="BU27" s="710"/>
      <c r="BV27" s="710"/>
      <c r="BW27" s="710"/>
      <c r="BX27" s="710"/>
      <c r="BY27" s="710"/>
      <c r="BZ27" s="710"/>
      <c r="CA27" s="717">
        <f t="shared" si="6"/>
        <v>169</v>
      </c>
      <c r="CB27" s="717">
        <f t="shared" si="3"/>
        <v>169</v>
      </c>
      <c r="CC27" s="717">
        <f t="shared" si="4"/>
        <v>0</v>
      </c>
      <c r="CD27" s="671">
        <v>1077.0889999999999</v>
      </c>
      <c r="CE27" s="632" t="s">
        <v>979</v>
      </c>
      <c r="CF27" s="632"/>
      <c r="CG27" s="683">
        <v>0.79290000000000005</v>
      </c>
      <c r="CH27" s="671">
        <v>1358.4159999999999</v>
      </c>
      <c r="CI27" s="683"/>
      <c r="CJ27" s="632" t="s">
        <v>479</v>
      </c>
      <c r="CK27" s="632"/>
      <c r="CL27" s="632"/>
      <c r="CM27" s="710"/>
      <c r="CN27" s="710">
        <v>491</v>
      </c>
      <c r="CO27" s="710">
        <v>5</v>
      </c>
      <c r="CP27" s="632" t="s">
        <v>471</v>
      </c>
      <c r="CQ27" s="632" t="s">
        <v>980</v>
      </c>
      <c r="CR27" s="710">
        <v>32464</v>
      </c>
      <c r="CS27" s="632" t="s">
        <v>471</v>
      </c>
      <c r="CT27" s="632" t="s">
        <v>981</v>
      </c>
      <c r="CU27" s="710">
        <v>66023</v>
      </c>
      <c r="CV27" s="710"/>
      <c r="CW27" s="710"/>
      <c r="CX27" s="710"/>
      <c r="CY27" s="710"/>
      <c r="CZ27" s="710"/>
      <c r="DA27" s="710"/>
      <c r="DB27" s="632"/>
      <c r="DC27" s="632"/>
      <c r="DD27" s="710"/>
      <c r="DE27" s="632" t="s">
        <v>471</v>
      </c>
      <c r="DF27" s="632" t="s">
        <v>982</v>
      </c>
      <c r="DG27" s="710">
        <v>20440</v>
      </c>
      <c r="DH27" s="632"/>
      <c r="DI27" s="632"/>
      <c r="DJ27" s="710"/>
      <c r="DK27" s="632"/>
      <c r="DL27" s="632"/>
      <c r="DM27" s="710"/>
      <c r="DN27" s="632" t="s">
        <v>471</v>
      </c>
      <c r="DO27" s="632" t="s">
        <v>983</v>
      </c>
      <c r="DP27" s="710">
        <v>20440</v>
      </c>
      <c r="DQ27" s="632" t="s">
        <v>471</v>
      </c>
      <c r="DR27" s="632" t="s">
        <v>984</v>
      </c>
      <c r="DS27" s="710">
        <v>6322</v>
      </c>
      <c r="DT27" s="710"/>
      <c r="DU27" s="710"/>
      <c r="DV27" s="710"/>
      <c r="DW27" s="632"/>
      <c r="DX27" s="632"/>
      <c r="DY27" s="710"/>
      <c r="DZ27" s="632"/>
      <c r="EA27" s="632"/>
      <c r="EB27" s="710"/>
      <c r="EC27" s="632"/>
      <c r="ED27" s="632"/>
      <c r="EE27" s="710"/>
      <c r="EF27" s="710"/>
      <c r="EG27" s="710"/>
      <c r="EH27" s="710"/>
      <c r="EI27" s="632"/>
      <c r="EJ27" s="632"/>
      <c r="EK27" s="710"/>
      <c r="EL27" s="632">
        <v>31</v>
      </c>
      <c r="EM27" s="738" t="s">
        <v>985</v>
      </c>
      <c r="EN27" s="710">
        <v>31</v>
      </c>
      <c r="EO27" s="632" t="s">
        <v>479</v>
      </c>
      <c r="EP27" s="632"/>
      <c r="EQ27" s="653" t="s">
        <v>986</v>
      </c>
      <c r="ER27" s="653" t="s">
        <v>987</v>
      </c>
      <c r="ES27" s="632"/>
      <c r="ET27" s="632"/>
      <c r="EU27" s="632"/>
      <c r="EV27" s="632"/>
      <c r="EW27" s="632"/>
      <c r="EX27" s="632"/>
    </row>
    <row r="28" spans="3:154" ht="114.95" customHeight="1" x14ac:dyDescent="0.2">
      <c r="C28" s="1156" t="s">
        <v>5478</v>
      </c>
      <c r="D28" s="1156" t="s">
        <v>5277</v>
      </c>
      <c r="E28" s="738" t="s">
        <v>297</v>
      </c>
      <c r="F28" s="738" t="s">
        <v>382</v>
      </c>
      <c r="G28" s="738"/>
      <c r="H28" s="632" t="s">
        <v>988</v>
      </c>
      <c r="I28" s="632" t="s">
        <v>479</v>
      </c>
      <c r="J28" s="637">
        <v>2015</v>
      </c>
      <c r="K28" s="377">
        <v>43841</v>
      </c>
      <c r="L28" s="377">
        <v>44187</v>
      </c>
      <c r="M28" s="1369">
        <f t="shared" si="5"/>
        <v>346</v>
      </c>
      <c r="N28" s="632" t="s">
        <v>989</v>
      </c>
      <c r="O28" s="632" t="s">
        <v>990</v>
      </c>
      <c r="P28" s="653" t="s">
        <v>991</v>
      </c>
      <c r="Q28" s="632" t="s">
        <v>479</v>
      </c>
      <c r="R28" s="632"/>
      <c r="S28" s="632" t="s">
        <v>479</v>
      </c>
      <c r="T28" s="632"/>
      <c r="U28" s="632" t="s">
        <v>479</v>
      </c>
      <c r="V28" s="632"/>
      <c r="W28" s="632" t="s">
        <v>992</v>
      </c>
      <c r="X28" s="653" t="s">
        <v>991</v>
      </c>
      <c r="Y28" s="653"/>
      <c r="Z28" s="653"/>
      <c r="AA28" s="632" t="s">
        <v>993</v>
      </c>
      <c r="AB28" s="632" t="s">
        <v>993</v>
      </c>
      <c r="AC28" s="632" t="s">
        <v>622</v>
      </c>
      <c r="AD28" s="632" t="s">
        <v>994</v>
      </c>
      <c r="AE28" s="702">
        <v>47.531500000000001</v>
      </c>
      <c r="AF28" s="671">
        <f t="shared" si="1"/>
        <v>47.534800000000004</v>
      </c>
      <c r="AG28" s="671">
        <f t="shared" si="2"/>
        <v>3.3000000000029672E-3</v>
      </c>
      <c r="AH28" s="702">
        <v>9.2644000000000002</v>
      </c>
      <c r="AI28" s="683">
        <f>AH28/AE28</f>
        <v>0.19491074340174411</v>
      </c>
      <c r="AJ28" s="683">
        <v>1.2999999999999999E-4</v>
      </c>
      <c r="AK28" s="702">
        <v>1.752</v>
      </c>
      <c r="AL28" s="683">
        <f>AK28/AE28</f>
        <v>3.6859766681043099E-2</v>
      </c>
      <c r="AM28" s="683"/>
      <c r="AN28" s="702">
        <v>4.1349999999999998</v>
      </c>
      <c r="AO28" s="683">
        <f>AN28/AE28</f>
        <v>8.6994940197553189E-2</v>
      </c>
      <c r="AP28" s="702">
        <v>8.3734000000000002</v>
      </c>
      <c r="AQ28" s="683">
        <f>AP28/AE28</f>
        <v>0.17616527986703553</v>
      </c>
      <c r="AR28" s="702">
        <v>24.01</v>
      </c>
      <c r="AS28" s="683">
        <f>AR28/AE28</f>
        <v>0.50513869749534523</v>
      </c>
      <c r="AT28" s="632" t="s">
        <v>995</v>
      </c>
      <c r="AU28" s="632" t="s">
        <v>825</v>
      </c>
      <c r="AV28" s="632" t="s">
        <v>993</v>
      </c>
      <c r="AW28" s="632" t="s">
        <v>471</v>
      </c>
      <c r="AX28" s="632" t="s">
        <v>996</v>
      </c>
      <c r="AY28" s="632" t="s">
        <v>997</v>
      </c>
      <c r="AZ28" s="683"/>
      <c r="BA28" s="702">
        <v>24.941700000000001</v>
      </c>
      <c r="BB28" s="683">
        <v>3.2000000000000003E-4</v>
      </c>
      <c r="BC28" s="710">
        <v>27</v>
      </c>
      <c r="BD28" s="710">
        <v>27</v>
      </c>
      <c r="BE28" s="706">
        <v>27</v>
      </c>
      <c r="BF28" s="710"/>
      <c r="BG28" s="710">
        <v>1</v>
      </c>
      <c r="BH28" s="710">
        <v>2</v>
      </c>
      <c r="BI28" s="710"/>
      <c r="BJ28" s="710"/>
      <c r="BK28" s="710"/>
      <c r="BL28" s="710"/>
      <c r="BM28" s="710"/>
      <c r="BN28" s="710"/>
      <c r="BO28" s="710"/>
      <c r="BP28" s="710">
        <v>17</v>
      </c>
      <c r="BQ28" s="710">
        <v>4</v>
      </c>
      <c r="BR28" s="710"/>
      <c r="BS28" s="710">
        <v>3</v>
      </c>
      <c r="BT28" s="710"/>
      <c r="BU28" s="710"/>
      <c r="BV28" s="710"/>
      <c r="BW28" s="710"/>
      <c r="BX28" s="710"/>
      <c r="BY28" s="710"/>
      <c r="BZ28" s="710"/>
      <c r="CA28" s="717">
        <f t="shared" si="6"/>
        <v>27</v>
      </c>
      <c r="CB28" s="717">
        <f t="shared" si="3"/>
        <v>27</v>
      </c>
      <c r="CC28" s="717">
        <f t="shared" si="4"/>
        <v>0</v>
      </c>
      <c r="CD28" s="671">
        <v>34.08</v>
      </c>
      <c r="CE28" s="738" t="s">
        <v>998</v>
      </c>
      <c r="CF28" s="632"/>
      <c r="CG28" s="683">
        <f>CD28/CH28</f>
        <v>2.5088043721510935E-2</v>
      </c>
      <c r="CH28" s="671">
        <v>1358.4159999999999</v>
      </c>
      <c r="CI28" s="1382" t="s">
        <v>999</v>
      </c>
      <c r="CJ28" s="632" t="s">
        <v>479</v>
      </c>
      <c r="CK28" s="632"/>
      <c r="CL28" s="632"/>
      <c r="CM28" s="710"/>
      <c r="CN28" s="710"/>
      <c r="CO28" s="710">
        <v>1</v>
      </c>
      <c r="CP28" s="632" t="s">
        <v>479</v>
      </c>
      <c r="CQ28" s="632"/>
      <c r="CR28" s="710"/>
      <c r="CS28" s="632" t="s">
        <v>479</v>
      </c>
      <c r="CT28" s="632"/>
      <c r="CU28" s="710"/>
      <c r="CV28" s="710" t="s">
        <v>479</v>
      </c>
      <c r="CW28" s="710"/>
      <c r="CX28" s="710"/>
      <c r="CY28" s="710" t="s">
        <v>479</v>
      </c>
      <c r="CZ28" s="710"/>
      <c r="DA28" s="710"/>
      <c r="DB28" s="632" t="s">
        <v>479</v>
      </c>
      <c r="DC28" s="632"/>
      <c r="DD28" s="710"/>
      <c r="DE28" s="632" t="s">
        <v>479</v>
      </c>
      <c r="DF28" s="632"/>
      <c r="DG28" s="710"/>
      <c r="DH28" s="632" t="s">
        <v>479</v>
      </c>
      <c r="DI28" s="632"/>
      <c r="DJ28" s="710"/>
      <c r="DK28" s="738" t="s">
        <v>471</v>
      </c>
      <c r="DL28" s="738" t="s">
        <v>1000</v>
      </c>
      <c r="DM28" s="710">
        <v>20215</v>
      </c>
      <c r="DN28" s="632" t="s">
        <v>479</v>
      </c>
      <c r="DO28" s="632"/>
      <c r="DP28" s="710"/>
      <c r="DQ28" s="632" t="s">
        <v>471</v>
      </c>
      <c r="DR28" s="738" t="s">
        <v>1001</v>
      </c>
      <c r="DS28" s="710">
        <v>20215</v>
      </c>
      <c r="DT28" s="710" t="s">
        <v>479</v>
      </c>
      <c r="DU28" s="710"/>
      <c r="DV28" s="710"/>
      <c r="DW28" s="632" t="s">
        <v>479</v>
      </c>
      <c r="DX28" s="632"/>
      <c r="DY28" s="710"/>
      <c r="DZ28" s="632" t="s">
        <v>479</v>
      </c>
      <c r="EA28" s="632"/>
      <c r="EB28" s="710"/>
      <c r="EC28" s="632" t="s">
        <v>471</v>
      </c>
      <c r="ED28" s="632" t="s">
        <v>1002</v>
      </c>
      <c r="EE28" s="710">
        <v>7</v>
      </c>
      <c r="EF28" s="710" t="s">
        <v>479</v>
      </c>
      <c r="EG28" s="710"/>
      <c r="EH28" s="710"/>
      <c r="EI28" s="632"/>
      <c r="EJ28" s="632"/>
      <c r="EK28" s="710"/>
      <c r="EL28" s="688">
        <v>1</v>
      </c>
      <c r="EM28" s="632"/>
      <c r="EN28" s="710">
        <v>17</v>
      </c>
      <c r="EO28" s="632" t="s">
        <v>479</v>
      </c>
      <c r="EP28" s="632"/>
      <c r="EQ28" s="653" t="s">
        <v>1003</v>
      </c>
      <c r="ER28" s="632"/>
      <c r="ES28" s="632"/>
      <c r="ET28" s="632" t="s">
        <v>1004</v>
      </c>
      <c r="EU28" s="632" t="s">
        <v>479</v>
      </c>
      <c r="EV28" s="632" t="s">
        <v>479</v>
      </c>
      <c r="EW28" s="632"/>
      <c r="EX28" s="632"/>
    </row>
    <row r="29" spans="3:154" ht="98.1" customHeight="1" x14ac:dyDescent="0.2">
      <c r="C29" s="1156" t="s">
        <v>1731</v>
      </c>
      <c r="D29" s="1156" t="s">
        <v>5277</v>
      </c>
      <c r="E29" s="738" t="s">
        <v>297</v>
      </c>
      <c r="F29" s="738" t="s">
        <v>382</v>
      </c>
      <c r="G29" s="738"/>
      <c r="H29" s="632" t="s">
        <v>1005</v>
      </c>
      <c r="I29" s="632" t="s">
        <v>731</v>
      </c>
      <c r="J29" s="637">
        <v>2013</v>
      </c>
      <c r="K29" s="377">
        <v>43831</v>
      </c>
      <c r="L29" s="377">
        <v>44180</v>
      </c>
      <c r="M29" s="1369">
        <f t="shared" si="5"/>
        <v>349</v>
      </c>
      <c r="N29" s="632" t="s">
        <v>1008</v>
      </c>
      <c r="O29" s="632" t="s">
        <v>1009</v>
      </c>
      <c r="P29" s="728" t="s">
        <v>1010</v>
      </c>
      <c r="Q29" s="632"/>
      <c r="R29" s="632"/>
      <c r="S29" s="632"/>
      <c r="T29" s="632"/>
      <c r="U29" s="632"/>
      <c r="V29" s="632"/>
      <c r="W29" s="632"/>
      <c r="X29" s="632"/>
      <c r="Y29" s="632"/>
      <c r="Z29" s="632"/>
      <c r="AA29" s="632" t="s">
        <v>1011</v>
      </c>
      <c r="AB29" s="632" t="s">
        <v>1011</v>
      </c>
      <c r="AC29" s="632" t="s">
        <v>1012</v>
      </c>
      <c r="AD29" s="632" t="s">
        <v>1013</v>
      </c>
      <c r="AE29" s="702">
        <v>142.25</v>
      </c>
      <c r="AF29" s="671">
        <f t="shared" si="1"/>
        <v>142.25040000000001</v>
      </c>
      <c r="AG29" s="671">
        <f t="shared" si="2"/>
        <v>4.0000000001327862E-4</v>
      </c>
      <c r="AH29" s="702">
        <v>71.125</v>
      </c>
      <c r="AI29" s="683">
        <v>0.5</v>
      </c>
      <c r="AJ29" s="683">
        <v>8.0000000000000004E-4</v>
      </c>
      <c r="AK29" s="702"/>
      <c r="AL29" s="683"/>
      <c r="AM29" s="683"/>
      <c r="AN29" s="702">
        <v>56.738</v>
      </c>
      <c r="AO29" s="683">
        <v>0.39889999999999998</v>
      </c>
      <c r="AP29" s="702">
        <v>14.3874</v>
      </c>
      <c r="AQ29" s="683">
        <v>0.1011</v>
      </c>
      <c r="AR29" s="702"/>
      <c r="AS29" s="683"/>
      <c r="AT29" s="632"/>
      <c r="AU29" s="632"/>
      <c r="AV29" s="632"/>
      <c r="AW29" s="632"/>
      <c r="AX29" s="632"/>
      <c r="AY29" s="632"/>
      <c r="AZ29" s="683"/>
      <c r="BA29" s="632">
        <v>76.95</v>
      </c>
      <c r="BB29" s="683">
        <v>8.0000000000000004E-4</v>
      </c>
      <c r="BC29" s="710">
        <v>241</v>
      </c>
      <c r="BD29" s="710">
        <v>241</v>
      </c>
      <c r="BE29" s="706">
        <v>241</v>
      </c>
      <c r="BF29" s="710">
        <v>2</v>
      </c>
      <c r="BG29" s="710">
        <v>37</v>
      </c>
      <c r="BH29" s="710">
        <v>16</v>
      </c>
      <c r="BI29" s="710"/>
      <c r="BJ29" s="710"/>
      <c r="BK29" s="710">
        <v>37</v>
      </c>
      <c r="BL29" s="710"/>
      <c r="BM29" s="710">
        <v>4</v>
      </c>
      <c r="BN29" s="710">
        <v>16</v>
      </c>
      <c r="BO29" s="710"/>
      <c r="BP29" s="710">
        <v>18</v>
      </c>
      <c r="BQ29" s="710">
        <v>65</v>
      </c>
      <c r="BR29" s="710">
        <v>13</v>
      </c>
      <c r="BS29" s="710">
        <v>4</v>
      </c>
      <c r="BT29" s="710"/>
      <c r="BU29" s="710">
        <v>2</v>
      </c>
      <c r="BV29" s="710">
        <v>18</v>
      </c>
      <c r="BW29" s="710"/>
      <c r="BX29" s="710"/>
      <c r="BY29" s="710"/>
      <c r="BZ29" s="710">
        <v>9</v>
      </c>
      <c r="CA29" s="717">
        <f t="shared" si="6"/>
        <v>241</v>
      </c>
      <c r="CB29" s="717">
        <f t="shared" si="3"/>
        <v>241</v>
      </c>
      <c r="CC29" s="717">
        <f t="shared" si="4"/>
        <v>0</v>
      </c>
      <c r="CD29" s="671">
        <v>215.08500000000001</v>
      </c>
      <c r="CE29" s="632" t="s">
        <v>1015</v>
      </c>
      <c r="CF29" s="632"/>
      <c r="CG29" s="683">
        <v>0.158</v>
      </c>
      <c r="CH29" s="671">
        <v>1358.4159999999999</v>
      </c>
      <c r="CI29" s="683"/>
      <c r="CJ29" s="632"/>
      <c r="CK29" s="632"/>
      <c r="CL29" s="632"/>
      <c r="CM29" s="710"/>
      <c r="CN29" s="710"/>
      <c r="CO29" s="710"/>
      <c r="CP29" s="632"/>
      <c r="CQ29" s="632"/>
      <c r="CR29" s="710"/>
      <c r="CS29" s="632" t="s">
        <v>500</v>
      </c>
      <c r="CT29" s="632" t="s">
        <v>1016</v>
      </c>
      <c r="CU29" s="710">
        <v>10489</v>
      </c>
      <c r="CV29" s="710"/>
      <c r="CW29" s="710"/>
      <c r="CX29" s="710"/>
      <c r="CY29" s="710"/>
      <c r="CZ29" s="710"/>
      <c r="DA29" s="710"/>
      <c r="DB29" s="632"/>
      <c r="DC29" s="632"/>
      <c r="DD29" s="710"/>
      <c r="DE29" s="632"/>
      <c r="DF29" s="632"/>
      <c r="DG29" s="710"/>
      <c r="DH29" s="632"/>
      <c r="DI29" s="632"/>
      <c r="DJ29" s="710"/>
      <c r="DK29" s="632"/>
      <c r="DL29" s="632"/>
      <c r="DM29" s="710"/>
      <c r="DN29" s="632"/>
      <c r="DO29" s="632"/>
      <c r="DP29" s="710"/>
      <c r="DQ29" s="632"/>
      <c r="DR29" s="632"/>
      <c r="DS29" s="710"/>
      <c r="DT29" s="710"/>
      <c r="DU29" s="710"/>
      <c r="DV29" s="710"/>
      <c r="DW29" s="632"/>
      <c r="DX29" s="632"/>
      <c r="DY29" s="710"/>
      <c r="DZ29" s="632"/>
      <c r="EA29" s="632"/>
      <c r="EB29" s="710"/>
      <c r="EC29" s="632"/>
      <c r="ED29" s="632"/>
      <c r="EE29" s="710"/>
      <c r="EF29" s="710"/>
      <c r="EG29" s="710"/>
      <c r="EH29" s="710"/>
      <c r="EI29" s="632" t="s">
        <v>504</v>
      </c>
      <c r="EJ29" s="632" t="s">
        <v>1017</v>
      </c>
      <c r="EK29" s="710">
        <v>10489</v>
      </c>
      <c r="EL29" s="688">
        <v>1</v>
      </c>
      <c r="EM29" s="632"/>
      <c r="EN29" s="670">
        <v>80</v>
      </c>
      <c r="EO29" s="632" t="s">
        <v>504</v>
      </c>
      <c r="EP29" s="632"/>
      <c r="EQ29" s="728" t="s">
        <v>1010</v>
      </c>
      <c r="ER29" s="632"/>
      <c r="ES29" s="632"/>
      <c r="ET29" s="632"/>
      <c r="EU29" s="632"/>
      <c r="EV29" s="632" t="s">
        <v>504</v>
      </c>
      <c r="EW29" s="632"/>
      <c r="EX29" s="632"/>
    </row>
    <row r="30" spans="3:154" ht="98.1" customHeight="1" x14ac:dyDescent="0.2">
      <c r="C30" s="1156" t="s">
        <v>693</v>
      </c>
      <c r="D30" s="1156" t="s">
        <v>5278</v>
      </c>
      <c r="E30" s="1104" t="s">
        <v>297</v>
      </c>
      <c r="F30" s="1104" t="s">
        <v>382</v>
      </c>
      <c r="G30" s="1109" t="s">
        <v>2715</v>
      </c>
      <c r="H30" s="1109" t="s">
        <v>2716</v>
      </c>
      <c r="I30" s="1109" t="s">
        <v>219</v>
      </c>
      <c r="J30" s="1110">
        <v>2017</v>
      </c>
      <c r="K30" s="1105">
        <v>43874</v>
      </c>
      <c r="L30" s="1105">
        <v>44190</v>
      </c>
      <c r="M30" s="1369">
        <f t="shared" si="5"/>
        <v>316</v>
      </c>
      <c r="N30" s="1105"/>
      <c r="O30" s="1105"/>
      <c r="P30" s="1105"/>
      <c r="Q30" s="1105"/>
      <c r="R30" s="1105"/>
      <c r="S30" s="1105"/>
      <c r="T30" s="1105"/>
      <c r="U30" s="1105"/>
      <c r="V30" s="1105"/>
      <c r="W30" s="1105"/>
      <c r="X30" s="1105"/>
      <c r="Y30" s="1109" t="s">
        <v>2717</v>
      </c>
      <c r="Z30" s="1109" t="s">
        <v>2718</v>
      </c>
      <c r="AA30" s="1109" t="s">
        <v>2719</v>
      </c>
      <c r="AB30" s="1109" t="s">
        <v>2720</v>
      </c>
      <c r="AC30" s="1109" t="s">
        <v>767</v>
      </c>
      <c r="AD30" s="1109" t="s">
        <v>2721</v>
      </c>
      <c r="AE30" s="1112">
        <v>3.9</v>
      </c>
      <c r="AF30" s="1113">
        <f t="shared" si="1"/>
        <v>3.9</v>
      </c>
      <c r="AG30" s="1113">
        <f t="shared" si="2"/>
        <v>0</v>
      </c>
      <c r="AH30" s="1112"/>
      <c r="AI30" s="1113"/>
      <c r="AJ30" s="1113"/>
      <c r="AK30" s="1112">
        <v>2.8</v>
      </c>
      <c r="AL30" s="1114">
        <v>0.6512</v>
      </c>
      <c r="AM30" s="1114">
        <v>2E-3</v>
      </c>
      <c r="AN30" s="1112">
        <v>1</v>
      </c>
      <c r="AO30" s="1114">
        <v>0.23250000000000001</v>
      </c>
      <c r="AP30" s="1112">
        <v>0.1</v>
      </c>
      <c r="AQ30" s="1114">
        <v>2.3300000000000001E-2</v>
      </c>
      <c r="AR30" s="1112"/>
      <c r="AS30" s="1114"/>
      <c r="AT30" s="1114"/>
      <c r="AU30" s="1114"/>
      <c r="AV30" s="1114"/>
      <c r="AW30" s="1114" t="s">
        <v>500</v>
      </c>
      <c r="AX30" s="1114" t="s">
        <v>838</v>
      </c>
      <c r="AY30" s="1109">
        <v>0.4</v>
      </c>
      <c r="AZ30" s="1114">
        <v>9.2999999999999999E-2</v>
      </c>
      <c r="BA30" s="1113">
        <v>0.5</v>
      </c>
      <c r="BB30" s="1114">
        <v>8.9999999999999998E-4</v>
      </c>
      <c r="BC30" s="1115"/>
      <c r="BD30" s="1115">
        <v>10</v>
      </c>
      <c r="BE30" s="1116">
        <v>10</v>
      </c>
      <c r="BF30" s="1115">
        <v>1</v>
      </c>
      <c r="BG30" s="1115">
        <v>2</v>
      </c>
      <c r="BH30" s="1115"/>
      <c r="BI30" s="1115">
        <v>1</v>
      </c>
      <c r="BJ30" s="1115"/>
      <c r="BK30" s="1115">
        <v>3</v>
      </c>
      <c r="BL30" s="1115"/>
      <c r="BM30" s="1115"/>
      <c r="BN30" s="1115"/>
      <c r="BO30" s="1115"/>
      <c r="BP30" s="1115">
        <v>1</v>
      </c>
      <c r="BQ30" s="1115"/>
      <c r="BR30" s="1115">
        <v>1</v>
      </c>
      <c r="BS30" s="1115"/>
      <c r="BT30" s="1115"/>
      <c r="BU30" s="1115"/>
      <c r="BV30" s="1115"/>
      <c r="BW30" s="1115"/>
      <c r="BX30" s="1115"/>
      <c r="BY30" s="1115"/>
      <c r="BZ30" s="1115">
        <v>1</v>
      </c>
      <c r="CA30" s="1117">
        <f t="shared" si="6"/>
        <v>10</v>
      </c>
      <c r="CB30" s="1117">
        <f t="shared" si="3"/>
        <v>10</v>
      </c>
      <c r="CC30" s="1117">
        <f t="shared" si="4"/>
        <v>0</v>
      </c>
      <c r="CD30" s="1113">
        <v>7.55</v>
      </c>
      <c r="CE30" s="1109"/>
      <c r="CF30" s="1109"/>
      <c r="CG30" s="1109">
        <v>43.64</v>
      </c>
      <c r="CH30" s="1113">
        <v>17.3</v>
      </c>
      <c r="CI30" s="1114"/>
      <c r="CJ30" s="1109" t="s">
        <v>504</v>
      </c>
      <c r="CK30" s="1109"/>
      <c r="CL30" s="1109"/>
      <c r="CM30" s="1115"/>
      <c r="CN30" s="1115"/>
      <c r="CO30" s="1115"/>
      <c r="CP30" s="1109" t="s">
        <v>504</v>
      </c>
      <c r="CQ30" s="1109"/>
      <c r="CR30" s="1115"/>
      <c r="CS30" s="1109" t="s">
        <v>500</v>
      </c>
      <c r="CT30" s="1109" t="s">
        <v>2722</v>
      </c>
      <c r="CU30" s="1115">
        <v>259</v>
      </c>
      <c r="CV30" s="1115" t="s">
        <v>504</v>
      </c>
      <c r="CW30" s="1115"/>
      <c r="CX30" s="1115"/>
      <c r="CY30" s="1115" t="s">
        <v>500</v>
      </c>
      <c r="CZ30" s="1115" t="s">
        <v>2723</v>
      </c>
      <c r="DA30" s="1115">
        <v>49</v>
      </c>
      <c r="DB30" s="1109" t="s">
        <v>504</v>
      </c>
      <c r="DC30" s="1109"/>
      <c r="DD30" s="1115"/>
      <c r="DE30" s="1109" t="s">
        <v>504</v>
      </c>
      <c r="DF30" s="1109"/>
      <c r="DG30" s="1115"/>
      <c r="DH30" s="1109" t="s">
        <v>504</v>
      </c>
      <c r="DI30" s="1109"/>
      <c r="DJ30" s="1115"/>
      <c r="DK30" s="1109"/>
      <c r="DL30" s="1109"/>
      <c r="DM30" s="1115"/>
      <c r="DN30" s="1109" t="s">
        <v>504</v>
      </c>
      <c r="DO30" s="1109"/>
      <c r="DP30" s="1115"/>
      <c r="DQ30" s="1109" t="s">
        <v>500</v>
      </c>
      <c r="DR30" s="1109" t="s">
        <v>2724</v>
      </c>
      <c r="DS30" s="1115">
        <v>308</v>
      </c>
      <c r="DT30" s="1115" t="s">
        <v>504</v>
      </c>
      <c r="DU30" s="1115"/>
      <c r="DV30" s="1115"/>
      <c r="DW30" s="1109" t="s">
        <v>504</v>
      </c>
      <c r="DX30" s="1109"/>
      <c r="DY30" s="1115"/>
      <c r="DZ30" s="1109" t="s">
        <v>504</v>
      </c>
      <c r="EA30" s="1109"/>
      <c r="EB30" s="1115"/>
      <c r="EC30" s="1109" t="s">
        <v>500</v>
      </c>
      <c r="ED30" s="1109" t="s">
        <v>2725</v>
      </c>
      <c r="EE30" s="1115">
        <v>5</v>
      </c>
      <c r="EF30" s="1115" t="s">
        <v>504</v>
      </c>
      <c r="EG30" s="1115"/>
      <c r="EH30" s="1115"/>
      <c r="EI30" s="1109" t="s">
        <v>504</v>
      </c>
      <c r="EJ30" s="1109"/>
      <c r="EK30" s="1115"/>
      <c r="EL30" s="1115"/>
      <c r="EM30" s="1115"/>
      <c r="EN30" s="1115"/>
      <c r="EO30" s="1109" t="s">
        <v>504</v>
      </c>
      <c r="EP30" s="1109"/>
      <c r="EQ30" s="1109"/>
      <c r="ER30" s="1109" t="s">
        <v>2726</v>
      </c>
      <c r="ES30" s="1109"/>
      <c r="ET30" s="1109"/>
      <c r="EU30" s="1109"/>
      <c r="EV30" s="1109"/>
      <c r="EW30" s="1109"/>
      <c r="EX30" s="1109"/>
    </row>
    <row r="31" spans="3:154" ht="96.95" customHeight="1" x14ac:dyDescent="0.2">
      <c r="C31" s="1156" t="s">
        <v>693</v>
      </c>
      <c r="D31" s="1156" t="s">
        <v>5277</v>
      </c>
      <c r="E31" s="738" t="s">
        <v>298</v>
      </c>
      <c r="F31" s="738" t="s">
        <v>383</v>
      </c>
      <c r="G31" s="738"/>
      <c r="H31" s="632" t="s">
        <v>589</v>
      </c>
      <c r="I31" s="632" t="s">
        <v>590</v>
      </c>
      <c r="J31" s="637">
        <v>2019</v>
      </c>
      <c r="K31" s="377">
        <v>43906</v>
      </c>
      <c r="L31" s="377">
        <v>44166</v>
      </c>
      <c r="M31" s="1369">
        <f t="shared" si="5"/>
        <v>260</v>
      </c>
      <c r="N31" s="632" t="s">
        <v>591</v>
      </c>
      <c r="O31" s="632" t="s">
        <v>592</v>
      </c>
      <c r="P31" s="653" t="s">
        <v>593</v>
      </c>
      <c r="Q31" s="632"/>
      <c r="R31" s="632"/>
      <c r="S31" s="632"/>
      <c r="T31" s="632"/>
      <c r="U31" s="632"/>
      <c r="V31" s="632"/>
      <c r="W31" s="632" t="s">
        <v>594</v>
      </c>
      <c r="X31" s="653" t="s">
        <v>595</v>
      </c>
      <c r="Y31" s="653"/>
      <c r="Z31" s="653"/>
      <c r="AA31" s="632" t="s">
        <v>596</v>
      </c>
      <c r="AB31" s="632" t="s">
        <v>596</v>
      </c>
      <c r="AC31" s="632" t="s">
        <v>597</v>
      </c>
      <c r="AD31" s="632" t="s">
        <v>598</v>
      </c>
      <c r="AE31" s="702">
        <v>142.4</v>
      </c>
      <c r="AF31" s="671">
        <f t="shared" si="1"/>
        <v>142.4</v>
      </c>
      <c r="AG31" s="671">
        <f t="shared" si="2"/>
        <v>0</v>
      </c>
      <c r="AH31" s="702">
        <v>104.2</v>
      </c>
      <c r="AI31" s="683">
        <f>AH31/AE31</f>
        <v>0.7317415730337079</v>
      </c>
      <c r="AJ31" s="683">
        <f>AH31/135383.9</f>
        <v>7.6966315787918658E-4</v>
      </c>
      <c r="AK31" s="702">
        <v>34.4</v>
      </c>
      <c r="AL31" s="683">
        <f>AK31/AE31</f>
        <v>0.24157303370786515</v>
      </c>
      <c r="AM31" s="683"/>
      <c r="AN31" s="702">
        <v>2.4</v>
      </c>
      <c r="AO31" s="683">
        <f>AN31/AE31</f>
        <v>1.6853932584269662E-2</v>
      </c>
      <c r="AP31" s="702">
        <v>1.4</v>
      </c>
      <c r="AQ31" s="683">
        <f>AP31/AE31</f>
        <v>9.8314606741573031E-3</v>
      </c>
      <c r="AR31" s="702"/>
      <c r="AS31" s="683"/>
      <c r="AT31" s="632"/>
      <c r="AU31" s="632"/>
      <c r="AV31" s="632"/>
      <c r="AW31" s="632"/>
      <c r="AX31" s="632"/>
      <c r="AY31" s="632"/>
      <c r="AZ31" s="683"/>
      <c r="BA31" s="1197">
        <v>170</v>
      </c>
      <c r="BB31" s="683">
        <f>BA31/133922.5</f>
        <v>1.2693908790531838E-3</v>
      </c>
      <c r="BC31" s="710">
        <v>278</v>
      </c>
      <c r="BD31" s="710">
        <v>277</v>
      </c>
      <c r="BE31" s="706">
        <v>166</v>
      </c>
      <c r="BF31" s="710">
        <v>7</v>
      </c>
      <c r="BG31" s="710">
        <v>18</v>
      </c>
      <c r="BH31" s="710">
        <v>1</v>
      </c>
      <c r="BI31" s="710">
        <v>1</v>
      </c>
      <c r="BJ31" s="710">
        <v>2</v>
      </c>
      <c r="BK31" s="710"/>
      <c r="BL31" s="710">
        <v>44</v>
      </c>
      <c r="BM31" s="710">
        <v>28</v>
      </c>
      <c r="BN31" s="710">
        <v>17</v>
      </c>
      <c r="BO31" s="710"/>
      <c r="BP31" s="710">
        <v>10</v>
      </c>
      <c r="BQ31" s="710">
        <v>31</v>
      </c>
      <c r="BR31" s="710">
        <v>7</v>
      </c>
      <c r="BS31" s="710"/>
      <c r="BT31" s="710"/>
      <c r="BU31" s="710"/>
      <c r="BV31" s="710"/>
      <c r="BW31" s="710"/>
      <c r="BX31" s="710"/>
      <c r="BY31" s="710"/>
      <c r="BZ31" s="710"/>
      <c r="CA31" s="717">
        <f t="shared" si="6"/>
        <v>166</v>
      </c>
      <c r="CB31" s="717">
        <f t="shared" si="3"/>
        <v>166</v>
      </c>
      <c r="CC31" s="717">
        <f t="shared" si="4"/>
        <v>0</v>
      </c>
      <c r="CD31" s="671">
        <v>1997.6420000000001</v>
      </c>
      <c r="CE31" s="632"/>
      <c r="CF31" s="632"/>
      <c r="CG31" s="683">
        <f>CD31/CH31</f>
        <v>0.8019128929595648</v>
      </c>
      <c r="CH31" s="671">
        <v>2491.096</v>
      </c>
      <c r="CI31" s="733" t="s">
        <v>599</v>
      </c>
      <c r="CJ31" s="738" t="s">
        <v>500</v>
      </c>
      <c r="CK31" s="738" t="s">
        <v>600</v>
      </c>
      <c r="CL31" s="738" t="s">
        <v>601</v>
      </c>
      <c r="CM31" s="822">
        <v>20</v>
      </c>
      <c r="CN31" s="710"/>
      <c r="CO31" s="710"/>
      <c r="CP31" s="632"/>
      <c r="CQ31" s="632"/>
      <c r="CR31" s="710"/>
      <c r="CS31" s="738" t="s">
        <v>500</v>
      </c>
      <c r="CT31" s="738" t="s">
        <v>602</v>
      </c>
      <c r="CU31" s="710">
        <v>5540</v>
      </c>
      <c r="CV31" s="710"/>
      <c r="CW31" s="710"/>
      <c r="CX31" s="710"/>
      <c r="CY31" s="710"/>
      <c r="CZ31" s="710"/>
      <c r="DA31" s="710"/>
      <c r="DB31" s="632"/>
      <c r="DC31" s="632"/>
      <c r="DD31" s="710"/>
      <c r="DE31" s="632"/>
      <c r="DF31" s="632"/>
      <c r="DG31" s="710"/>
      <c r="DH31" s="632"/>
      <c r="DI31" s="632"/>
      <c r="DJ31" s="710"/>
      <c r="DK31" s="632"/>
      <c r="DL31" s="632"/>
      <c r="DM31" s="710"/>
      <c r="DN31" s="738" t="s">
        <v>500</v>
      </c>
      <c r="DO31" s="738" t="s">
        <v>603</v>
      </c>
      <c r="DP31" s="822">
        <v>207308</v>
      </c>
      <c r="DQ31" s="632"/>
      <c r="DR31" s="632"/>
      <c r="DS31" s="710"/>
      <c r="DT31" s="710"/>
      <c r="DU31" s="710"/>
      <c r="DV31" s="710"/>
      <c r="DW31" s="632"/>
      <c r="DX31" s="632"/>
      <c r="DY31" s="710"/>
      <c r="DZ31" s="632"/>
      <c r="EA31" s="632"/>
      <c r="EB31" s="710"/>
      <c r="EC31" s="632"/>
      <c r="ED31" s="632"/>
      <c r="EE31" s="710"/>
      <c r="EF31" s="710"/>
      <c r="EG31" s="710"/>
      <c r="EH31" s="710"/>
      <c r="EI31" s="632"/>
      <c r="EJ31" s="632"/>
      <c r="EK31" s="710"/>
      <c r="EL31" s="688">
        <v>1</v>
      </c>
      <c r="EM31" s="632"/>
      <c r="EN31" s="670">
        <v>96</v>
      </c>
      <c r="EO31" s="738" t="s">
        <v>500</v>
      </c>
      <c r="EP31" s="738" t="s">
        <v>604</v>
      </c>
      <c r="EQ31" s="653" t="s">
        <v>605</v>
      </c>
      <c r="ER31" s="653" t="s">
        <v>606</v>
      </c>
      <c r="ES31" s="653" t="s">
        <v>605</v>
      </c>
      <c r="ET31" s="632" t="s">
        <v>607</v>
      </c>
      <c r="EU31" s="632"/>
      <c r="EV31" s="738" t="s">
        <v>608</v>
      </c>
      <c r="EW31" s="738">
        <v>2</v>
      </c>
      <c r="EX31" s="738">
        <v>181</v>
      </c>
    </row>
    <row r="32" spans="3:154" ht="75.95" customHeight="1" x14ac:dyDescent="0.2">
      <c r="C32" s="1156" t="s">
        <v>693</v>
      </c>
      <c r="D32" s="1156" t="s">
        <v>5277</v>
      </c>
      <c r="E32" s="738" t="s">
        <v>299</v>
      </c>
      <c r="F32" s="738" t="s">
        <v>384</v>
      </c>
      <c r="G32" s="738"/>
      <c r="H32" s="1371" t="s">
        <v>569</v>
      </c>
      <c r="I32" s="1371" t="s">
        <v>569</v>
      </c>
      <c r="J32" s="1372">
        <v>2015</v>
      </c>
      <c r="K32" s="1373">
        <v>43724</v>
      </c>
      <c r="L32" s="1373">
        <v>44196</v>
      </c>
      <c r="M32" s="1369">
        <f t="shared" si="5"/>
        <v>472</v>
      </c>
      <c r="N32" s="1371" t="s">
        <v>571</v>
      </c>
      <c r="O32" s="1371" t="s">
        <v>572</v>
      </c>
      <c r="P32" s="1374" t="s">
        <v>573</v>
      </c>
      <c r="Q32" s="1371"/>
      <c r="R32" s="1371"/>
      <c r="S32" s="1371"/>
      <c r="T32" s="1371"/>
      <c r="U32" s="1371"/>
      <c r="V32" s="1371"/>
      <c r="W32" s="1371"/>
      <c r="X32" s="1371"/>
      <c r="Y32" s="1371"/>
      <c r="Z32" s="1371"/>
      <c r="AA32" s="1371" t="s">
        <v>574</v>
      </c>
      <c r="AB32" s="1371" t="s">
        <v>575</v>
      </c>
      <c r="AC32" s="1371" t="s">
        <v>576</v>
      </c>
      <c r="AD32" s="1371" t="s">
        <v>577</v>
      </c>
      <c r="AE32" s="1375">
        <v>226.36799999999999</v>
      </c>
      <c r="AF32" s="671">
        <f t="shared" si="1"/>
        <v>226.36799999999999</v>
      </c>
      <c r="AG32" s="671">
        <f t="shared" si="2"/>
        <v>0</v>
      </c>
      <c r="AH32" s="1375">
        <v>156.523</v>
      </c>
      <c r="AI32" s="1376">
        <v>0.6915</v>
      </c>
      <c r="AJ32" s="1376">
        <v>1.5E-3</v>
      </c>
      <c r="AK32" s="1375">
        <v>42.256</v>
      </c>
      <c r="AL32" s="1376">
        <v>0.1867</v>
      </c>
      <c r="AM32" s="1376"/>
      <c r="AN32" s="1375">
        <v>18.369</v>
      </c>
      <c r="AO32" s="1376">
        <v>8.1100000000000005E-2</v>
      </c>
      <c r="AP32" s="1375">
        <v>9.2200000000000006</v>
      </c>
      <c r="AQ32" s="1376">
        <v>4.07E-2</v>
      </c>
      <c r="AR32" s="1375"/>
      <c r="AS32" s="1376"/>
      <c r="AT32" s="1371"/>
      <c r="AU32" s="1371"/>
      <c r="AV32" s="1371"/>
      <c r="AW32" s="1371" t="s">
        <v>471</v>
      </c>
      <c r="AX32" s="1371" t="s">
        <v>578</v>
      </c>
      <c r="AY32" s="1371" t="s">
        <v>465</v>
      </c>
      <c r="AZ32" s="1376"/>
      <c r="BA32" s="1381">
        <v>305.8</v>
      </c>
      <c r="BB32" s="1376">
        <v>3.0999999999999999E-3</v>
      </c>
      <c r="BC32" s="1378">
        <v>984</v>
      </c>
      <c r="BD32" s="1378">
        <v>984</v>
      </c>
      <c r="BE32" s="1379">
        <v>976</v>
      </c>
      <c r="BF32" s="1378">
        <v>117</v>
      </c>
      <c r="BG32" s="1378">
        <v>91</v>
      </c>
      <c r="BH32" s="1378">
        <v>23</v>
      </c>
      <c r="BI32" s="1378">
        <v>139</v>
      </c>
      <c r="BJ32" s="1378"/>
      <c r="BK32" s="1378">
        <v>86</v>
      </c>
      <c r="BL32" s="1378"/>
      <c r="BM32" s="1378">
        <v>98</v>
      </c>
      <c r="BN32" s="1378">
        <v>66</v>
      </c>
      <c r="BO32" s="1378"/>
      <c r="BP32" s="1378">
        <v>185</v>
      </c>
      <c r="BQ32" s="1378">
        <v>99</v>
      </c>
      <c r="BR32" s="1378"/>
      <c r="BS32" s="1378">
        <v>48</v>
      </c>
      <c r="BT32" s="1378"/>
      <c r="BU32" s="1378">
        <v>24</v>
      </c>
      <c r="BV32" s="1378"/>
      <c r="BW32" s="1378"/>
      <c r="BX32" s="1378"/>
      <c r="BY32" s="1378"/>
      <c r="BZ32" s="1378"/>
      <c r="CA32" s="1174">
        <v>976</v>
      </c>
      <c r="CB32" s="717">
        <f t="shared" si="3"/>
        <v>976</v>
      </c>
      <c r="CC32" s="717">
        <f t="shared" si="4"/>
        <v>0</v>
      </c>
      <c r="CD32" s="1380">
        <v>252.946</v>
      </c>
      <c r="CE32" s="1371" t="s">
        <v>579</v>
      </c>
      <c r="CF32" s="1374" t="s">
        <v>573</v>
      </c>
      <c r="CG32" s="1376">
        <v>0.218</v>
      </c>
      <c r="CH32" s="1380">
        <v>1160.4449999999999</v>
      </c>
      <c r="CI32" s="1383" t="s">
        <v>580</v>
      </c>
      <c r="CJ32" s="1371" t="s">
        <v>479</v>
      </c>
      <c r="CK32" s="1371"/>
      <c r="CL32" s="1371"/>
      <c r="CM32" s="1378"/>
      <c r="CN32" s="1378"/>
      <c r="CO32" s="1378">
        <v>7</v>
      </c>
      <c r="CP32" s="1371"/>
      <c r="CQ32" s="1371"/>
      <c r="CR32" s="1378"/>
      <c r="CS32" s="1371" t="s">
        <v>471</v>
      </c>
      <c r="CT32" s="1371" t="s">
        <v>581</v>
      </c>
      <c r="CU32" s="1378">
        <v>99329</v>
      </c>
      <c r="CV32" s="1378"/>
      <c r="CW32" s="1378"/>
      <c r="CX32" s="1378"/>
      <c r="CY32" s="1378"/>
      <c r="CZ32" s="1378"/>
      <c r="DA32" s="1378"/>
      <c r="DB32" s="1371"/>
      <c r="DC32" s="1371"/>
      <c r="DD32" s="1378"/>
      <c r="DE32" s="1371"/>
      <c r="DF32" s="1371"/>
      <c r="DG32" s="1378"/>
      <c r="DH32" s="1371"/>
      <c r="DI32" s="1371"/>
      <c r="DJ32" s="1378"/>
      <c r="DK32" s="1371"/>
      <c r="DL32" s="1371"/>
      <c r="DM32" s="1378"/>
      <c r="DN32" s="1371"/>
      <c r="DO32" s="1371"/>
      <c r="DP32" s="1378"/>
      <c r="DQ32" s="1371"/>
      <c r="DR32" s="1371"/>
      <c r="DS32" s="1378"/>
      <c r="DT32" s="1378"/>
      <c r="DU32" s="1378"/>
      <c r="DV32" s="1378"/>
      <c r="DW32" s="1371"/>
      <c r="DX32" s="1371"/>
      <c r="DY32" s="1378"/>
      <c r="DZ32" s="1371"/>
      <c r="EA32" s="1371"/>
      <c r="EB32" s="1378"/>
      <c r="EC32" s="1371"/>
      <c r="ED32" s="1371"/>
      <c r="EE32" s="1378"/>
      <c r="EF32" s="1371" t="s">
        <v>471</v>
      </c>
      <c r="EG32" s="1371" t="s">
        <v>582</v>
      </c>
      <c r="EH32" s="1378">
        <v>14</v>
      </c>
      <c r="EI32" s="1371"/>
      <c r="EJ32" s="1371"/>
      <c r="EK32" s="1378"/>
      <c r="EL32" s="1371" t="s">
        <v>583</v>
      </c>
      <c r="EM32" s="1371" t="s">
        <v>584</v>
      </c>
      <c r="EN32" s="1381">
        <v>188</v>
      </c>
      <c r="EO32" s="1371" t="s">
        <v>479</v>
      </c>
      <c r="EP32" s="1371"/>
      <c r="EQ32" s="1374" t="s">
        <v>585</v>
      </c>
      <c r="ER32" s="1374" t="s">
        <v>586</v>
      </c>
      <c r="ES32" s="1371"/>
      <c r="ET32" s="1371" t="s">
        <v>587</v>
      </c>
      <c r="EU32" s="1371" t="s">
        <v>588</v>
      </c>
      <c r="EV32" s="1371"/>
      <c r="EW32" s="1371"/>
      <c r="EX32" s="1371"/>
    </row>
    <row r="33" spans="3:154" ht="87" customHeight="1" x14ac:dyDescent="0.2">
      <c r="C33" s="1156" t="s">
        <v>693</v>
      </c>
      <c r="D33" s="1156" t="s">
        <v>5277</v>
      </c>
      <c r="E33" s="738" t="s">
        <v>300</v>
      </c>
      <c r="F33" s="738" t="s">
        <v>385</v>
      </c>
      <c r="G33" s="738"/>
      <c r="H33" s="738" t="s">
        <v>528</v>
      </c>
      <c r="I33" s="738" t="s">
        <v>529</v>
      </c>
      <c r="J33" s="637">
        <v>2018</v>
      </c>
      <c r="K33" s="377">
        <v>43720</v>
      </c>
      <c r="L33" s="377">
        <v>44190</v>
      </c>
      <c r="M33" s="1369">
        <f t="shared" si="5"/>
        <v>470</v>
      </c>
      <c r="N33" s="632" t="s">
        <v>530</v>
      </c>
      <c r="O33" s="738" t="s">
        <v>531</v>
      </c>
      <c r="P33" s="653" t="s">
        <v>532</v>
      </c>
      <c r="Q33" s="632"/>
      <c r="R33" s="632"/>
      <c r="S33" s="632"/>
      <c r="T33" s="632"/>
      <c r="U33" s="738" t="s">
        <v>533</v>
      </c>
      <c r="V33" s="632" t="s">
        <v>534</v>
      </c>
      <c r="W33" s="738" t="s">
        <v>535</v>
      </c>
      <c r="X33" s="653" t="s">
        <v>536</v>
      </c>
      <c r="Y33" s="653"/>
      <c r="Z33" s="653"/>
      <c r="AA33" s="738" t="s">
        <v>537</v>
      </c>
      <c r="AB33" s="738" t="s">
        <v>537</v>
      </c>
      <c r="AC33" s="738" t="s">
        <v>519</v>
      </c>
      <c r="AD33" s="738" t="s">
        <v>538</v>
      </c>
      <c r="AE33" s="1242">
        <v>197.697</v>
      </c>
      <c r="AF33" s="671">
        <f t="shared" si="1"/>
        <v>197.69839999999999</v>
      </c>
      <c r="AG33" s="671">
        <f t="shared" si="2"/>
        <v>1.3999999999896318E-3</v>
      </c>
      <c r="AH33" s="702">
        <v>144.387</v>
      </c>
      <c r="AI33" s="683">
        <f>AH33/AE33</f>
        <v>0.73034492177423027</v>
      </c>
      <c r="AJ33" s="683">
        <f>AH33/137598.04</f>
        <v>1.0493390748879852E-3</v>
      </c>
      <c r="AK33" s="702">
        <v>30.28</v>
      </c>
      <c r="AL33" s="683">
        <f>AK33/AE33</f>
        <v>0.15316367977258127</v>
      </c>
      <c r="AM33" s="683"/>
      <c r="AN33" s="702">
        <v>11.215</v>
      </c>
      <c r="AO33" s="683">
        <f>AN33/AE33</f>
        <v>5.6728225516826256E-2</v>
      </c>
      <c r="AP33" s="702">
        <v>11.8164</v>
      </c>
      <c r="AQ33" s="683">
        <f>AP33/AE33</f>
        <v>5.9770254480341123E-2</v>
      </c>
      <c r="AR33" s="702"/>
      <c r="AS33" s="683"/>
      <c r="AT33" s="632"/>
      <c r="AU33" s="632"/>
      <c r="AV33" s="632"/>
      <c r="AW33" s="632" t="s">
        <v>500</v>
      </c>
      <c r="AX33" s="632" t="s">
        <v>539</v>
      </c>
      <c r="AY33" s="632" t="s">
        <v>540</v>
      </c>
      <c r="AZ33" s="683">
        <f>5.557/AE33</f>
        <v>2.8108671350602184E-2</v>
      </c>
      <c r="BA33" s="700">
        <v>120</v>
      </c>
      <c r="BB33" s="683">
        <f>150957.3*100/148430694.4</f>
        <v>0.10170221234240887</v>
      </c>
      <c r="BC33" s="710">
        <v>164</v>
      </c>
      <c r="BD33" s="710">
        <v>164</v>
      </c>
      <c r="BE33" s="706">
        <v>93</v>
      </c>
      <c r="BF33" s="710">
        <v>26</v>
      </c>
      <c r="BG33" s="710">
        <v>16</v>
      </c>
      <c r="BH33" s="710">
        <v>0</v>
      </c>
      <c r="BI33" s="710">
        <v>1</v>
      </c>
      <c r="BJ33" s="710">
        <v>0</v>
      </c>
      <c r="BK33" s="710">
        <v>15</v>
      </c>
      <c r="BL33" s="710">
        <v>0</v>
      </c>
      <c r="BM33" s="710">
        <v>0</v>
      </c>
      <c r="BN33" s="710">
        <v>1</v>
      </c>
      <c r="BO33" s="710">
        <v>0</v>
      </c>
      <c r="BP33" s="710">
        <v>0</v>
      </c>
      <c r="BQ33" s="710">
        <v>24</v>
      </c>
      <c r="BR33" s="710">
        <v>10</v>
      </c>
      <c r="BS33" s="710">
        <v>0</v>
      </c>
      <c r="BT33" s="710">
        <v>0</v>
      </c>
      <c r="BU33" s="710">
        <v>0</v>
      </c>
      <c r="BV33" s="710">
        <v>0</v>
      </c>
      <c r="BW33" s="710">
        <v>0</v>
      </c>
      <c r="BX33" s="710">
        <v>0</v>
      </c>
      <c r="BY33" s="710">
        <v>0</v>
      </c>
      <c r="BZ33" s="710">
        <v>0</v>
      </c>
      <c r="CA33" s="717">
        <f>SUM(BF33:BZ33)</f>
        <v>93</v>
      </c>
      <c r="CB33" s="717">
        <f t="shared" si="3"/>
        <v>93</v>
      </c>
      <c r="CC33" s="717">
        <f t="shared" si="4"/>
        <v>0</v>
      </c>
      <c r="CD33" s="671">
        <f>254.3+1058.3</f>
        <v>1312.6</v>
      </c>
      <c r="CE33" s="632" t="s">
        <v>542</v>
      </c>
      <c r="CF33" s="632"/>
      <c r="CG33" s="683">
        <f>CD33/2324.205</f>
        <v>0.56475224861834472</v>
      </c>
      <c r="CH33" s="671">
        <v>2324.2049999999999</v>
      </c>
      <c r="CI33" s="683" t="s">
        <v>543</v>
      </c>
      <c r="CJ33" s="632" t="s">
        <v>504</v>
      </c>
      <c r="CK33" s="632"/>
      <c r="CL33" s="632"/>
      <c r="CM33" s="710"/>
      <c r="CN33" s="710"/>
      <c r="CO33" s="710">
        <v>4</v>
      </c>
      <c r="CP33" s="632" t="s">
        <v>500</v>
      </c>
      <c r="CQ33" s="632" t="s">
        <v>544</v>
      </c>
      <c r="CR33" s="710">
        <v>267700</v>
      </c>
      <c r="CS33" s="632" t="s">
        <v>500</v>
      </c>
      <c r="CT33" s="632" t="s">
        <v>544</v>
      </c>
      <c r="CU33" s="710">
        <v>25</v>
      </c>
      <c r="CV33" s="710" t="s">
        <v>504</v>
      </c>
      <c r="CW33" s="710"/>
      <c r="CX33" s="710"/>
      <c r="CY33" s="710" t="s">
        <v>504</v>
      </c>
      <c r="CZ33" s="710"/>
      <c r="DA33" s="710"/>
      <c r="DB33" s="632" t="s">
        <v>504</v>
      </c>
      <c r="DC33" s="632"/>
      <c r="DD33" s="710"/>
      <c r="DE33" s="632" t="s">
        <v>504</v>
      </c>
      <c r="DF33" s="632"/>
      <c r="DG33" s="710"/>
      <c r="DH33" s="632" t="s">
        <v>504</v>
      </c>
      <c r="DI33" s="632"/>
      <c r="DJ33" s="710"/>
      <c r="DK33" s="632" t="s">
        <v>500</v>
      </c>
      <c r="DL33" s="632" t="s">
        <v>544</v>
      </c>
      <c r="DM33" s="710">
        <v>74551</v>
      </c>
      <c r="DN33" s="632" t="s">
        <v>504</v>
      </c>
      <c r="DO33" s="632"/>
      <c r="DP33" s="710"/>
      <c r="DQ33" s="632" t="s">
        <v>500</v>
      </c>
      <c r="DR33" s="632" t="s">
        <v>544</v>
      </c>
      <c r="DS33" s="710">
        <v>92275</v>
      </c>
      <c r="DT33" s="710" t="s">
        <v>504</v>
      </c>
      <c r="DU33" s="710"/>
      <c r="DV33" s="710"/>
      <c r="DW33" s="632" t="s">
        <v>504</v>
      </c>
      <c r="DX33" s="632"/>
      <c r="DY33" s="710"/>
      <c r="DZ33" s="632" t="s">
        <v>504</v>
      </c>
      <c r="EA33" s="632"/>
      <c r="EB33" s="710"/>
      <c r="EC33" s="1176"/>
      <c r="ED33" s="632"/>
      <c r="EE33" s="710"/>
      <c r="EF33" s="710" t="s">
        <v>504</v>
      </c>
      <c r="EG33" s="710"/>
      <c r="EH33" s="710"/>
      <c r="EI33" s="738" t="s">
        <v>545</v>
      </c>
      <c r="EJ33" s="632"/>
      <c r="EK33" s="710"/>
      <c r="EL33" s="688">
        <v>1</v>
      </c>
      <c r="EM33" s="632"/>
      <c r="EN33" s="670">
        <v>158</v>
      </c>
      <c r="EO33" s="632" t="s">
        <v>504</v>
      </c>
      <c r="EP33" s="632"/>
      <c r="EQ33" s="653" t="s">
        <v>546</v>
      </c>
      <c r="ER33" s="653" t="s">
        <v>547</v>
      </c>
      <c r="ES33" s="632"/>
      <c r="ET33" s="632" t="s">
        <v>548</v>
      </c>
      <c r="EU33" s="632"/>
      <c r="EV33" s="632" t="s">
        <v>549</v>
      </c>
      <c r="EW33" s="1177" t="s">
        <v>550</v>
      </c>
      <c r="EX33" s="710">
        <v>1476</v>
      </c>
    </row>
    <row r="34" spans="3:154" ht="69" customHeight="1" x14ac:dyDescent="0.2">
      <c r="C34" s="1156" t="s">
        <v>693</v>
      </c>
      <c r="D34" s="1156" t="s">
        <v>5277</v>
      </c>
      <c r="E34" s="738" t="s">
        <v>300</v>
      </c>
      <c r="F34" s="738" t="s">
        <v>385</v>
      </c>
      <c r="G34" s="738"/>
      <c r="H34" s="738" t="s">
        <v>551</v>
      </c>
      <c r="I34" s="738" t="s">
        <v>552</v>
      </c>
      <c r="J34" s="1165">
        <v>2020</v>
      </c>
      <c r="K34" s="1096">
        <v>43557</v>
      </c>
      <c r="L34" s="1096">
        <v>44190</v>
      </c>
      <c r="M34" s="1369">
        <f t="shared" si="5"/>
        <v>633</v>
      </c>
      <c r="N34" s="738" t="s">
        <v>568</v>
      </c>
      <c r="O34" s="738" t="s">
        <v>553</v>
      </c>
      <c r="P34" s="653" t="s">
        <v>554</v>
      </c>
      <c r="Q34" s="632"/>
      <c r="R34" s="632"/>
      <c r="S34" s="632"/>
      <c r="T34" s="632"/>
      <c r="U34" s="738" t="s">
        <v>555</v>
      </c>
      <c r="V34" s="653" t="s">
        <v>532</v>
      </c>
      <c r="W34" s="632" t="s">
        <v>556</v>
      </c>
      <c r="X34" s="653" t="s">
        <v>557</v>
      </c>
      <c r="Y34" s="653"/>
      <c r="Z34" s="653"/>
      <c r="AA34" s="738" t="s">
        <v>537</v>
      </c>
      <c r="AB34" s="738" t="s">
        <v>537</v>
      </c>
      <c r="AC34" s="738" t="s">
        <v>519</v>
      </c>
      <c r="AD34" s="738" t="s">
        <v>538</v>
      </c>
      <c r="AE34" s="702">
        <v>310.52064999999999</v>
      </c>
      <c r="AF34" s="671">
        <f t="shared" si="1"/>
        <v>310.52114999999998</v>
      </c>
      <c r="AG34" s="671">
        <f t="shared" si="2"/>
        <v>4.9999999998817657E-4</v>
      </c>
      <c r="AH34" s="702">
        <v>250.87</v>
      </c>
      <c r="AI34" s="683">
        <v>0.80789999999999995</v>
      </c>
      <c r="AJ34" s="683">
        <f>AH34/137598.04</f>
        <v>1.8232091096646434E-3</v>
      </c>
      <c r="AK34" s="702">
        <v>45.61694</v>
      </c>
      <c r="AL34" s="683">
        <v>0.1469</v>
      </c>
      <c r="AM34" s="683"/>
      <c r="AN34" s="702">
        <v>2.2008100000000002</v>
      </c>
      <c r="AO34" s="683">
        <v>7.0800000000000004E-3</v>
      </c>
      <c r="AP34" s="702">
        <v>11.833399999999999</v>
      </c>
      <c r="AQ34" s="683">
        <v>3.8100000000000002E-2</v>
      </c>
      <c r="AR34" s="702">
        <v>0</v>
      </c>
      <c r="AS34" s="683">
        <v>0</v>
      </c>
      <c r="AT34" s="632"/>
      <c r="AU34" s="632"/>
      <c r="AV34" s="632"/>
      <c r="AW34" s="671"/>
      <c r="AX34" s="683"/>
      <c r="AY34" s="632"/>
      <c r="AZ34" s="683"/>
      <c r="BA34" s="671">
        <v>189.1181</v>
      </c>
      <c r="BB34" s="683">
        <v>1.32E-3</v>
      </c>
      <c r="BC34" s="710">
        <v>79</v>
      </c>
      <c r="BD34" s="710">
        <v>79</v>
      </c>
      <c r="BE34" s="706">
        <v>46</v>
      </c>
      <c r="BF34" s="710"/>
      <c r="BG34" s="710"/>
      <c r="BH34" s="710"/>
      <c r="BI34" s="710"/>
      <c r="BJ34" s="710"/>
      <c r="BK34" s="710"/>
      <c r="BL34" s="710"/>
      <c r="BM34" s="710"/>
      <c r="BN34" s="710"/>
      <c r="BO34" s="710"/>
      <c r="BP34" s="710"/>
      <c r="BQ34" s="710">
        <v>24</v>
      </c>
      <c r="BR34" s="710">
        <v>1</v>
      </c>
      <c r="BS34" s="710"/>
      <c r="BT34" s="710"/>
      <c r="BU34" s="710"/>
      <c r="BV34" s="710"/>
      <c r="BW34" s="710"/>
      <c r="BX34" s="710"/>
      <c r="BY34" s="710"/>
      <c r="BZ34" s="710">
        <v>21</v>
      </c>
      <c r="CA34" s="717">
        <f>SUM(BF34:BZ34)</f>
        <v>46</v>
      </c>
      <c r="CB34" s="717">
        <f t="shared" si="3"/>
        <v>46</v>
      </c>
      <c r="CC34" s="717">
        <f t="shared" si="4"/>
        <v>0</v>
      </c>
      <c r="CD34" s="671">
        <v>442.21300000000002</v>
      </c>
      <c r="CE34" s="632" t="s">
        <v>559</v>
      </c>
      <c r="CF34" s="632"/>
      <c r="CG34" s="683">
        <v>0.19</v>
      </c>
      <c r="CH34" s="671">
        <v>2324.2049999999999</v>
      </c>
      <c r="CI34" s="733" t="s">
        <v>560</v>
      </c>
      <c r="CJ34" s="632" t="s">
        <v>504</v>
      </c>
      <c r="CK34" s="632"/>
      <c r="CL34" s="632"/>
      <c r="CM34" s="710"/>
      <c r="CN34" s="710"/>
      <c r="CO34" s="710"/>
      <c r="CP34" s="632" t="s">
        <v>504</v>
      </c>
      <c r="CQ34" s="632"/>
      <c r="CR34" s="710"/>
      <c r="CS34" s="738" t="s">
        <v>500</v>
      </c>
      <c r="CT34" s="738" t="s">
        <v>561</v>
      </c>
      <c r="CU34" s="710">
        <v>37687</v>
      </c>
      <c r="CV34" s="710" t="s">
        <v>504</v>
      </c>
      <c r="CW34" s="710"/>
      <c r="CX34" s="710"/>
      <c r="CY34" s="710" t="s">
        <v>504</v>
      </c>
      <c r="CZ34" s="710"/>
      <c r="DA34" s="710"/>
      <c r="DB34" s="632" t="s">
        <v>504</v>
      </c>
      <c r="DC34" s="632"/>
      <c r="DD34" s="710"/>
      <c r="DE34" s="632" t="s">
        <v>504</v>
      </c>
      <c r="DF34" s="632"/>
      <c r="DG34" s="710"/>
      <c r="DH34" s="632" t="s">
        <v>504</v>
      </c>
      <c r="DI34" s="632"/>
      <c r="DJ34" s="710"/>
      <c r="DK34" s="738" t="s">
        <v>500</v>
      </c>
      <c r="DL34" s="738" t="s">
        <v>561</v>
      </c>
      <c r="DM34" s="710">
        <v>197457</v>
      </c>
      <c r="DN34" s="632" t="s">
        <v>504</v>
      </c>
      <c r="DO34" s="632"/>
      <c r="DP34" s="710"/>
      <c r="DQ34" s="632" t="s">
        <v>504</v>
      </c>
      <c r="DR34" s="632"/>
      <c r="DS34" s="710"/>
      <c r="DT34" s="710" t="s">
        <v>504</v>
      </c>
      <c r="DU34" s="710"/>
      <c r="DV34" s="710"/>
      <c r="DW34" s="632" t="s">
        <v>504</v>
      </c>
      <c r="DX34" s="632"/>
      <c r="DY34" s="710"/>
      <c r="DZ34" s="632" t="s">
        <v>504</v>
      </c>
      <c r="EA34" s="632"/>
      <c r="EB34" s="710"/>
      <c r="EC34" s="632" t="s">
        <v>504</v>
      </c>
      <c r="ED34" s="632"/>
      <c r="EE34" s="710"/>
      <c r="EF34" s="710" t="s">
        <v>504</v>
      </c>
      <c r="EG34" s="710"/>
      <c r="EH34" s="710"/>
      <c r="EI34" s="738" t="s">
        <v>500</v>
      </c>
      <c r="EJ34" s="738" t="s">
        <v>562</v>
      </c>
      <c r="EK34" s="710">
        <v>12</v>
      </c>
      <c r="EL34" s="688">
        <v>1</v>
      </c>
      <c r="EM34" s="632"/>
      <c r="EN34" s="670">
        <v>95</v>
      </c>
      <c r="EO34" s="632" t="s">
        <v>504</v>
      </c>
      <c r="EP34" s="632"/>
      <c r="EQ34" s="738" t="s">
        <v>563</v>
      </c>
      <c r="ER34" s="632"/>
      <c r="ES34" s="632"/>
      <c r="ET34" s="738" t="s">
        <v>564</v>
      </c>
      <c r="EU34" s="738" t="s">
        <v>565</v>
      </c>
      <c r="EV34" s="738" t="s">
        <v>566</v>
      </c>
      <c r="EW34" s="738">
        <v>56</v>
      </c>
      <c r="EX34" s="738" t="s">
        <v>567</v>
      </c>
    </row>
    <row r="35" spans="3:154" ht="69" customHeight="1" x14ac:dyDescent="0.2">
      <c r="C35" s="1156" t="s">
        <v>1423</v>
      </c>
      <c r="D35" s="1156" t="s">
        <v>5277</v>
      </c>
      <c r="E35" s="738" t="s">
        <v>300</v>
      </c>
      <c r="F35" s="738" t="s">
        <v>385</v>
      </c>
      <c r="G35" s="738"/>
      <c r="H35" s="738" t="s">
        <v>5383</v>
      </c>
      <c r="I35" s="738" t="s">
        <v>5384</v>
      </c>
      <c r="J35" s="1165">
        <v>2015</v>
      </c>
      <c r="K35" s="1097">
        <v>43784</v>
      </c>
      <c r="L35" s="738">
        <v>44187</v>
      </c>
      <c r="M35" s="1369">
        <f t="shared" si="5"/>
        <v>403</v>
      </c>
      <c r="N35" s="738" t="s">
        <v>5600</v>
      </c>
      <c r="O35" s="738" t="s">
        <v>5385</v>
      </c>
      <c r="P35" s="653" t="s">
        <v>5386</v>
      </c>
      <c r="Q35" s="632"/>
      <c r="R35" s="632"/>
      <c r="S35" s="632"/>
      <c r="T35" s="632"/>
      <c r="U35" s="738" t="s">
        <v>5387</v>
      </c>
      <c r="V35" s="653" t="s">
        <v>534</v>
      </c>
      <c r="W35" s="738" t="s">
        <v>5388</v>
      </c>
      <c r="X35" s="653" t="s">
        <v>5389</v>
      </c>
      <c r="Y35" s="653"/>
      <c r="Z35" s="653"/>
      <c r="AA35" s="738" t="s">
        <v>537</v>
      </c>
      <c r="AB35" s="738" t="s">
        <v>537</v>
      </c>
      <c r="AC35" s="738" t="s">
        <v>5390</v>
      </c>
      <c r="AD35" s="738" t="s">
        <v>5391</v>
      </c>
      <c r="AE35" s="697">
        <v>136.38999999999999</v>
      </c>
      <c r="AF35" s="671">
        <f t="shared" si="1"/>
        <v>136.38999999999999</v>
      </c>
      <c r="AG35" s="671">
        <f t="shared" si="2"/>
        <v>0</v>
      </c>
      <c r="AH35" s="697">
        <v>89.483000000000004</v>
      </c>
      <c r="AI35" s="1168">
        <f>AH35/AE35</f>
        <v>0.65608182418065852</v>
      </c>
      <c r="AJ35" s="1168">
        <f>AH35/137598.04</f>
        <v>6.503217633041866E-4</v>
      </c>
      <c r="AK35" s="697">
        <v>15.507999999999999</v>
      </c>
      <c r="AL35" s="1168">
        <f>AK35/AE35</f>
        <v>0.11370335068553414</v>
      </c>
      <c r="AM35" s="1168"/>
      <c r="AN35" s="697">
        <v>15.757999999999999</v>
      </c>
      <c r="AO35" s="1168">
        <f>AN35/AE35</f>
        <v>0.1155363296429357</v>
      </c>
      <c r="AP35" s="697">
        <v>15.641</v>
      </c>
      <c r="AQ35" s="1168">
        <f>AP35/AE35</f>
        <v>0.11467849549087178</v>
      </c>
      <c r="AR35" s="671"/>
      <c r="AS35" s="683"/>
      <c r="AT35" s="632"/>
      <c r="AU35" s="632"/>
      <c r="AV35" s="632"/>
      <c r="AW35" s="632"/>
      <c r="AX35" s="632"/>
      <c r="AY35" s="632"/>
      <c r="AZ35" s="683"/>
      <c r="BA35" s="697">
        <v>270</v>
      </c>
      <c r="BB35" s="1168">
        <f>BA35/143153.9</f>
        <v>1.8860820417746216E-3</v>
      </c>
      <c r="BC35" s="822">
        <v>864</v>
      </c>
      <c r="BD35" s="822">
        <v>852</v>
      </c>
      <c r="BE35" s="822">
        <v>236</v>
      </c>
      <c r="BF35" s="710">
        <v>12</v>
      </c>
      <c r="BG35" s="710">
        <v>28</v>
      </c>
      <c r="BH35" s="710">
        <v>10</v>
      </c>
      <c r="BI35" s="710"/>
      <c r="BJ35" s="710"/>
      <c r="BK35" s="710">
        <v>42</v>
      </c>
      <c r="BL35" s="710"/>
      <c r="BM35" s="710">
        <v>3</v>
      </c>
      <c r="BN35" s="710"/>
      <c r="BO35" s="710"/>
      <c r="BP35" s="710">
        <v>76</v>
      </c>
      <c r="BQ35" s="710">
        <v>27</v>
      </c>
      <c r="BR35" s="710">
        <v>28</v>
      </c>
      <c r="BS35" s="710">
        <v>5</v>
      </c>
      <c r="BT35" s="710"/>
      <c r="BU35" s="710"/>
      <c r="BV35" s="710"/>
      <c r="BW35" s="710"/>
      <c r="BX35" s="710"/>
      <c r="BY35" s="710"/>
      <c r="BZ35" s="710">
        <v>5</v>
      </c>
      <c r="CA35" s="717">
        <f>SUM(BF35:BZ35)</f>
        <v>236</v>
      </c>
      <c r="CB35" s="717">
        <f t="shared" si="3"/>
        <v>236</v>
      </c>
      <c r="CC35" s="717">
        <f t="shared" si="4"/>
        <v>0</v>
      </c>
      <c r="CD35" s="697">
        <v>224.125</v>
      </c>
      <c r="CE35" s="738" t="s">
        <v>5392</v>
      </c>
      <c r="CF35" s="632"/>
      <c r="CG35" s="1168">
        <f>CD35/2305.61</f>
        <v>9.7208547846340004E-2</v>
      </c>
      <c r="CH35" s="671">
        <v>2305.6080000000002</v>
      </c>
      <c r="CI35" s="733" t="s">
        <v>5393</v>
      </c>
      <c r="CJ35" s="738" t="s">
        <v>500</v>
      </c>
      <c r="CK35" s="738" t="s">
        <v>5394</v>
      </c>
      <c r="CL35" s="738" t="s">
        <v>5395</v>
      </c>
      <c r="CM35" s="822">
        <v>7</v>
      </c>
      <c r="CN35" s="710"/>
      <c r="CO35" s="710"/>
      <c r="CP35" s="738" t="s">
        <v>504</v>
      </c>
      <c r="CQ35" s="632"/>
      <c r="CR35" s="710"/>
      <c r="CS35" s="738" t="s">
        <v>500</v>
      </c>
      <c r="CT35" s="738" t="s">
        <v>5396</v>
      </c>
      <c r="CU35" s="710"/>
      <c r="CV35" s="710" t="s">
        <v>500</v>
      </c>
      <c r="CW35" s="710" t="s">
        <v>5396</v>
      </c>
      <c r="CX35" s="710"/>
      <c r="CY35" s="710" t="s">
        <v>504</v>
      </c>
      <c r="CZ35" s="710"/>
      <c r="DA35" s="710"/>
      <c r="DB35" s="632" t="s">
        <v>504</v>
      </c>
      <c r="DC35" s="632"/>
      <c r="DD35" s="710"/>
      <c r="DE35" s="632" t="s">
        <v>504</v>
      </c>
      <c r="DF35" s="632"/>
      <c r="DG35" s="710"/>
      <c r="DH35" s="632" t="s">
        <v>504</v>
      </c>
      <c r="DI35" s="632"/>
      <c r="DJ35" s="710"/>
      <c r="DK35" s="632" t="s">
        <v>500</v>
      </c>
      <c r="DL35" s="632" t="s">
        <v>5396</v>
      </c>
      <c r="DM35" s="710"/>
      <c r="DN35" s="632" t="s">
        <v>504</v>
      </c>
      <c r="DO35" s="632"/>
      <c r="DP35" s="710"/>
      <c r="DQ35" s="632" t="s">
        <v>504</v>
      </c>
      <c r="DR35" s="632"/>
      <c r="DS35" s="710"/>
      <c r="DT35" s="710" t="s">
        <v>504</v>
      </c>
      <c r="DU35" s="710"/>
      <c r="DV35" s="710"/>
      <c r="DW35" s="632" t="s">
        <v>504</v>
      </c>
      <c r="DX35" s="632"/>
      <c r="DY35" s="710"/>
      <c r="DZ35" s="632" t="s">
        <v>504</v>
      </c>
      <c r="EA35" s="632"/>
      <c r="EB35" s="710"/>
      <c r="EC35" s="632" t="s">
        <v>504</v>
      </c>
      <c r="ED35" s="632"/>
      <c r="EE35" s="710"/>
      <c r="EF35" s="710" t="s">
        <v>500</v>
      </c>
      <c r="EG35" s="1199" t="s">
        <v>5397</v>
      </c>
      <c r="EH35" s="710">
        <v>7</v>
      </c>
      <c r="EI35" s="632"/>
      <c r="EJ35" s="632"/>
      <c r="EK35" s="710"/>
      <c r="EL35" s="1200">
        <v>1</v>
      </c>
      <c r="EM35" s="632"/>
      <c r="EN35" s="670">
        <v>444</v>
      </c>
      <c r="EO35" s="632" t="s">
        <v>500</v>
      </c>
      <c r="EP35" s="632" t="s">
        <v>5398</v>
      </c>
      <c r="EQ35" s="632" t="s">
        <v>5399</v>
      </c>
      <c r="ER35" s="1198" t="s">
        <v>5400</v>
      </c>
      <c r="ES35" s="653" t="s">
        <v>5401</v>
      </c>
      <c r="ET35" s="632" t="s">
        <v>5402</v>
      </c>
      <c r="EU35" s="632" t="s">
        <v>5403</v>
      </c>
      <c r="EV35" s="632" t="s">
        <v>5404</v>
      </c>
      <c r="EW35" s="632">
        <v>11</v>
      </c>
      <c r="EX35" s="710">
        <v>38970</v>
      </c>
    </row>
    <row r="36" spans="3:154" ht="76.5" x14ac:dyDescent="0.2">
      <c r="C36" s="1156" t="s">
        <v>693</v>
      </c>
      <c r="D36" s="1156" t="s">
        <v>5277</v>
      </c>
      <c r="E36" s="738" t="s">
        <v>301</v>
      </c>
      <c r="F36" s="738" t="s">
        <v>5381</v>
      </c>
      <c r="G36" s="738"/>
      <c r="H36" s="738" t="s">
        <v>2375</v>
      </c>
      <c r="I36" s="738" t="s">
        <v>2376</v>
      </c>
      <c r="J36" s="738">
        <v>2019</v>
      </c>
      <c r="K36" s="1097">
        <v>44012</v>
      </c>
      <c r="L36" s="1097">
        <v>44190</v>
      </c>
      <c r="M36" s="1369">
        <f t="shared" si="5"/>
        <v>178</v>
      </c>
      <c r="N36" s="738"/>
      <c r="O36" s="738"/>
      <c r="P36" s="738"/>
      <c r="Q36" s="738"/>
      <c r="R36" s="738"/>
      <c r="S36" s="738"/>
      <c r="T36" s="738"/>
      <c r="U36" s="738" t="s">
        <v>2377</v>
      </c>
      <c r="V36" s="738"/>
      <c r="W36" s="738"/>
      <c r="X36" s="738"/>
      <c r="Y36" s="738"/>
      <c r="Z36" s="738"/>
      <c r="AA36" s="738" t="s">
        <v>2378</v>
      </c>
      <c r="AB36" s="738" t="s">
        <v>2378</v>
      </c>
      <c r="AC36" s="738" t="s">
        <v>790</v>
      </c>
      <c r="AD36" s="738" t="s">
        <v>2379</v>
      </c>
      <c r="AE36" s="1167">
        <v>269.64</v>
      </c>
      <c r="AF36" s="671">
        <f t="shared" si="1"/>
        <v>269.64400000000001</v>
      </c>
      <c r="AG36" s="671">
        <f t="shared" si="2"/>
        <v>4.0000000000190994E-3</v>
      </c>
      <c r="AH36" s="1167">
        <v>181.45400000000001</v>
      </c>
      <c r="AI36" s="1201">
        <f>AH36/AE36*100</f>
        <v>67.294911734164074</v>
      </c>
      <c r="AJ36" s="738"/>
      <c r="AK36" s="1167">
        <v>28.19</v>
      </c>
      <c r="AL36" s="1201">
        <f>AK36/AE36*100</f>
        <v>10.4546803144934</v>
      </c>
      <c r="AM36" s="1201"/>
      <c r="AN36" s="1167">
        <v>0</v>
      </c>
      <c r="AO36" s="738">
        <v>0</v>
      </c>
      <c r="AP36" s="1167">
        <v>60</v>
      </c>
      <c r="AQ36" s="1201">
        <f>AP36/AE36*100</f>
        <v>22.251891410769918</v>
      </c>
      <c r="AR36" s="1167"/>
      <c r="AS36" s="738"/>
      <c r="AT36" s="738"/>
      <c r="AU36" s="738"/>
      <c r="AV36" s="738"/>
      <c r="AW36" s="738"/>
      <c r="AX36" s="738"/>
      <c r="AY36" s="738"/>
      <c r="AZ36" s="738"/>
      <c r="BA36" s="738">
        <v>200</v>
      </c>
      <c r="BB36" s="738"/>
      <c r="BC36" s="738">
        <v>197</v>
      </c>
      <c r="BD36" s="738">
        <v>197</v>
      </c>
      <c r="BE36" s="1201">
        <v>73</v>
      </c>
      <c r="BF36" s="738">
        <v>12</v>
      </c>
      <c r="BG36" s="738"/>
      <c r="BH36" s="738">
        <v>1</v>
      </c>
      <c r="BI36" s="738"/>
      <c r="BJ36" s="738"/>
      <c r="BK36" s="738"/>
      <c r="BL36" s="738">
        <v>3</v>
      </c>
      <c r="BM36" s="738">
        <v>6</v>
      </c>
      <c r="BN36" s="738">
        <v>29</v>
      </c>
      <c r="BO36" s="738"/>
      <c r="BP36" s="738">
        <v>3</v>
      </c>
      <c r="BQ36" s="738">
        <v>16</v>
      </c>
      <c r="BR36" s="738"/>
      <c r="BS36" s="738"/>
      <c r="BT36" s="738"/>
      <c r="BU36" s="738">
        <v>1</v>
      </c>
      <c r="BV36" s="738"/>
      <c r="BW36" s="738"/>
      <c r="BX36" s="738"/>
      <c r="BY36" s="738"/>
      <c r="BZ36" s="738">
        <v>2</v>
      </c>
      <c r="CA36" s="738">
        <f>SUM(BF36:BZ36)</f>
        <v>73</v>
      </c>
      <c r="CB36" s="717">
        <f t="shared" si="3"/>
        <v>73</v>
      </c>
      <c r="CC36" s="717">
        <f t="shared" si="4"/>
        <v>0</v>
      </c>
      <c r="CD36" s="738"/>
      <c r="CE36" s="738"/>
      <c r="CF36" s="738"/>
      <c r="CG36" s="738"/>
      <c r="CH36" s="738"/>
      <c r="CI36" s="738"/>
      <c r="CJ36" s="738" t="s">
        <v>504</v>
      </c>
      <c r="CK36" s="738"/>
      <c r="CL36" s="738"/>
      <c r="CM36" s="738"/>
      <c r="CN36" s="738"/>
      <c r="CO36" s="738"/>
      <c r="CP36" s="738" t="s">
        <v>504</v>
      </c>
      <c r="CQ36" s="738"/>
      <c r="CR36" s="738"/>
      <c r="CS36" s="738"/>
      <c r="CT36" s="738"/>
      <c r="CU36" s="738"/>
      <c r="CV36" s="738"/>
      <c r="CW36" s="738"/>
      <c r="CX36" s="738"/>
      <c r="CY36" s="738"/>
      <c r="CZ36" s="738"/>
      <c r="DA36" s="738"/>
      <c r="DB36" s="738"/>
      <c r="DC36" s="738"/>
      <c r="DD36" s="738"/>
      <c r="DE36" s="738"/>
      <c r="DF36" s="738" t="s">
        <v>2380</v>
      </c>
      <c r="DG36" s="738"/>
      <c r="DH36" s="738" t="s">
        <v>504</v>
      </c>
      <c r="DI36" s="738"/>
      <c r="DJ36" s="738" t="s">
        <v>465</v>
      </c>
      <c r="DK36" s="738" t="s">
        <v>504</v>
      </c>
      <c r="DL36" s="738" t="s">
        <v>465</v>
      </c>
      <c r="DM36" s="738" t="s">
        <v>465</v>
      </c>
      <c r="DN36" s="738" t="s">
        <v>504</v>
      </c>
      <c r="DO36" s="738" t="s">
        <v>465</v>
      </c>
      <c r="DP36" s="738" t="s">
        <v>465</v>
      </c>
      <c r="DQ36" s="738" t="s">
        <v>504</v>
      </c>
      <c r="DR36" s="738"/>
      <c r="DS36" s="738"/>
      <c r="DT36" s="738" t="s">
        <v>471</v>
      </c>
      <c r="DU36" s="738" t="s">
        <v>1348</v>
      </c>
      <c r="DV36" s="738">
        <v>21</v>
      </c>
      <c r="DW36" s="738" t="s">
        <v>504</v>
      </c>
      <c r="DX36" s="738"/>
      <c r="DY36" s="738"/>
      <c r="DZ36" s="738" t="s">
        <v>504</v>
      </c>
      <c r="EA36" s="738" t="s">
        <v>465</v>
      </c>
      <c r="EB36" s="738" t="s">
        <v>465</v>
      </c>
      <c r="EC36" s="738"/>
      <c r="ED36" s="738"/>
      <c r="EE36" s="738"/>
      <c r="EF36" s="738"/>
      <c r="EG36" s="738"/>
      <c r="EH36" s="738"/>
      <c r="EI36" s="738"/>
      <c r="EJ36" s="738"/>
      <c r="EK36" s="738"/>
      <c r="EL36" s="738"/>
      <c r="EM36" s="738"/>
      <c r="EN36" s="738">
        <v>41</v>
      </c>
      <c r="EO36" s="738" t="s">
        <v>504</v>
      </c>
      <c r="EP36" s="738"/>
      <c r="EQ36" s="738" t="s">
        <v>500</v>
      </c>
      <c r="ER36" s="738" t="s">
        <v>2381</v>
      </c>
      <c r="ES36" s="738" t="s">
        <v>2382</v>
      </c>
      <c r="ET36" s="738"/>
      <c r="EU36" s="738"/>
      <c r="EV36" s="738" t="s">
        <v>2383</v>
      </c>
      <c r="EW36" s="738"/>
      <c r="EX36" s="738"/>
    </row>
    <row r="37" spans="3:154" ht="89.1" customHeight="1" x14ac:dyDescent="0.2">
      <c r="C37" s="1156" t="s">
        <v>5479</v>
      </c>
      <c r="D37" s="1156" t="s">
        <v>5277</v>
      </c>
      <c r="E37" s="738" t="s">
        <v>301</v>
      </c>
      <c r="F37" s="738" t="s">
        <v>5381</v>
      </c>
      <c r="G37" s="738"/>
      <c r="H37" s="632" t="s">
        <v>2384</v>
      </c>
      <c r="I37" s="632" t="s">
        <v>2385</v>
      </c>
      <c r="J37" s="637">
        <v>2018</v>
      </c>
      <c r="K37" s="377">
        <v>43831</v>
      </c>
      <c r="L37" s="377">
        <v>45657</v>
      </c>
      <c r="M37" s="1369">
        <f t="shared" si="5"/>
        <v>1826</v>
      </c>
      <c r="N37" s="632" t="s">
        <v>2386</v>
      </c>
      <c r="O37" s="632" t="s">
        <v>2387</v>
      </c>
      <c r="P37" s="632" t="s">
        <v>2388</v>
      </c>
      <c r="Q37" s="632"/>
      <c r="R37" s="632"/>
      <c r="S37" s="632"/>
      <c r="T37" s="632"/>
      <c r="U37" s="632"/>
      <c r="V37" s="632"/>
      <c r="W37" s="632"/>
      <c r="X37" s="632"/>
      <c r="Y37" s="632"/>
      <c r="Z37" s="632"/>
      <c r="AA37" s="632" t="s">
        <v>2389</v>
      </c>
      <c r="AB37" s="632" t="s">
        <v>2389</v>
      </c>
      <c r="AC37" s="632" t="s">
        <v>519</v>
      </c>
      <c r="AD37" s="632" t="s">
        <v>2390</v>
      </c>
      <c r="AE37" s="702">
        <v>1019.297</v>
      </c>
      <c r="AF37" s="671">
        <f t="shared" si="1"/>
        <v>1019.298</v>
      </c>
      <c r="AG37" s="671">
        <f t="shared" si="2"/>
        <v>9.9999999997635314E-4</v>
      </c>
      <c r="AH37" s="702">
        <v>9.3480000000000008</v>
      </c>
      <c r="AI37" s="683">
        <v>9.1999999999999998E-3</v>
      </c>
      <c r="AJ37" s="683">
        <v>1E-4</v>
      </c>
      <c r="AK37" s="702">
        <v>84.41</v>
      </c>
      <c r="AL37" s="683">
        <v>8.2799999999999999E-2</v>
      </c>
      <c r="AM37" s="683"/>
      <c r="AN37" s="702">
        <v>0</v>
      </c>
      <c r="AO37" s="683">
        <v>0</v>
      </c>
      <c r="AP37" s="702">
        <v>0</v>
      </c>
      <c r="AQ37" s="683">
        <v>0</v>
      </c>
      <c r="AR37" s="702">
        <v>925.54</v>
      </c>
      <c r="AS37" s="683">
        <v>0.90800000000000003</v>
      </c>
      <c r="AT37" s="632" t="s">
        <v>2391</v>
      </c>
      <c r="AU37" s="632" t="s">
        <v>709</v>
      </c>
      <c r="AV37" s="632" t="s">
        <v>2392</v>
      </c>
      <c r="AW37" s="632" t="s">
        <v>504</v>
      </c>
      <c r="AX37" s="632"/>
      <c r="AY37" s="632"/>
      <c r="AZ37" s="683"/>
      <c r="BA37" s="702">
        <v>9.0820000000000007</v>
      </c>
      <c r="BB37" s="683">
        <v>1E-4</v>
      </c>
      <c r="BC37" s="710">
        <v>63</v>
      </c>
      <c r="BD37" s="710">
        <v>49</v>
      </c>
      <c r="BE37" s="706">
        <v>49</v>
      </c>
      <c r="BF37" s="710"/>
      <c r="BG37" s="710"/>
      <c r="BH37" s="710"/>
      <c r="BI37" s="710"/>
      <c r="BJ37" s="710"/>
      <c r="BK37" s="710"/>
      <c r="BL37" s="710"/>
      <c r="BM37" s="710"/>
      <c r="BN37" s="710"/>
      <c r="BO37" s="710">
        <v>96</v>
      </c>
      <c r="BP37" s="710"/>
      <c r="BQ37" s="710">
        <v>163</v>
      </c>
      <c r="BR37" s="710"/>
      <c r="BS37" s="710"/>
      <c r="BT37" s="710"/>
      <c r="BU37" s="710"/>
      <c r="BV37" s="710"/>
      <c r="BW37" s="710"/>
      <c r="BX37" s="710"/>
      <c r="BY37" s="710"/>
      <c r="BZ37" s="710"/>
      <c r="CA37" s="710">
        <f>SUM(BG37:BZ37)</f>
        <v>259</v>
      </c>
      <c r="CB37" s="717">
        <f t="shared" si="3"/>
        <v>259</v>
      </c>
      <c r="CC37" s="717">
        <f t="shared" si="4"/>
        <v>0</v>
      </c>
      <c r="CD37" s="671"/>
      <c r="CE37" s="632"/>
      <c r="CF37" s="632"/>
      <c r="CG37" s="683"/>
      <c r="CH37" s="671">
        <v>3101.8580000000002</v>
      </c>
      <c r="CI37" s="683"/>
      <c r="CJ37" s="632" t="s">
        <v>504</v>
      </c>
      <c r="CK37" s="632"/>
      <c r="CL37" s="632"/>
      <c r="CM37" s="710"/>
      <c r="CN37" s="710"/>
      <c r="CO37" s="710"/>
      <c r="CP37" s="632" t="s">
        <v>500</v>
      </c>
      <c r="CQ37" s="632" t="s">
        <v>2393</v>
      </c>
      <c r="CR37" s="710">
        <v>61782</v>
      </c>
      <c r="CS37" s="632" t="s">
        <v>504</v>
      </c>
      <c r="CT37" s="632"/>
      <c r="CU37" s="710"/>
      <c r="CV37" s="710" t="s">
        <v>504</v>
      </c>
      <c r="CW37" s="710"/>
      <c r="CX37" s="710"/>
      <c r="CY37" s="710" t="s">
        <v>504</v>
      </c>
      <c r="CZ37" s="710"/>
      <c r="DA37" s="710"/>
      <c r="DB37" s="632" t="s">
        <v>500</v>
      </c>
      <c r="DC37" s="632" t="s">
        <v>2394</v>
      </c>
      <c r="DD37" s="710">
        <v>3901</v>
      </c>
      <c r="DE37" s="632"/>
      <c r="DF37" s="632"/>
      <c r="DG37" s="710"/>
      <c r="DH37" s="632"/>
      <c r="DI37" s="632"/>
      <c r="DJ37" s="710"/>
      <c r="DK37" s="632"/>
      <c r="DL37" s="632"/>
      <c r="DM37" s="710"/>
      <c r="DN37" s="632" t="s">
        <v>504</v>
      </c>
      <c r="DO37" s="632"/>
      <c r="DP37" s="710"/>
      <c r="DQ37" s="632" t="s">
        <v>500</v>
      </c>
      <c r="DR37" s="632" t="s">
        <v>2395</v>
      </c>
      <c r="DS37" s="710">
        <v>117818</v>
      </c>
      <c r="DT37" s="710"/>
      <c r="DU37" s="710"/>
      <c r="DV37" s="710"/>
      <c r="DW37" s="632"/>
      <c r="DX37" s="632"/>
      <c r="DY37" s="710"/>
      <c r="DZ37" s="632"/>
      <c r="EA37" s="632"/>
      <c r="EB37" s="710"/>
      <c r="EC37" s="632"/>
      <c r="ED37" s="632"/>
      <c r="EE37" s="710"/>
      <c r="EF37" s="710"/>
      <c r="EG37" s="710"/>
      <c r="EH37" s="710"/>
      <c r="EI37" s="632"/>
      <c r="EJ37" s="632"/>
      <c r="EK37" s="710"/>
      <c r="EL37" s="632"/>
      <c r="EM37" s="632" t="s">
        <v>2396</v>
      </c>
      <c r="EN37" s="670">
        <v>51</v>
      </c>
      <c r="EO37" s="632"/>
      <c r="EP37" s="632"/>
      <c r="EQ37" s="632"/>
      <c r="ER37" s="632"/>
      <c r="ES37" s="632"/>
      <c r="ET37" s="632"/>
      <c r="EU37" s="632"/>
      <c r="EV37" s="632"/>
      <c r="EW37" s="632"/>
      <c r="EX37" s="632"/>
    </row>
    <row r="38" spans="3:154" x14ac:dyDescent="0.2">
      <c r="C38" s="1156"/>
      <c r="D38" s="1156"/>
      <c r="E38" s="1454" t="s">
        <v>302</v>
      </c>
      <c r="F38" s="1454" t="s">
        <v>387</v>
      </c>
      <c r="G38" s="1454"/>
      <c r="H38" s="1460"/>
      <c r="I38" s="1460"/>
      <c r="J38" s="1460"/>
      <c r="K38" s="1460"/>
      <c r="L38" s="1460"/>
      <c r="M38" s="1369">
        <f t="shared" si="5"/>
        <v>0</v>
      </c>
      <c r="N38" s="1460"/>
      <c r="O38" s="1460"/>
      <c r="P38" s="1460"/>
      <c r="Q38" s="1460"/>
      <c r="R38" s="1460"/>
      <c r="S38" s="1460"/>
      <c r="T38" s="1460"/>
      <c r="U38" s="1460"/>
      <c r="V38" s="1460"/>
      <c r="W38" s="1460"/>
      <c r="X38" s="1460"/>
      <c r="Y38" s="1460"/>
      <c r="Z38" s="1460"/>
      <c r="AA38" s="1460"/>
      <c r="AB38" s="1460"/>
      <c r="AC38" s="1460"/>
      <c r="AD38" s="1460"/>
      <c r="AE38" s="1461"/>
      <c r="AF38" s="1462">
        <f t="shared" si="1"/>
        <v>0</v>
      </c>
      <c r="AG38" s="1462">
        <f t="shared" si="2"/>
        <v>0</v>
      </c>
      <c r="AH38" s="1461"/>
      <c r="AI38" s="1460"/>
      <c r="AJ38" s="1460"/>
      <c r="AK38" s="1461"/>
      <c r="AL38" s="1460"/>
      <c r="AM38" s="1460"/>
      <c r="AN38" s="1461"/>
      <c r="AO38" s="1460"/>
      <c r="AP38" s="1461"/>
      <c r="AQ38" s="1460"/>
      <c r="AR38" s="1461"/>
      <c r="AS38" s="1460"/>
      <c r="AT38" s="1460"/>
      <c r="AU38" s="1460"/>
      <c r="AV38" s="1460"/>
      <c r="AW38" s="1460"/>
      <c r="AX38" s="1460"/>
      <c r="AY38" s="1460"/>
      <c r="AZ38" s="1460"/>
      <c r="BA38" s="1460"/>
      <c r="BB38" s="1460"/>
      <c r="BC38" s="1460"/>
      <c r="BD38" s="1460"/>
      <c r="BE38" s="1463"/>
      <c r="BF38" s="1460"/>
      <c r="BG38" s="1460"/>
      <c r="BH38" s="1460"/>
      <c r="BI38" s="1460"/>
      <c r="BJ38" s="1460"/>
      <c r="BK38" s="1460"/>
      <c r="BL38" s="1460"/>
      <c r="BM38" s="1460"/>
      <c r="BN38" s="1460"/>
      <c r="BO38" s="1460"/>
      <c r="BP38" s="1460"/>
      <c r="BQ38" s="1460"/>
      <c r="BR38" s="1460"/>
      <c r="BS38" s="1460"/>
      <c r="BT38" s="1460"/>
      <c r="BU38" s="1460"/>
      <c r="BV38" s="1460"/>
      <c r="BW38" s="1460"/>
      <c r="BX38" s="1460"/>
      <c r="BY38" s="1460"/>
      <c r="BZ38" s="1460"/>
      <c r="CA38" s="1460"/>
      <c r="CB38" s="1464">
        <f t="shared" si="3"/>
        <v>0</v>
      </c>
      <c r="CC38" s="1464">
        <f t="shared" si="4"/>
        <v>0</v>
      </c>
      <c r="CD38" s="1460"/>
      <c r="CE38" s="1460"/>
      <c r="CF38" s="1460"/>
      <c r="CG38" s="1460"/>
      <c r="CH38" s="1460"/>
      <c r="CI38" s="1460"/>
      <c r="CJ38" s="1460"/>
      <c r="CK38" s="1460"/>
      <c r="CL38" s="1460"/>
      <c r="CM38" s="1460"/>
      <c r="CN38" s="1460"/>
      <c r="CO38" s="1460"/>
      <c r="CP38" s="1460"/>
      <c r="CQ38" s="1460"/>
      <c r="CR38" s="1460"/>
      <c r="CS38" s="1460"/>
      <c r="CT38" s="1460"/>
      <c r="CU38" s="1460"/>
      <c r="CV38" s="1460"/>
      <c r="CW38" s="1460"/>
      <c r="CX38" s="1460"/>
      <c r="CY38" s="1460"/>
      <c r="CZ38" s="1460"/>
      <c r="DA38" s="1460"/>
      <c r="DB38" s="1460"/>
      <c r="DC38" s="1460"/>
      <c r="DD38" s="1460"/>
      <c r="DE38" s="1460"/>
      <c r="DF38" s="1460"/>
      <c r="DG38" s="1460"/>
      <c r="DH38" s="1460"/>
      <c r="DI38" s="1460"/>
      <c r="DJ38" s="1460"/>
      <c r="DK38" s="1460"/>
      <c r="DL38" s="1460"/>
      <c r="DM38" s="1460"/>
      <c r="DN38" s="1460"/>
      <c r="DO38" s="1460"/>
      <c r="DP38" s="1460"/>
      <c r="DQ38" s="1460"/>
      <c r="DR38" s="1460"/>
      <c r="DS38" s="1460"/>
      <c r="DT38" s="1460"/>
      <c r="DU38" s="1460"/>
      <c r="DV38" s="1460"/>
      <c r="DW38" s="1460"/>
      <c r="DX38" s="1460"/>
      <c r="DY38" s="1460"/>
      <c r="DZ38" s="1460"/>
      <c r="EA38" s="1460"/>
      <c r="EB38" s="1460"/>
      <c r="EC38" s="1460"/>
      <c r="ED38" s="1460"/>
      <c r="EE38" s="1460"/>
      <c r="EF38" s="1460"/>
      <c r="EG38" s="1460"/>
      <c r="EH38" s="1460"/>
      <c r="EI38" s="1460"/>
      <c r="EJ38" s="1460"/>
      <c r="EK38" s="1460"/>
      <c r="EL38" s="1460"/>
      <c r="EM38" s="1460"/>
      <c r="EN38" s="1460"/>
      <c r="EO38" s="1460"/>
      <c r="EP38" s="1460"/>
      <c r="EQ38" s="1460"/>
      <c r="ER38" s="1460"/>
      <c r="ES38" s="1460"/>
      <c r="ET38" s="1460"/>
      <c r="EU38" s="1460"/>
      <c r="EV38" s="1460"/>
      <c r="EW38" s="1460"/>
      <c r="EX38" s="1460"/>
    </row>
    <row r="39" spans="3:154" ht="78.95" customHeight="1" x14ac:dyDescent="0.2">
      <c r="C39" s="1156" t="s">
        <v>5478</v>
      </c>
      <c r="D39" s="1156" t="s">
        <v>5277</v>
      </c>
      <c r="E39" s="738" t="s">
        <v>303</v>
      </c>
      <c r="F39" s="738" t="s">
        <v>388</v>
      </c>
      <c r="G39" s="738"/>
      <c r="H39" s="632" t="s">
        <v>784</v>
      </c>
      <c r="I39" s="632" t="s">
        <v>784</v>
      </c>
      <c r="J39" s="637">
        <v>2020</v>
      </c>
      <c r="K39" s="377">
        <v>43952</v>
      </c>
      <c r="L39" s="377">
        <v>44135</v>
      </c>
      <c r="M39" s="1369">
        <f t="shared" si="5"/>
        <v>183</v>
      </c>
      <c r="N39" s="632" t="s">
        <v>784</v>
      </c>
      <c r="O39" s="632" t="s">
        <v>787</v>
      </c>
      <c r="P39" s="632" t="s">
        <v>465</v>
      </c>
      <c r="Q39" s="632" t="s">
        <v>465</v>
      </c>
      <c r="R39" s="632" t="s">
        <v>465</v>
      </c>
      <c r="S39" s="632" t="s">
        <v>465</v>
      </c>
      <c r="T39" s="632" t="s">
        <v>465</v>
      </c>
      <c r="U39" s="632" t="s">
        <v>788</v>
      </c>
      <c r="V39" s="632" t="s">
        <v>465</v>
      </c>
      <c r="W39" s="632" t="s">
        <v>465</v>
      </c>
      <c r="X39" s="632" t="s">
        <v>465</v>
      </c>
      <c r="Y39" s="632"/>
      <c r="Z39" s="632"/>
      <c r="AA39" s="632" t="s">
        <v>789</v>
      </c>
      <c r="AB39" s="632" t="s">
        <v>789</v>
      </c>
      <c r="AC39" s="632" t="s">
        <v>790</v>
      </c>
      <c r="AD39" s="632" t="s">
        <v>465</v>
      </c>
      <c r="AE39" s="702">
        <v>19.71</v>
      </c>
      <c r="AF39" s="671">
        <f t="shared" si="1"/>
        <v>19.71</v>
      </c>
      <c r="AG39" s="671">
        <f t="shared" si="2"/>
        <v>0</v>
      </c>
      <c r="AH39" s="702">
        <v>8.44</v>
      </c>
      <c r="AI39" s="683">
        <v>0.39</v>
      </c>
      <c r="AJ39" s="683"/>
      <c r="AK39" s="702">
        <v>1.78</v>
      </c>
      <c r="AL39" s="683">
        <v>0.08</v>
      </c>
      <c r="AM39" s="683"/>
      <c r="AN39" s="702">
        <v>0.99</v>
      </c>
      <c r="AO39" s="683">
        <v>0.05</v>
      </c>
      <c r="AP39" s="702"/>
      <c r="AQ39" s="683"/>
      <c r="AR39" s="702">
        <v>8.5</v>
      </c>
      <c r="AS39" s="683">
        <v>0.39</v>
      </c>
      <c r="AT39" s="632" t="s">
        <v>784</v>
      </c>
      <c r="AU39" s="632" t="s">
        <v>789</v>
      </c>
      <c r="AV39" s="632" t="s">
        <v>789</v>
      </c>
      <c r="AW39" s="632" t="s">
        <v>500</v>
      </c>
      <c r="AX39" s="632" t="s">
        <v>791</v>
      </c>
      <c r="AY39" s="632">
        <f>1.8+0.12</f>
        <v>1.92</v>
      </c>
      <c r="AZ39" s="683"/>
      <c r="BA39" s="683"/>
      <c r="BB39" s="683"/>
      <c r="BC39" s="710">
        <v>16</v>
      </c>
      <c r="BD39" s="710">
        <v>16</v>
      </c>
      <c r="BE39" s="706">
        <v>8</v>
      </c>
      <c r="BF39" s="710"/>
      <c r="BG39" s="710">
        <v>2</v>
      </c>
      <c r="BH39" s="710"/>
      <c r="BI39" s="710"/>
      <c r="BJ39" s="710"/>
      <c r="BK39" s="710">
        <v>2</v>
      </c>
      <c r="BL39" s="710"/>
      <c r="BM39" s="710"/>
      <c r="BN39" s="710">
        <v>1</v>
      </c>
      <c r="BO39" s="710"/>
      <c r="BP39" s="710">
        <v>1</v>
      </c>
      <c r="BQ39" s="710">
        <v>4</v>
      </c>
      <c r="BR39" s="710"/>
      <c r="BS39" s="710"/>
      <c r="BT39" s="710"/>
      <c r="BU39" s="710"/>
      <c r="BV39" s="710"/>
      <c r="BW39" s="710"/>
      <c r="BX39" s="710"/>
      <c r="BY39" s="710"/>
      <c r="BZ39" s="710"/>
      <c r="CA39" s="717">
        <f t="shared" ref="CA39:CA51" si="7">SUM(BF39:BZ39)</f>
        <v>10</v>
      </c>
      <c r="CB39" s="717">
        <f t="shared" si="3"/>
        <v>10</v>
      </c>
      <c r="CC39" s="717">
        <f t="shared" si="4"/>
        <v>0</v>
      </c>
      <c r="CD39" s="671">
        <v>11</v>
      </c>
      <c r="CE39" s="632"/>
      <c r="CF39" s="632"/>
      <c r="CG39" s="683">
        <v>1.044E-2</v>
      </c>
      <c r="CH39" s="671">
        <v>1053</v>
      </c>
      <c r="CI39" s="683" t="s">
        <v>792</v>
      </c>
      <c r="CJ39" s="632" t="s">
        <v>504</v>
      </c>
      <c r="CK39" s="632"/>
      <c r="CL39" s="632"/>
      <c r="CM39" s="710"/>
      <c r="CN39" s="710"/>
      <c r="CO39" s="710"/>
      <c r="CP39" s="632" t="s">
        <v>500</v>
      </c>
      <c r="CQ39" s="632" t="s">
        <v>793</v>
      </c>
      <c r="CR39" s="710">
        <f>345+335+43+1000+1352</f>
        <v>3075</v>
      </c>
      <c r="CS39" s="632" t="s">
        <v>500</v>
      </c>
      <c r="CT39" s="632" t="s">
        <v>794</v>
      </c>
      <c r="CU39" s="710">
        <f>0.345+335+358+500</f>
        <v>1193.345</v>
      </c>
      <c r="CV39" s="710" t="s">
        <v>504</v>
      </c>
      <c r="CW39" s="710"/>
      <c r="CX39" s="710"/>
      <c r="CY39" s="710" t="s">
        <v>504</v>
      </c>
      <c r="CZ39" s="710"/>
      <c r="DA39" s="710"/>
      <c r="DB39" s="632" t="s">
        <v>504</v>
      </c>
      <c r="DC39" s="632"/>
      <c r="DD39" s="710"/>
      <c r="DE39" s="632" t="s">
        <v>504</v>
      </c>
      <c r="DF39" s="632"/>
      <c r="DG39" s="710"/>
      <c r="DH39" s="632" t="s">
        <v>504</v>
      </c>
      <c r="DI39" s="632"/>
      <c r="DJ39" s="710"/>
      <c r="DK39" s="632" t="s">
        <v>504</v>
      </c>
      <c r="DL39" s="632"/>
      <c r="DM39" s="710"/>
      <c r="DN39" s="632" t="s">
        <v>504</v>
      </c>
      <c r="DO39" s="632"/>
      <c r="DP39" s="710"/>
      <c r="DQ39" s="632" t="s">
        <v>500</v>
      </c>
      <c r="DR39" s="632" t="s">
        <v>795</v>
      </c>
      <c r="DS39" s="710">
        <f>43+1241</f>
        <v>1284</v>
      </c>
      <c r="DT39" s="710" t="s">
        <v>500</v>
      </c>
      <c r="DU39" s="710" t="s">
        <v>796</v>
      </c>
      <c r="DV39" s="710">
        <v>1352</v>
      </c>
      <c r="DW39" s="632" t="s">
        <v>504</v>
      </c>
      <c r="DX39" s="632"/>
      <c r="DY39" s="710"/>
      <c r="DZ39" s="632" t="s">
        <v>504</v>
      </c>
      <c r="EA39" s="632"/>
      <c r="EB39" s="710"/>
      <c r="EC39" s="632" t="s">
        <v>504</v>
      </c>
      <c r="ED39" s="632"/>
      <c r="EE39" s="710"/>
      <c r="EF39" s="710" t="s">
        <v>504</v>
      </c>
      <c r="EG39" s="710"/>
      <c r="EH39" s="710"/>
      <c r="EI39" s="632" t="s">
        <v>504</v>
      </c>
      <c r="EJ39" s="632"/>
      <c r="EK39" s="710"/>
      <c r="EL39" s="632"/>
      <c r="EM39" s="632"/>
      <c r="EN39" s="670">
        <v>16</v>
      </c>
      <c r="EO39" s="632" t="s">
        <v>504</v>
      </c>
      <c r="EP39" s="632"/>
      <c r="EQ39" s="632"/>
      <c r="ER39" s="632"/>
      <c r="ES39" s="632"/>
      <c r="ET39" s="632"/>
      <c r="EU39" s="632"/>
      <c r="EV39" s="632"/>
      <c r="EW39" s="632"/>
      <c r="EX39" s="632"/>
    </row>
    <row r="40" spans="3:154" ht="102.95" customHeight="1" x14ac:dyDescent="0.2">
      <c r="C40" s="1156" t="s">
        <v>693</v>
      </c>
      <c r="D40" s="1156" t="s">
        <v>5277</v>
      </c>
      <c r="E40" s="738" t="s">
        <v>304</v>
      </c>
      <c r="F40" s="738" t="s">
        <v>389</v>
      </c>
      <c r="G40" s="738"/>
      <c r="H40" s="632" t="s">
        <v>1018</v>
      </c>
      <c r="I40" s="632" t="s">
        <v>1019</v>
      </c>
      <c r="J40" s="637">
        <v>2019</v>
      </c>
      <c r="K40" s="377">
        <v>43906</v>
      </c>
      <c r="L40" s="377">
        <v>44166</v>
      </c>
      <c r="M40" s="1369">
        <f t="shared" si="5"/>
        <v>260</v>
      </c>
      <c r="N40" s="632" t="s">
        <v>1020</v>
      </c>
      <c r="O40" s="632" t="s">
        <v>1021</v>
      </c>
      <c r="P40" s="632" t="s">
        <v>1022</v>
      </c>
      <c r="Q40" s="632"/>
      <c r="R40" s="632"/>
      <c r="S40" s="632"/>
      <c r="T40" s="632"/>
      <c r="U40" s="632"/>
      <c r="V40" s="632"/>
      <c r="W40" s="632"/>
      <c r="X40" s="632"/>
      <c r="Y40" s="632"/>
      <c r="Z40" s="632"/>
      <c r="AA40" s="632" t="s">
        <v>1023</v>
      </c>
      <c r="AB40" s="632" t="s">
        <v>1023</v>
      </c>
      <c r="AC40" s="632" t="s">
        <v>1024</v>
      </c>
      <c r="AD40" s="632" t="s">
        <v>1025</v>
      </c>
      <c r="AE40" s="702">
        <v>59.573504489999998</v>
      </c>
      <c r="AF40" s="671">
        <f t="shared" si="1"/>
        <v>59.581325559999996</v>
      </c>
      <c r="AG40" s="671">
        <f t="shared" si="2"/>
        <v>7.8210699999985422E-3</v>
      </c>
      <c r="AH40" s="702">
        <v>44.21</v>
      </c>
      <c r="AI40" s="683">
        <f>AH40/AE40</f>
        <v>0.74210843190232478</v>
      </c>
      <c r="AJ40" s="683">
        <v>7.3999999999999999E-4</v>
      </c>
      <c r="AK40" s="702">
        <v>11.40892556</v>
      </c>
      <c r="AL40" s="683">
        <f>AK40/AE40</f>
        <v>0.19151006236195323</v>
      </c>
      <c r="AM40" s="683"/>
      <c r="AN40" s="702">
        <v>2.62</v>
      </c>
      <c r="AO40" s="683">
        <f>AN40/AE40</f>
        <v>4.397928277729226E-2</v>
      </c>
      <c r="AP40" s="702">
        <v>1.3424</v>
      </c>
      <c r="AQ40" s="683">
        <f>AP40/AE40</f>
        <v>2.2533507328334784E-2</v>
      </c>
      <c r="AR40" s="702">
        <v>0</v>
      </c>
      <c r="AS40" s="683"/>
      <c r="AT40" s="632"/>
      <c r="AU40" s="632"/>
      <c r="AV40" s="632"/>
      <c r="AW40" s="632" t="s">
        <v>500</v>
      </c>
      <c r="AX40" s="632" t="s">
        <v>1026</v>
      </c>
      <c r="AY40" s="632"/>
      <c r="AZ40" s="632" t="s">
        <v>997</v>
      </c>
      <c r="BA40" s="702">
        <v>50</v>
      </c>
      <c r="BB40" s="1166">
        <v>9.1E-4</v>
      </c>
      <c r="BC40" s="710">
        <v>183</v>
      </c>
      <c r="BD40" s="710">
        <v>183</v>
      </c>
      <c r="BE40" s="706">
        <v>100</v>
      </c>
      <c r="BF40" s="710"/>
      <c r="BG40" s="710"/>
      <c r="BH40" s="710"/>
      <c r="BI40" s="710"/>
      <c r="BJ40" s="710"/>
      <c r="BK40" s="710"/>
      <c r="BL40" s="710"/>
      <c r="BM40" s="710"/>
      <c r="BN40" s="710"/>
      <c r="BO40" s="710">
        <v>11</v>
      </c>
      <c r="BP40" s="710">
        <v>73</v>
      </c>
      <c r="BQ40" s="710">
        <v>7</v>
      </c>
      <c r="BR40" s="710">
        <v>3</v>
      </c>
      <c r="BS40" s="710"/>
      <c r="BT40" s="710"/>
      <c r="BU40" s="710"/>
      <c r="BV40" s="710"/>
      <c r="BW40" s="710"/>
      <c r="BX40" s="710"/>
      <c r="BY40" s="710"/>
      <c r="BZ40" s="710">
        <v>6</v>
      </c>
      <c r="CA40" s="717">
        <f t="shared" si="7"/>
        <v>100</v>
      </c>
      <c r="CB40" s="717">
        <f t="shared" si="3"/>
        <v>100</v>
      </c>
      <c r="CC40" s="717">
        <f t="shared" si="4"/>
        <v>0</v>
      </c>
      <c r="CD40" s="671">
        <v>130.69399999999999</v>
      </c>
      <c r="CE40" s="632" t="s">
        <v>1027</v>
      </c>
      <c r="CF40" s="632"/>
      <c r="CG40" s="683"/>
      <c r="CH40" s="671">
        <v>997.13499999999999</v>
      </c>
      <c r="CI40" s="683" t="s">
        <v>1028</v>
      </c>
      <c r="CJ40" s="632" t="s">
        <v>504</v>
      </c>
      <c r="CK40" s="632"/>
      <c r="CL40" s="632"/>
      <c r="CM40" s="710"/>
      <c r="CN40" s="710"/>
      <c r="CO40" s="710"/>
      <c r="CP40" s="632" t="s">
        <v>500</v>
      </c>
      <c r="CQ40" s="632" t="s">
        <v>655</v>
      </c>
      <c r="CR40" s="710"/>
      <c r="CS40" s="632" t="s">
        <v>500</v>
      </c>
      <c r="CT40" s="632" t="s">
        <v>655</v>
      </c>
      <c r="CU40" s="710"/>
      <c r="CV40" s="710" t="s">
        <v>500</v>
      </c>
      <c r="CW40" s="710" t="s">
        <v>1029</v>
      </c>
      <c r="CX40" s="710"/>
      <c r="CY40" s="710" t="s">
        <v>504</v>
      </c>
      <c r="CZ40" s="710"/>
      <c r="DA40" s="710"/>
      <c r="DB40" s="632" t="s">
        <v>504</v>
      </c>
      <c r="DC40" s="632"/>
      <c r="DD40" s="710"/>
      <c r="DE40" s="632" t="s">
        <v>504</v>
      </c>
      <c r="DF40" s="632"/>
      <c r="DG40" s="710"/>
      <c r="DH40" s="632" t="s">
        <v>504</v>
      </c>
      <c r="DI40" s="632"/>
      <c r="DJ40" s="710"/>
      <c r="DK40" s="632"/>
      <c r="DL40" s="632"/>
      <c r="DM40" s="710"/>
      <c r="DN40" s="632" t="s">
        <v>504</v>
      </c>
      <c r="DO40" s="632"/>
      <c r="DP40" s="710"/>
      <c r="DQ40" s="632" t="s">
        <v>500</v>
      </c>
      <c r="DR40" s="632" t="s">
        <v>1030</v>
      </c>
      <c r="DS40" s="710">
        <v>15717</v>
      </c>
      <c r="DT40" s="710" t="s">
        <v>504</v>
      </c>
      <c r="DU40" s="710"/>
      <c r="DV40" s="710"/>
      <c r="DW40" s="632" t="s">
        <v>504</v>
      </c>
      <c r="DX40" s="632"/>
      <c r="DY40" s="710"/>
      <c r="DZ40" s="632" t="s">
        <v>504</v>
      </c>
      <c r="EA40" s="632"/>
      <c r="EB40" s="710"/>
      <c r="EC40" s="632" t="s">
        <v>500</v>
      </c>
      <c r="ED40" s="632" t="s">
        <v>935</v>
      </c>
      <c r="EE40" s="710"/>
      <c r="EF40" s="710" t="s">
        <v>504</v>
      </c>
      <c r="EG40" s="710"/>
      <c r="EH40" s="710"/>
      <c r="EI40" s="632" t="s">
        <v>504</v>
      </c>
      <c r="EJ40" s="632"/>
      <c r="EK40" s="710"/>
      <c r="EL40" s="632">
        <v>100</v>
      </c>
      <c r="EM40" s="632"/>
      <c r="EN40" s="670">
        <v>78</v>
      </c>
      <c r="EO40" s="632" t="s">
        <v>504</v>
      </c>
      <c r="EP40" s="632"/>
      <c r="EQ40" s="653" t="s">
        <v>1031</v>
      </c>
      <c r="ER40" s="653" t="s">
        <v>1032</v>
      </c>
      <c r="ES40" s="653" t="s">
        <v>1033</v>
      </c>
      <c r="ET40" s="632" t="s">
        <v>1034</v>
      </c>
      <c r="EU40" s="632" t="s">
        <v>504</v>
      </c>
      <c r="EV40" s="632"/>
      <c r="EW40" s="632"/>
      <c r="EX40" s="632"/>
    </row>
    <row r="41" spans="3:154" ht="96.95" customHeight="1" x14ac:dyDescent="0.2">
      <c r="C41" s="1156" t="s">
        <v>693</v>
      </c>
      <c r="D41" s="1156" t="s">
        <v>5277</v>
      </c>
      <c r="E41" s="738" t="s">
        <v>305</v>
      </c>
      <c r="F41" s="738" t="s">
        <v>390</v>
      </c>
      <c r="G41" s="738"/>
      <c r="H41" s="632" t="s">
        <v>2174</v>
      </c>
      <c r="I41" s="632" t="s">
        <v>2174</v>
      </c>
      <c r="J41" s="637">
        <v>2019</v>
      </c>
      <c r="K41" s="377">
        <v>44044</v>
      </c>
      <c r="L41" s="377">
        <v>44196</v>
      </c>
      <c r="M41" s="1369">
        <f t="shared" si="5"/>
        <v>152</v>
      </c>
      <c r="N41" s="632" t="s">
        <v>2177</v>
      </c>
      <c r="O41" s="632" t="s">
        <v>2178</v>
      </c>
      <c r="P41" s="632" t="s">
        <v>2179</v>
      </c>
      <c r="Q41" s="632"/>
      <c r="R41" s="632"/>
      <c r="S41" s="632"/>
      <c r="T41" s="632"/>
      <c r="U41" s="632"/>
      <c r="V41" s="632"/>
      <c r="W41" s="632" t="s">
        <v>2180</v>
      </c>
      <c r="X41" s="632" t="s">
        <v>2181</v>
      </c>
      <c r="Y41" s="632"/>
      <c r="Z41" s="632"/>
      <c r="AA41" s="632" t="s">
        <v>2182</v>
      </c>
      <c r="AB41" s="632" t="s">
        <v>2182</v>
      </c>
      <c r="AC41" s="632" t="s">
        <v>519</v>
      </c>
      <c r="AD41" s="632" t="s">
        <v>2183</v>
      </c>
      <c r="AE41" s="702">
        <v>5</v>
      </c>
      <c r="AF41" s="671">
        <f t="shared" si="1"/>
        <v>5</v>
      </c>
      <c r="AG41" s="671">
        <f t="shared" si="2"/>
        <v>0</v>
      </c>
      <c r="AH41" s="702">
        <v>4</v>
      </c>
      <c r="AI41" s="683">
        <v>0.8</v>
      </c>
      <c r="AJ41" s="683">
        <v>2.0000000000000001E-4</v>
      </c>
      <c r="AK41" s="702">
        <v>0.8</v>
      </c>
      <c r="AL41" s="683">
        <v>0.16</v>
      </c>
      <c r="AM41" s="683"/>
      <c r="AN41" s="702">
        <v>0.2</v>
      </c>
      <c r="AO41" s="683">
        <v>0.04</v>
      </c>
      <c r="AP41" s="702">
        <v>0</v>
      </c>
      <c r="AQ41" s="683">
        <v>0</v>
      </c>
      <c r="AR41" s="702">
        <v>0</v>
      </c>
      <c r="AS41" s="683">
        <v>0</v>
      </c>
      <c r="AT41" s="632">
        <v>0</v>
      </c>
      <c r="AU41" s="632">
        <v>0</v>
      </c>
      <c r="AV41" s="632">
        <v>0</v>
      </c>
      <c r="AW41" s="632">
        <v>0</v>
      </c>
      <c r="AX41" s="632">
        <v>0</v>
      </c>
      <c r="AY41" s="632">
        <v>0</v>
      </c>
      <c r="AZ41" s="683">
        <v>0</v>
      </c>
      <c r="BA41" s="683">
        <v>0.02</v>
      </c>
      <c r="BB41" s="683">
        <v>1E-4</v>
      </c>
      <c r="BC41" s="710">
        <v>4</v>
      </c>
      <c r="BD41" s="710">
        <v>4</v>
      </c>
      <c r="BE41" s="706">
        <v>4</v>
      </c>
      <c r="BF41" s="710"/>
      <c r="BG41" s="710"/>
      <c r="BH41" s="710"/>
      <c r="BI41" s="710"/>
      <c r="BJ41" s="710"/>
      <c r="BK41" s="710"/>
      <c r="BL41" s="710"/>
      <c r="BM41" s="710"/>
      <c r="BN41" s="710"/>
      <c r="BO41" s="710">
        <v>3</v>
      </c>
      <c r="BP41" s="710">
        <v>1</v>
      </c>
      <c r="BQ41" s="710"/>
      <c r="BR41" s="710"/>
      <c r="BS41" s="710"/>
      <c r="BT41" s="710"/>
      <c r="BU41" s="710"/>
      <c r="BV41" s="710"/>
      <c r="BW41" s="710"/>
      <c r="BX41" s="710"/>
      <c r="BY41" s="710"/>
      <c r="BZ41" s="710"/>
      <c r="CA41" s="717">
        <f t="shared" si="7"/>
        <v>4</v>
      </c>
      <c r="CB41" s="717">
        <f t="shared" si="3"/>
        <v>4</v>
      </c>
      <c r="CC41" s="717">
        <f t="shared" si="4"/>
        <v>0</v>
      </c>
      <c r="CD41" s="671">
        <v>0.46</v>
      </c>
      <c r="CE41" s="632"/>
      <c r="CF41" s="632"/>
      <c r="CG41" s="683">
        <v>8.9999999999999998E-4</v>
      </c>
      <c r="CH41" s="671">
        <v>507.1</v>
      </c>
      <c r="CI41" s="683" t="s">
        <v>2184</v>
      </c>
      <c r="CJ41" s="632" t="s">
        <v>504</v>
      </c>
      <c r="CK41" s="632"/>
      <c r="CL41" s="632"/>
      <c r="CM41" s="710"/>
      <c r="CN41" s="710"/>
      <c r="CO41" s="710"/>
      <c r="CP41" s="632" t="s">
        <v>504</v>
      </c>
      <c r="CQ41" s="632"/>
      <c r="CR41" s="710"/>
      <c r="CS41" s="632" t="s">
        <v>500</v>
      </c>
      <c r="CT41" s="632" t="s">
        <v>2185</v>
      </c>
      <c r="CU41" s="710">
        <v>151</v>
      </c>
      <c r="CV41" s="710" t="s">
        <v>504</v>
      </c>
      <c r="CW41" s="710"/>
      <c r="CX41" s="710"/>
      <c r="CY41" s="710" t="s">
        <v>504</v>
      </c>
      <c r="CZ41" s="710"/>
      <c r="DA41" s="710"/>
      <c r="DB41" s="632" t="s">
        <v>504</v>
      </c>
      <c r="DC41" s="632"/>
      <c r="DD41" s="710"/>
      <c r="DE41" s="632" t="s">
        <v>504</v>
      </c>
      <c r="DF41" s="632"/>
      <c r="DG41" s="710"/>
      <c r="DH41" s="632" t="s">
        <v>504</v>
      </c>
      <c r="DI41" s="632"/>
      <c r="DJ41" s="710"/>
      <c r="DK41" s="632" t="s">
        <v>504</v>
      </c>
      <c r="DL41" s="632"/>
      <c r="DM41" s="710"/>
      <c r="DN41" s="632" t="s">
        <v>504</v>
      </c>
      <c r="DO41" s="632"/>
      <c r="DP41" s="710"/>
      <c r="DQ41" s="632" t="s">
        <v>500</v>
      </c>
      <c r="DR41" s="632" t="s">
        <v>2186</v>
      </c>
      <c r="DS41" s="710">
        <v>151</v>
      </c>
      <c r="DT41" s="710" t="s">
        <v>504</v>
      </c>
      <c r="DU41" s="710"/>
      <c r="DV41" s="710"/>
      <c r="DW41" s="632" t="s">
        <v>504</v>
      </c>
      <c r="DX41" s="632"/>
      <c r="DY41" s="710"/>
      <c r="DZ41" s="632" t="s">
        <v>504</v>
      </c>
      <c r="EA41" s="632"/>
      <c r="EB41" s="710"/>
      <c r="EC41" s="632" t="s">
        <v>504</v>
      </c>
      <c r="ED41" s="632"/>
      <c r="EE41" s="710"/>
      <c r="EF41" s="710" t="s">
        <v>504</v>
      </c>
      <c r="EG41" s="710"/>
      <c r="EH41" s="710"/>
      <c r="EI41" s="632" t="s">
        <v>504</v>
      </c>
      <c r="EJ41" s="632"/>
      <c r="EK41" s="710"/>
      <c r="EL41" s="632">
        <v>100</v>
      </c>
      <c r="EM41" s="632"/>
      <c r="EN41" s="670">
        <v>2</v>
      </c>
      <c r="EO41" s="632" t="s">
        <v>504</v>
      </c>
      <c r="EP41" s="632"/>
      <c r="EQ41" s="632" t="s">
        <v>2187</v>
      </c>
      <c r="ER41" s="632"/>
      <c r="ES41" s="632" t="s">
        <v>2188</v>
      </c>
      <c r="ET41" s="632"/>
      <c r="EU41" s="632"/>
      <c r="EV41" s="632"/>
      <c r="EW41" s="632"/>
      <c r="EX41" s="632"/>
    </row>
    <row r="42" spans="3:154" ht="83.1" customHeight="1" x14ac:dyDescent="0.2">
      <c r="C42" s="1156" t="s">
        <v>693</v>
      </c>
      <c r="D42" s="1156" t="s">
        <v>5277</v>
      </c>
      <c r="E42" s="738" t="s">
        <v>306</v>
      </c>
      <c r="F42" s="738" t="s">
        <v>391</v>
      </c>
      <c r="G42" s="738"/>
      <c r="H42" s="632" t="s">
        <v>1967</v>
      </c>
      <c r="I42" s="632" t="s">
        <v>1968</v>
      </c>
      <c r="J42" s="637">
        <v>2011</v>
      </c>
      <c r="K42" s="377">
        <v>43896</v>
      </c>
      <c r="L42" s="377">
        <v>44195</v>
      </c>
      <c r="M42" s="1369">
        <f t="shared" si="5"/>
        <v>299</v>
      </c>
      <c r="N42" s="632" t="s">
        <v>1970</v>
      </c>
      <c r="O42" s="632" t="s">
        <v>1971</v>
      </c>
      <c r="P42" s="632"/>
      <c r="Q42" s="632"/>
      <c r="R42" s="632"/>
      <c r="S42" s="632"/>
      <c r="T42" s="632"/>
      <c r="U42" s="632"/>
      <c r="V42" s="632"/>
      <c r="W42" s="632" t="s">
        <v>1972</v>
      </c>
      <c r="X42" s="632"/>
      <c r="Y42" s="632"/>
      <c r="Z42" s="632"/>
      <c r="AA42" s="632" t="s">
        <v>1973</v>
      </c>
      <c r="AB42" s="632" t="s">
        <v>1973</v>
      </c>
      <c r="AC42" s="632" t="s">
        <v>1974</v>
      </c>
      <c r="AD42" s="632" t="s">
        <v>1975</v>
      </c>
      <c r="AE42" s="702">
        <v>948.2</v>
      </c>
      <c r="AF42" s="671">
        <f t="shared" si="1"/>
        <v>948.2</v>
      </c>
      <c r="AG42" s="671">
        <f t="shared" si="2"/>
        <v>0</v>
      </c>
      <c r="AH42" s="702">
        <v>850</v>
      </c>
      <c r="AI42" s="682">
        <v>0.89649999999999996</v>
      </c>
      <c r="AJ42" s="683">
        <v>3.8E-3</v>
      </c>
      <c r="AK42" s="702">
        <v>98.2</v>
      </c>
      <c r="AL42" s="683">
        <v>0.10349999999999999</v>
      </c>
      <c r="AM42" s="683"/>
      <c r="AN42" s="702">
        <v>0</v>
      </c>
      <c r="AO42" s="683">
        <v>0</v>
      </c>
      <c r="AP42" s="702">
        <v>0</v>
      </c>
      <c r="AQ42" s="683">
        <v>0</v>
      </c>
      <c r="AR42" s="702">
        <v>0</v>
      </c>
      <c r="AS42" s="683">
        <v>0</v>
      </c>
      <c r="AT42" s="632"/>
      <c r="AU42" s="632"/>
      <c r="AV42" s="632"/>
      <c r="AW42" s="632" t="s">
        <v>504</v>
      </c>
      <c r="AX42" s="632"/>
      <c r="AY42" s="632">
        <v>0</v>
      </c>
      <c r="AZ42" s="683">
        <v>0</v>
      </c>
      <c r="BA42" s="699">
        <v>520</v>
      </c>
      <c r="BB42" s="683">
        <v>2.5000000000000001E-3</v>
      </c>
      <c r="BC42" s="710">
        <v>1677</v>
      </c>
      <c r="BD42" s="710">
        <v>454</v>
      </c>
      <c r="BE42" s="706">
        <v>454</v>
      </c>
      <c r="BF42" s="710">
        <v>168</v>
      </c>
      <c r="BG42" s="710">
        <v>114</v>
      </c>
      <c r="BH42" s="710">
        <v>101</v>
      </c>
      <c r="BI42" s="710">
        <v>94</v>
      </c>
      <c r="BJ42" s="710"/>
      <c r="BK42" s="710">
        <v>45</v>
      </c>
      <c r="BL42" s="710">
        <v>163</v>
      </c>
      <c r="BM42" s="710">
        <v>342</v>
      </c>
      <c r="BN42" s="710">
        <v>23</v>
      </c>
      <c r="BO42" s="710"/>
      <c r="BP42" s="710">
        <v>146</v>
      </c>
      <c r="BQ42" s="710">
        <v>200</v>
      </c>
      <c r="BR42" s="710">
        <v>36</v>
      </c>
      <c r="BS42" s="710"/>
      <c r="BT42" s="710"/>
      <c r="BU42" s="710"/>
      <c r="BV42" s="710"/>
      <c r="BW42" s="710">
        <v>245</v>
      </c>
      <c r="BX42" s="710"/>
      <c r="BY42" s="710"/>
      <c r="BZ42" s="710"/>
      <c r="CA42" s="717">
        <f t="shared" si="7"/>
        <v>1677</v>
      </c>
      <c r="CB42" s="717">
        <f t="shared" si="3"/>
        <v>1677</v>
      </c>
      <c r="CC42" s="717">
        <f t="shared" si="4"/>
        <v>0</v>
      </c>
      <c r="CD42" s="671"/>
      <c r="CE42" s="632"/>
      <c r="CF42" s="632"/>
      <c r="CG42" s="683"/>
      <c r="CH42" s="671">
        <v>2391.1930000000002</v>
      </c>
      <c r="CI42" s="683"/>
      <c r="CJ42" s="632" t="s">
        <v>500</v>
      </c>
      <c r="CK42" s="632"/>
      <c r="CL42" s="632"/>
      <c r="CM42" s="710"/>
      <c r="CN42" s="710"/>
      <c r="CO42" s="710">
        <v>6</v>
      </c>
      <c r="CP42" s="632"/>
      <c r="CQ42" s="632"/>
      <c r="CR42" s="710"/>
      <c r="CS42" s="632" t="s">
        <v>500</v>
      </c>
      <c r="CT42" s="632"/>
      <c r="CU42" s="710"/>
      <c r="CV42" s="710"/>
      <c r="CW42" s="710"/>
      <c r="CX42" s="710"/>
      <c r="CY42" s="710"/>
      <c r="CZ42" s="710"/>
      <c r="DA42" s="710"/>
      <c r="DB42" s="632" t="s">
        <v>500</v>
      </c>
      <c r="DC42" s="632"/>
      <c r="DD42" s="710"/>
      <c r="DE42" s="632" t="s">
        <v>500</v>
      </c>
      <c r="DF42" s="632"/>
      <c r="DG42" s="710"/>
      <c r="DH42" s="632"/>
      <c r="DI42" s="632"/>
      <c r="DJ42" s="710"/>
      <c r="DK42" s="632"/>
      <c r="DL42" s="632"/>
      <c r="DM42" s="710"/>
      <c r="DN42" s="632" t="s">
        <v>500</v>
      </c>
      <c r="DO42" s="632"/>
      <c r="DP42" s="710"/>
      <c r="DQ42" s="632" t="s">
        <v>500</v>
      </c>
      <c r="DR42" s="632" t="s">
        <v>935</v>
      </c>
      <c r="DS42" s="710"/>
      <c r="DT42" s="710" t="s">
        <v>500</v>
      </c>
      <c r="DU42" s="710" t="s">
        <v>935</v>
      </c>
      <c r="DV42" s="710"/>
      <c r="DW42" s="632"/>
      <c r="DX42" s="632"/>
      <c r="DY42" s="710"/>
      <c r="DZ42" s="632"/>
      <c r="EA42" s="632"/>
      <c r="EB42" s="710"/>
      <c r="EC42" s="632"/>
      <c r="ED42" s="632"/>
      <c r="EE42" s="710"/>
      <c r="EF42" s="710"/>
      <c r="EG42" s="710"/>
      <c r="EH42" s="710"/>
      <c r="EI42" s="632" t="s">
        <v>1977</v>
      </c>
      <c r="EJ42" s="632"/>
      <c r="EK42" s="710"/>
      <c r="EL42" s="688">
        <v>1</v>
      </c>
      <c r="EM42" s="632" t="s">
        <v>1978</v>
      </c>
      <c r="EN42" s="710">
        <v>454</v>
      </c>
      <c r="EO42" s="632" t="s">
        <v>504</v>
      </c>
      <c r="EP42" s="632"/>
      <c r="EQ42" s="632" t="s">
        <v>1979</v>
      </c>
      <c r="ER42" s="632"/>
      <c r="ES42" s="632"/>
      <c r="ET42" s="632" t="s">
        <v>1980</v>
      </c>
      <c r="EU42" s="632"/>
      <c r="EV42" s="1619" t="s">
        <v>1981</v>
      </c>
      <c r="EW42" s="1619"/>
      <c r="EX42" s="1619"/>
    </row>
    <row r="43" spans="3:154" ht="81.95" customHeight="1" x14ac:dyDescent="0.2">
      <c r="C43" s="1156" t="s">
        <v>5479</v>
      </c>
      <c r="D43" s="1156" t="s">
        <v>5277</v>
      </c>
      <c r="E43" s="738" t="s">
        <v>307</v>
      </c>
      <c r="F43" s="738" t="s">
        <v>392</v>
      </c>
      <c r="G43" s="738"/>
      <c r="H43" s="632" t="s">
        <v>959</v>
      </c>
      <c r="I43" s="632" t="s">
        <v>465</v>
      </c>
      <c r="J43" s="637">
        <v>2020</v>
      </c>
      <c r="K43" s="377">
        <v>43831</v>
      </c>
      <c r="L43" s="377">
        <v>44196</v>
      </c>
      <c r="M43" s="1369">
        <f t="shared" si="5"/>
        <v>365</v>
      </c>
      <c r="N43" s="632" t="s">
        <v>960</v>
      </c>
      <c r="O43" s="632" t="s">
        <v>961</v>
      </c>
      <c r="P43" s="653" t="s">
        <v>962</v>
      </c>
      <c r="Q43" s="632" t="s">
        <v>465</v>
      </c>
      <c r="R43" s="632"/>
      <c r="S43" s="632" t="s">
        <v>465</v>
      </c>
      <c r="T43" s="632"/>
      <c r="U43" s="632" t="s">
        <v>465</v>
      </c>
      <c r="V43" s="632"/>
      <c r="W43" s="632" t="s">
        <v>963</v>
      </c>
      <c r="X43" s="653" t="s">
        <v>964</v>
      </c>
      <c r="Y43" s="653"/>
      <c r="Z43" s="653"/>
      <c r="AA43" s="632" t="s">
        <v>965</v>
      </c>
      <c r="AB43" s="632" t="s">
        <v>965</v>
      </c>
      <c r="AC43" s="632" t="s">
        <v>519</v>
      </c>
      <c r="AD43" s="632" t="s">
        <v>966</v>
      </c>
      <c r="AE43" s="702">
        <v>76.2</v>
      </c>
      <c r="AF43" s="671">
        <f>AH43+AK43+AN43+AP43+AR43</f>
        <v>76.2</v>
      </c>
      <c r="AG43" s="671">
        <f t="shared" si="2"/>
        <v>0</v>
      </c>
      <c r="AH43" s="702">
        <v>0.8</v>
      </c>
      <c r="AI43" s="683">
        <f>AH43/AE43</f>
        <v>1.0498687664041995E-2</v>
      </c>
      <c r="AJ43" s="683">
        <f>AH43/48708.5</f>
        <v>1.6424238069330817E-5</v>
      </c>
      <c r="AK43" s="702">
        <v>1.5</v>
      </c>
      <c r="AL43" s="683">
        <f>AK43/AE43</f>
        <v>1.968503937007874E-2</v>
      </c>
      <c r="AM43" s="683"/>
      <c r="AN43" s="702">
        <v>0.5</v>
      </c>
      <c r="AO43" s="683">
        <f>AN43/AE43</f>
        <v>6.5616797900262466E-3</v>
      </c>
      <c r="AP43" s="702"/>
      <c r="AQ43" s="683"/>
      <c r="AR43" s="702">
        <v>73.400000000000006</v>
      </c>
      <c r="AS43" s="683">
        <f>AR43/AE43</f>
        <v>0.96325459317585305</v>
      </c>
      <c r="AT43" s="632" t="s">
        <v>967</v>
      </c>
      <c r="AU43" s="632" t="s">
        <v>968</v>
      </c>
      <c r="AV43" s="632" t="s">
        <v>965</v>
      </c>
      <c r="AW43" s="632" t="s">
        <v>504</v>
      </c>
      <c r="AX43" s="632"/>
      <c r="AY43" s="632"/>
      <c r="AZ43" s="683"/>
      <c r="BA43" s="683"/>
      <c r="BB43" s="683"/>
      <c r="BC43" s="710">
        <v>27</v>
      </c>
      <c r="BD43" s="710">
        <v>27</v>
      </c>
      <c r="BE43" s="706">
        <v>27</v>
      </c>
      <c r="BF43" s="710"/>
      <c r="BG43" s="710"/>
      <c r="BH43" s="710"/>
      <c r="BI43" s="710"/>
      <c r="BJ43" s="710"/>
      <c r="BK43" s="710"/>
      <c r="BL43" s="710"/>
      <c r="BM43" s="710"/>
      <c r="BN43" s="710"/>
      <c r="BO43" s="710">
        <v>25</v>
      </c>
      <c r="BP43" s="710"/>
      <c r="BQ43" s="710">
        <v>2</v>
      </c>
      <c r="BR43" s="710"/>
      <c r="BS43" s="710"/>
      <c r="BT43" s="710"/>
      <c r="BU43" s="710"/>
      <c r="BV43" s="710"/>
      <c r="BW43" s="710"/>
      <c r="BX43" s="710"/>
      <c r="BY43" s="710"/>
      <c r="BZ43" s="710"/>
      <c r="CA43" s="717">
        <f t="shared" si="7"/>
        <v>27</v>
      </c>
      <c r="CB43" s="717">
        <f t="shared" si="3"/>
        <v>27</v>
      </c>
      <c r="CC43" s="717">
        <f t="shared" si="4"/>
        <v>0</v>
      </c>
      <c r="CD43" s="671">
        <v>10.1</v>
      </c>
      <c r="CE43" s="632" t="s">
        <v>465</v>
      </c>
      <c r="CF43" s="632"/>
      <c r="CG43" s="683">
        <f>CD43/CH43</f>
        <v>1.1631254678413082E-2</v>
      </c>
      <c r="CH43" s="671">
        <v>868.35</v>
      </c>
      <c r="CI43" s="726" t="s">
        <v>969</v>
      </c>
      <c r="CJ43" s="632" t="s">
        <v>504</v>
      </c>
      <c r="CK43" s="632"/>
      <c r="CL43" s="632"/>
      <c r="CM43" s="710"/>
      <c r="CN43" s="710"/>
      <c r="CO43" s="710">
        <v>1</v>
      </c>
      <c r="CP43" s="632" t="s">
        <v>500</v>
      </c>
      <c r="CQ43" s="632" t="s">
        <v>970</v>
      </c>
      <c r="CR43" s="710">
        <v>100</v>
      </c>
      <c r="CS43" s="632" t="s">
        <v>500</v>
      </c>
      <c r="CT43" s="632" t="s">
        <v>970</v>
      </c>
      <c r="CU43" s="710">
        <v>100</v>
      </c>
      <c r="CV43" s="710" t="s">
        <v>504</v>
      </c>
      <c r="CW43" s="710"/>
      <c r="CX43" s="710"/>
      <c r="CY43" s="710" t="s">
        <v>504</v>
      </c>
      <c r="CZ43" s="710"/>
      <c r="DA43" s="710"/>
      <c r="DB43" s="632" t="s">
        <v>504</v>
      </c>
      <c r="DC43" s="632"/>
      <c r="DD43" s="710"/>
      <c r="DE43" s="632" t="s">
        <v>504</v>
      </c>
      <c r="DF43" s="632"/>
      <c r="DG43" s="710"/>
      <c r="DH43" s="632" t="s">
        <v>504</v>
      </c>
      <c r="DI43" s="632"/>
      <c r="DJ43" s="710"/>
      <c r="DK43" s="632" t="s">
        <v>504</v>
      </c>
      <c r="DL43" s="632"/>
      <c r="DM43" s="710"/>
      <c r="DN43" s="632" t="s">
        <v>504</v>
      </c>
      <c r="DO43" s="632"/>
      <c r="DP43" s="710"/>
      <c r="DQ43" s="632" t="s">
        <v>504</v>
      </c>
      <c r="DR43" s="632"/>
      <c r="DS43" s="710"/>
      <c r="DT43" s="710" t="s">
        <v>504</v>
      </c>
      <c r="DU43" s="710"/>
      <c r="DV43" s="710"/>
      <c r="DW43" s="632" t="s">
        <v>504</v>
      </c>
      <c r="DX43" s="632"/>
      <c r="DY43" s="710"/>
      <c r="DZ43" s="632" t="s">
        <v>504</v>
      </c>
      <c r="EA43" s="632"/>
      <c r="EB43" s="710"/>
      <c r="EC43" s="632" t="s">
        <v>504</v>
      </c>
      <c r="ED43" s="632"/>
      <c r="EE43" s="710"/>
      <c r="EF43" s="710" t="s">
        <v>500</v>
      </c>
      <c r="EG43" s="710" t="s">
        <v>971</v>
      </c>
      <c r="EH43" s="710"/>
      <c r="EI43" s="632" t="s">
        <v>504</v>
      </c>
      <c r="EJ43" s="632"/>
      <c r="EK43" s="710"/>
      <c r="EL43" s="632"/>
      <c r="EM43" s="632"/>
      <c r="EN43" s="670">
        <v>1</v>
      </c>
      <c r="EO43" s="632" t="s">
        <v>504</v>
      </c>
      <c r="EP43" s="632"/>
      <c r="EQ43" s="632"/>
      <c r="ER43" s="632" t="s">
        <v>465</v>
      </c>
      <c r="ES43" s="632" t="s">
        <v>465</v>
      </c>
      <c r="ET43" s="632" t="s">
        <v>972</v>
      </c>
      <c r="EU43" s="632" t="s">
        <v>465</v>
      </c>
      <c r="EV43" s="632" t="s">
        <v>465</v>
      </c>
      <c r="EW43" s="632" t="s">
        <v>465</v>
      </c>
      <c r="EX43" s="632" t="s">
        <v>465</v>
      </c>
    </row>
    <row r="44" spans="3:154" ht="87.95" customHeight="1" x14ac:dyDescent="0.2">
      <c r="C44" s="1156" t="s">
        <v>5480</v>
      </c>
      <c r="D44" s="1156" t="s">
        <v>5277</v>
      </c>
      <c r="E44" s="738" t="s">
        <v>308</v>
      </c>
      <c r="F44" s="738" t="s">
        <v>393</v>
      </c>
      <c r="G44" s="738"/>
      <c r="H44" s="632" t="s">
        <v>918</v>
      </c>
      <c r="I44" s="632" t="s">
        <v>919</v>
      </c>
      <c r="J44" s="637">
        <v>2011</v>
      </c>
      <c r="K44" s="377">
        <v>43831</v>
      </c>
      <c r="L44" s="377">
        <v>44196</v>
      </c>
      <c r="M44" s="1369">
        <f t="shared" si="5"/>
        <v>365</v>
      </c>
      <c r="N44" s="632" t="s">
        <v>920</v>
      </c>
      <c r="O44" s="738" t="s">
        <v>921</v>
      </c>
      <c r="P44" s="653" t="s">
        <v>922</v>
      </c>
      <c r="Q44" s="632" t="s">
        <v>504</v>
      </c>
      <c r="R44" s="632"/>
      <c r="S44" s="632" t="s">
        <v>504</v>
      </c>
      <c r="T44" s="632"/>
      <c r="U44" s="632" t="s">
        <v>504</v>
      </c>
      <c r="V44" s="632"/>
      <c r="W44" s="632" t="s">
        <v>504</v>
      </c>
      <c r="X44" s="632"/>
      <c r="Y44" s="632"/>
      <c r="Z44" s="632"/>
      <c r="AA44" s="632" t="s">
        <v>923</v>
      </c>
      <c r="AB44" s="632" t="s">
        <v>923</v>
      </c>
      <c r="AC44" s="632" t="s">
        <v>924</v>
      </c>
      <c r="AD44" s="632" t="s">
        <v>925</v>
      </c>
      <c r="AE44" s="702">
        <v>227.3</v>
      </c>
      <c r="AF44" s="671">
        <f t="shared" si="1"/>
        <v>227.3</v>
      </c>
      <c r="AG44" s="671">
        <f t="shared" si="2"/>
        <v>0</v>
      </c>
      <c r="AH44" s="702">
        <v>181.6</v>
      </c>
      <c r="AI44" s="683">
        <v>0.79890000000000005</v>
      </c>
      <c r="AJ44" s="683">
        <v>4.8599999999999997E-2</v>
      </c>
      <c r="AK44" s="702">
        <v>45.7</v>
      </c>
      <c r="AL44" s="683">
        <v>0.2011</v>
      </c>
      <c r="AM44" s="683"/>
      <c r="AN44" s="702"/>
      <c r="AO44" s="683"/>
      <c r="AP44" s="702"/>
      <c r="AQ44" s="683"/>
      <c r="AR44" s="702"/>
      <c r="AS44" s="683"/>
      <c r="AT44" s="632"/>
      <c r="AU44" s="632"/>
      <c r="AV44" s="632"/>
      <c r="AW44" s="632" t="s">
        <v>504</v>
      </c>
      <c r="AX44" s="632"/>
      <c r="AY44" s="632"/>
      <c r="AZ44" s="683"/>
      <c r="BA44" s="1384">
        <v>418.20376276000002</v>
      </c>
      <c r="BB44" s="683">
        <v>0.10050000000000001</v>
      </c>
      <c r="BC44" s="710">
        <v>21</v>
      </c>
      <c r="BD44" s="710">
        <v>21</v>
      </c>
      <c r="BE44" s="706">
        <v>21</v>
      </c>
      <c r="BF44" s="710">
        <v>54</v>
      </c>
      <c r="BG44" s="710">
        <v>80</v>
      </c>
      <c r="BH44" s="710">
        <v>66</v>
      </c>
      <c r="BI44" s="710"/>
      <c r="BJ44" s="710">
        <v>3</v>
      </c>
      <c r="BK44" s="710"/>
      <c r="BL44" s="710" t="s">
        <v>701</v>
      </c>
      <c r="BM44" s="710" t="s">
        <v>701</v>
      </c>
      <c r="BN44" s="710">
        <v>2</v>
      </c>
      <c r="BO44" s="710" t="s">
        <v>701</v>
      </c>
      <c r="BP44" s="710">
        <v>27</v>
      </c>
      <c r="BQ44" s="710">
        <v>22</v>
      </c>
      <c r="BR44" s="710" t="s">
        <v>701</v>
      </c>
      <c r="BS44" s="710">
        <v>18</v>
      </c>
      <c r="BT44" s="710" t="s">
        <v>701</v>
      </c>
      <c r="BU44" s="710" t="s">
        <v>701</v>
      </c>
      <c r="BV44" s="710" t="s">
        <v>701</v>
      </c>
      <c r="BW44" s="710" t="s">
        <v>701</v>
      </c>
      <c r="BX44" s="710" t="s">
        <v>701</v>
      </c>
      <c r="BY44" s="710" t="s">
        <v>701</v>
      </c>
      <c r="BZ44" s="710" t="s">
        <v>465</v>
      </c>
      <c r="CA44" s="717">
        <f t="shared" si="7"/>
        <v>272</v>
      </c>
      <c r="CB44" s="717">
        <f t="shared" si="3"/>
        <v>272</v>
      </c>
      <c r="CC44" s="717">
        <f t="shared" si="4"/>
        <v>0</v>
      </c>
      <c r="CD44" s="671">
        <v>523.15300000000002</v>
      </c>
      <c r="CE44" s="632" t="s">
        <v>927</v>
      </c>
      <c r="CF44" s="632"/>
      <c r="CG44" s="683">
        <f>CD44/CH44</f>
        <v>0.51668819727568671</v>
      </c>
      <c r="CH44" s="671">
        <v>1012.5119999999999</v>
      </c>
      <c r="CI44" s="733" t="s">
        <v>928</v>
      </c>
      <c r="CJ44" s="632" t="s">
        <v>504</v>
      </c>
      <c r="CK44" s="632"/>
      <c r="CL44" s="632"/>
      <c r="CM44" s="710"/>
      <c r="CN44" s="710"/>
      <c r="CO44" s="710" t="s">
        <v>929</v>
      </c>
      <c r="CP44" s="632" t="s">
        <v>500</v>
      </c>
      <c r="CQ44" s="632" t="s">
        <v>930</v>
      </c>
      <c r="CR44" s="710">
        <v>3787</v>
      </c>
      <c r="CS44" s="632" t="s">
        <v>500</v>
      </c>
      <c r="CT44" s="632" t="s">
        <v>931</v>
      </c>
      <c r="CU44" s="710">
        <v>1054</v>
      </c>
      <c r="CV44" s="710"/>
      <c r="CW44" s="710"/>
      <c r="CX44" s="710"/>
      <c r="CY44" s="710"/>
      <c r="CZ44" s="710"/>
      <c r="DA44" s="710"/>
      <c r="DB44" s="632"/>
      <c r="DC44" s="632"/>
      <c r="DD44" s="710"/>
      <c r="DE44" s="632" t="s">
        <v>500</v>
      </c>
      <c r="DF44" s="632" t="s">
        <v>932</v>
      </c>
      <c r="DG44" s="710">
        <v>414</v>
      </c>
      <c r="DH44" s="632" t="s">
        <v>500</v>
      </c>
      <c r="DI44" s="632" t="s">
        <v>933</v>
      </c>
      <c r="DJ44" s="710">
        <v>35</v>
      </c>
      <c r="DK44" s="632" t="s">
        <v>500</v>
      </c>
      <c r="DL44" s="632" t="s">
        <v>934</v>
      </c>
      <c r="DM44" s="710">
        <v>718</v>
      </c>
      <c r="DN44" s="632" t="s">
        <v>500</v>
      </c>
      <c r="DO44" s="632" t="s">
        <v>935</v>
      </c>
      <c r="DP44" s="710">
        <v>1463</v>
      </c>
      <c r="DQ44" s="632" t="s">
        <v>500</v>
      </c>
      <c r="DR44" s="632" t="s">
        <v>936</v>
      </c>
      <c r="DS44" s="710">
        <v>300</v>
      </c>
      <c r="DT44" s="710"/>
      <c r="DU44" s="710"/>
      <c r="DV44" s="710"/>
      <c r="DW44" s="632"/>
      <c r="DX44" s="632"/>
      <c r="DY44" s="710"/>
      <c r="DZ44" s="632"/>
      <c r="EA44" s="632"/>
      <c r="EB44" s="710"/>
      <c r="EC44" s="632" t="s">
        <v>500</v>
      </c>
      <c r="ED44" s="632" t="s">
        <v>935</v>
      </c>
      <c r="EE44" s="710">
        <v>37</v>
      </c>
      <c r="EF44" s="710"/>
      <c r="EG44" s="710"/>
      <c r="EH44" s="710"/>
      <c r="EI44" s="632"/>
      <c r="EJ44" s="632"/>
      <c r="EK44" s="710"/>
      <c r="EL44" s="632">
        <v>21</v>
      </c>
      <c r="EM44" s="632" t="s">
        <v>937</v>
      </c>
      <c r="EN44" s="710">
        <v>21</v>
      </c>
      <c r="EO44" s="632" t="s">
        <v>938</v>
      </c>
      <c r="EP44" s="632" t="s">
        <v>939</v>
      </c>
      <c r="EQ44" s="632"/>
      <c r="ER44" s="632"/>
      <c r="ES44" s="632"/>
      <c r="ET44" s="632"/>
      <c r="EU44" s="632"/>
      <c r="EV44" s="632" t="s">
        <v>940</v>
      </c>
      <c r="EW44" s="632"/>
      <c r="EX44" s="632"/>
    </row>
    <row r="45" spans="3:154" ht="74.099999999999994" customHeight="1" x14ac:dyDescent="0.2">
      <c r="C45" s="1156" t="s">
        <v>5479</v>
      </c>
      <c r="D45" s="1156" t="s">
        <v>5277</v>
      </c>
      <c r="E45" s="738" t="s">
        <v>308</v>
      </c>
      <c r="F45" s="738" t="s">
        <v>393</v>
      </c>
      <c r="G45" s="738"/>
      <c r="H45" s="632" t="s">
        <v>918</v>
      </c>
      <c r="I45" s="632" t="s">
        <v>867</v>
      </c>
      <c r="J45" s="637">
        <v>2017</v>
      </c>
      <c r="K45" s="377">
        <v>43831</v>
      </c>
      <c r="L45" s="377">
        <v>44196</v>
      </c>
      <c r="M45" s="1369">
        <f t="shared" si="5"/>
        <v>365</v>
      </c>
      <c r="N45" s="738" t="s">
        <v>941</v>
      </c>
      <c r="O45" s="738" t="s">
        <v>942</v>
      </c>
      <c r="P45" s="653" t="s">
        <v>943</v>
      </c>
      <c r="Q45" s="632"/>
      <c r="R45" s="632"/>
      <c r="S45" s="632"/>
      <c r="T45" s="632"/>
      <c r="U45" s="632"/>
      <c r="V45" s="632"/>
      <c r="W45" s="632"/>
      <c r="X45" s="632"/>
      <c r="Y45" s="632"/>
      <c r="Z45" s="632"/>
      <c r="AA45" s="632" t="s">
        <v>923</v>
      </c>
      <c r="AB45" s="632" t="s">
        <v>923</v>
      </c>
      <c r="AC45" s="632" t="s">
        <v>519</v>
      </c>
      <c r="AD45" s="632" t="s">
        <v>944</v>
      </c>
      <c r="AE45" s="702">
        <v>409.75200000000001</v>
      </c>
      <c r="AF45" s="671">
        <f>AH45+AK45+AN45+AP45+AR45</f>
        <v>409.75240000000002</v>
      </c>
      <c r="AG45" s="671">
        <f t="shared" si="2"/>
        <v>4.0000000001327862E-4</v>
      </c>
      <c r="AH45" s="702">
        <v>15.5174</v>
      </c>
      <c r="AI45" s="683">
        <f>AH45/AE45</f>
        <v>3.7870223940334638E-2</v>
      </c>
      <c r="AJ45" s="683">
        <v>4.1544734819987088E-3</v>
      </c>
      <c r="AK45" s="702">
        <v>95.197000000000003</v>
      </c>
      <c r="AL45" s="683">
        <f t="shared" ref="AL45:AL50" si="8">AK45/AE45</f>
        <v>0.2323283351881138</v>
      </c>
      <c r="AM45" s="683"/>
      <c r="AN45" s="702">
        <v>13.303000000000001</v>
      </c>
      <c r="AO45" s="683">
        <f>AN45/AE45</f>
        <v>3.246597942169898E-2</v>
      </c>
      <c r="AP45" s="702"/>
      <c r="AQ45" s="683"/>
      <c r="AR45" s="702">
        <v>285.73500000000001</v>
      </c>
      <c r="AS45" s="683">
        <f>AR45/AE45</f>
        <v>0.69733643765009079</v>
      </c>
      <c r="AT45" s="632" t="s">
        <v>945</v>
      </c>
      <c r="AU45" s="632" t="s">
        <v>946</v>
      </c>
      <c r="AV45" s="632" t="s">
        <v>923</v>
      </c>
      <c r="AW45" s="632"/>
      <c r="AX45" s="632"/>
      <c r="AY45" s="632"/>
      <c r="AZ45" s="683"/>
      <c r="BA45" s="706">
        <v>43.258000000000003</v>
      </c>
      <c r="BB45" s="683">
        <v>1.0404467730107272E-2</v>
      </c>
      <c r="BC45" s="710">
        <v>199</v>
      </c>
      <c r="BD45" s="710">
        <v>73</v>
      </c>
      <c r="BE45" s="706">
        <v>67</v>
      </c>
      <c r="BF45" s="710"/>
      <c r="BG45" s="710"/>
      <c r="BH45" s="710"/>
      <c r="BI45" s="710"/>
      <c r="BJ45" s="710"/>
      <c r="BK45" s="710"/>
      <c r="BL45" s="710"/>
      <c r="BM45" s="710"/>
      <c r="BN45" s="710"/>
      <c r="BO45" s="710">
        <v>67</v>
      </c>
      <c r="BP45" s="710"/>
      <c r="BQ45" s="710"/>
      <c r="BR45" s="710"/>
      <c r="BS45" s="710"/>
      <c r="BT45" s="710"/>
      <c r="BU45" s="710"/>
      <c r="BV45" s="710"/>
      <c r="BW45" s="710"/>
      <c r="BX45" s="710"/>
      <c r="BY45" s="710"/>
      <c r="BZ45" s="710"/>
      <c r="CA45" s="717">
        <f t="shared" si="7"/>
        <v>67</v>
      </c>
      <c r="CB45" s="717">
        <f t="shared" si="3"/>
        <v>67</v>
      </c>
      <c r="CC45" s="717">
        <f t="shared" si="4"/>
        <v>0</v>
      </c>
      <c r="CD45" s="671">
        <v>98.07</v>
      </c>
      <c r="CE45" s="632" t="s">
        <v>947</v>
      </c>
      <c r="CF45" s="632"/>
      <c r="CG45" s="683">
        <f>CD45/CH45</f>
        <v>9.6858111311273351E-2</v>
      </c>
      <c r="CH45" s="671">
        <v>1012.5119999999999</v>
      </c>
      <c r="CI45" s="733" t="s">
        <v>928</v>
      </c>
      <c r="CJ45" s="632" t="s">
        <v>504</v>
      </c>
      <c r="CK45" s="632"/>
      <c r="CL45" s="632"/>
      <c r="CM45" s="710"/>
      <c r="CN45" s="710"/>
      <c r="CO45" s="710"/>
      <c r="CP45" s="632" t="s">
        <v>500</v>
      </c>
      <c r="CQ45" s="632" t="s">
        <v>948</v>
      </c>
      <c r="CR45" s="710">
        <v>1779</v>
      </c>
      <c r="CS45" s="632" t="s">
        <v>500</v>
      </c>
      <c r="CT45" s="632" t="s">
        <v>949</v>
      </c>
      <c r="CU45" s="710">
        <v>3302</v>
      </c>
      <c r="CV45" s="710" t="s">
        <v>504</v>
      </c>
      <c r="CW45" s="710"/>
      <c r="CX45" s="710"/>
      <c r="CY45" s="710" t="s">
        <v>504</v>
      </c>
      <c r="CZ45" s="710"/>
      <c r="DA45" s="710"/>
      <c r="DB45" s="632" t="s">
        <v>500</v>
      </c>
      <c r="DC45" s="632" t="s">
        <v>950</v>
      </c>
      <c r="DD45" s="710">
        <v>1124</v>
      </c>
      <c r="DE45" s="632" t="s">
        <v>500</v>
      </c>
      <c r="DF45" s="653" t="s">
        <v>951</v>
      </c>
      <c r="DG45" s="710" t="s">
        <v>952</v>
      </c>
      <c r="DH45" s="632" t="s">
        <v>504</v>
      </c>
      <c r="DI45" s="632"/>
      <c r="DJ45" s="710"/>
      <c r="DK45" s="632" t="s">
        <v>500</v>
      </c>
      <c r="DL45" s="632" t="s">
        <v>953</v>
      </c>
      <c r="DM45" s="710">
        <f>704+722</f>
        <v>1426</v>
      </c>
      <c r="DN45" s="632" t="s">
        <v>500</v>
      </c>
      <c r="DO45" s="632" t="s">
        <v>954</v>
      </c>
      <c r="DP45" s="710" t="s">
        <v>955</v>
      </c>
      <c r="DQ45" s="632" t="s">
        <v>500</v>
      </c>
      <c r="DR45" s="632" t="s">
        <v>956</v>
      </c>
      <c r="DS45" s="710">
        <v>3017</v>
      </c>
      <c r="DT45" s="710" t="s">
        <v>504</v>
      </c>
      <c r="DU45" s="710"/>
      <c r="DV45" s="710"/>
      <c r="DW45" s="632" t="s">
        <v>504</v>
      </c>
      <c r="DX45" s="632"/>
      <c r="DY45" s="710"/>
      <c r="DZ45" s="632" t="s">
        <v>504</v>
      </c>
      <c r="EA45" s="632"/>
      <c r="EB45" s="710"/>
      <c r="EC45" s="632" t="s">
        <v>500</v>
      </c>
      <c r="ED45" s="632" t="s">
        <v>957</v>
      </c>
      <c r="EE45" s="710">
        <v>46</v>
      </c>
      <c r="EF45" s="710" t="s">
        <v>504</v>
      </c>
      <c r="EG45" s="710"/>
      <c r="EH45" s="710"/>
      <c r="EI45" s="632" t="s">
        <v>504</v>
      </c>
      <c r="EJ45" s="632"/>
      <c r="EK45" s="710"/>
      <c r="EL45" s="688">
        <v>1</v>
      </c>
      <c r="EM45" s="632"/>
      <c r="EN45" s="670">
        <v>11</v>
      </c>
      <c r="EO45" s="632" t="s">
        <v>504</v>
      </c>
      <c r="EP45" s="632"/>
      <c r="EQ45" s="632" t="s">
        <v>504</v>
      </c>
      <c r="ER45" s="632"/>
      <c r="ES45" s="632"/>
      <c r="ET45" s="632"/>
      <c r="EU45" s="632"/>
      <c r="EV45" s="632" t="s">
        <v>504</v>
      </c>
      <c r="EW45" s="632"/>
      <c r="EX45" s="632"/>
    </row>
    <row r="46" spans="3:154" ht="74.099999999999994" customHeight="1" x14ac:dyDescent="0.2">
      <c r="C46" s="1156" t="s">
        <v>693</v>
      </c>
      <c r="D46" s="1156" t="s">
        <v>5278</v>
      </c>
      <c r="E46" s="1104" t="s">
        <v>308</v>
      </c>
      <c r="F46" s="1104" t="s">
        <v>393</v>
      </c>
      <c r="G46" s="1109" t="s">
        <v>2727</v>
      </c>
      <c r="H46" s="1109" t="s">
        <v>2728</v>
      </c>
      <c r="I46" s="1109" t="s">
        <v>1035</v>
      </c>
      <c r="J46" s="1110">
        <v>2020</v>
      </c>
      <c r="K46" s="1105">
        <v>43853</v>
      </c>
      <c r="L46" s="1105">
        <v>44196</v>
      </c>
      <c r="M46" s="1369">
        <f t="shared" si="5"/>
        <v>343</v>
      </c>
      <c r="N46" s="1105"/>
      <c r="O46" s="1105"/>
      <c r="P46" s="1105"/>
      <c r="Q46" s="1105"/>
      <c r="R46" s="1105"/>
      <c r="S46" s="1105"/>
      <c r="T46" s="1105"/>
      <c r="U46" s="1105"/>
      <c r="V46" s="1105"/>
      <c r="W46" s="1105"/>
      <c r="X46" s="1105"/>
      <c r="Y46" s="1109" t="s">
        <v>5601</v>
      </c>
      <c r="Z46" s="1109" t="s">
        <v>2729</v>
      </c>
      <c r="AA46" s="1109" t="s">
        <v>2730</v>
      </c>
      <c r="AB46" s="1109" t="s">
        <v>2730</v>
      </c>
      <c r="AC46" s="1109" t="s">
        <v>2731</v>
      </c>
      <c r="AD46" s="1109" t="s">
        <v>2732</v>
      </c>
      <c r="AE46" s="1112">
        <v>0.502</v>
      </c>
      <c r="AF46" s="1113">
        <f t="shared" si="1"/>
        <v>0.502</v>
      </c>
      <c r="AG46" s="1113">
        <f t="shared" si="2"/>
        <v>0</v>
      </c>
      <c r="AH46" s="1112"/>
      <c r="AI46" s="1113"/>
      <c r="AJ46" s="1113"/>
      <c r="AK46" s="1112">
        <v>0.48499999999999999</v>
      </c>
      <c r="AL46" s="1114">
        <f t="shared" si="8"/>
        <v>0.9661354581673306</v>
      </c>
      <c r="AM46" s="1114">
        <v>5.9999999999999995E-4</v>
      </c>
      <c r="AN46" s="1112">
        <v>1.7000000000000001E-2</v>
      </c>
      <c r="AO46" s="1114">
        <v>3.39E-2</v>
      </c>
      <c r="AP46" s="1112"/>
      <c r="AQ46" s="1114"/>
      <c r="AR46" s="1112"/>
      <c r="AS46" s="1114"/>
      <c r="AT46" s="1114"/>
      <c r="AU46" s="1114"/>
      <c r="AV46" s="1114"/>
      <c r="AW46" s="1114" t="s">
        <v>504</v>
      </c>
      <c r="AX46" s="1114"/>
      <c r="AY46" s="1114"/>
      <c r="AZ46" s="1114"/>
      <c r="BA46" s="1113">
        <v>1</v>
      </c>
      <c r="BB46" s="1114">
        <v>1.0499999999999999E-3</v>
      </c>
      <c r="BC46" s="1115">
        <v>6</v>
      </c>
      <c r="BD46" s="1115">
        <v>3</v>
      </c>
      <c r="BE46" s="1116">
        <v>3</v>
      </c>
      <c r="BF46" s="1115"/>
      <c r="BG46" s="1115"/>
      <c r="BH46" s="1115"/>
      <c r="BI46" s="1115"/>
      <c r="BJ46" s="1115"/>
      <c r="BK46" s="1115"/>
      <c r="BL46" s="1115"/>
      <c r="BM46" s="1115"/>
      <c r="BN46" s="1115"/>
      <c r="BO46" s="1115"/>
      <c r="BP46" s="1115">
        <v>2</v>
      </c>
      <c r="BQ46" s="1115">
        <v>1</v>
      </c>
      <c r="BR46" s="1115"/>
      <c r="BS46" s="1115"/>
      <c r="BT46" s="1115"/>
      <c r="BU46" s="1115"/>
      <c r="BV46" s="1115"/>
      <c r="BW46" s="1115"/>
      <c r="BX46" s="1115"/>
      <c r="BY46" s="1115"/>
      <c r="BZ46" s="1115"/>
      <c r="CA46" s="1117">
        <f t="shared" si="7"/>
        <v>3</v>
      </c>
      <c r="CB46" s="1117">
        <f t="shared" si="3"/>
        <v>3</v>
      </c>
      <c r="CC46" s="1117">
        <f t="shared" si="4"/>
        <v>0</v>
      </c>
      <c r="CD46" s="1113">
        <v>0.98099999999999998</v>
      </c>
      <c r="CE46" s="1109" t="s">
        <v>2733</v>
      </c>
      <c r="CF46" s="1109"/>
      <c r="CG46" s="1109">
        <v>3.3</v>
      </c>
      <c r="CH46" s="1113">
        <v>29.158000000000001</v>
      </c>
      <c r="CI46" s="1202" t="s">
        <v>2734</v>
      </c>
      <c r="CJ46" s="1109" t="s">
        <v>504</v>
      </c>
      <c r="CK46" s="1109"/>
      <c r="CL46" s="1109"/>
      <c r="CM46" s="1109"/>
      <c r="CN46" s="1109"/>
      <c r="CO46" s="1109"/>
      <c r="CP46" s="1109" t="s">
        <v>504</v>
      </c>
      <c r="CQ46" s="1109"/>
      <c r="CR46" s="1115"/>
      <c r="CS46" s="1109" t="s">
        <v>500</v>
      </c>
      <c r="CT46" s="1109" t="s">
        <v>2735</v>
      </c>
      <c r="CU46" s="1115">
        <v>19</v>
      </c>
      <c r="CV46" s="1115" t="s">
        <v>504</v>
      </c>
      <c r="CW46" s="1115"/>
      <c r="CX46" s="1115"/>
      <c r="CY46" s="1115" t="s">
        <v>504</v>
      </c>
      <c r="CZ46" s="1115"/>
      <c r="DA46" s="1115"/>
      <c r="DB46" s="1109" t="s">
        <v>504</v>
      </c>
      <c r="DC46" s="1109"/>
      <c r="DD46" s="1115"/>
      <c r="DE46" s="1109" t="s">
        <v>504</v>
      </c>
      <c r="DF46" s="1109"/>
      <c r="DG46" s="1115"/>
      <c r="DH46" s="1109" t="s">
        <v>504</v>
      </c>
      <c r="DI46" s="1109"/>
      <c r="DJ46" s="1115"/>
      <c r="DK46" s="1109" t="s">
        <v>504</v>
      </c>
      <c r="DL46" s="1109"/>
      <c r="DM46" s="1115"/>
      <c r="DN46" s="1109" t="s">
        <v>504</v>
      </c>
      <c r="DO46" s="1109"/>
      <c r="DP46" s="1115"/>
      <c r="DQ46" s="1109" t="s">
        <v>500</v>
      </c>
      <c r="DR46" s="1109" t="s">
        <v>2735</v>
      </c>
      <c r="DS46" s="1115">
        <v>19</v>
      </c>
      <c r="DT46" s="1115" t="s">
        <v>504</v>
      </c>
      <c r="DU46" s="1115"/>
      <c r="DV46" s="1115"/>
      <c r="DW46" s="1109" t="s">
        <v>504</v>
      </c>
      <c r="DX46" s="1109"/>
      <c r="DY46" s="1115"/>
      <c r="DZ46" s="1109" t="s">
        <v>504</v>
      </c>
      <c r="EA46" s="1109"/>
      <c r="EB46" s="1115"/>
      <c r="EC46" s="1109" t="s">
        <v>504</v>
      </c>
      <c r="ED46" s="1109"/>
      <c r="EE46" s="1115"/>
      <c r="EF46" s="1109" t="s">
        <v>500</v>
      </c>
      <c r="EG46" s="1109" t="s">
        <v>480</v>
      </c>
      <c r="EH46" s="1115">
        <v>6</v>
      </c>
      <c r="EI46" s="1109" t="s">
        <v>504</v>
      </c>
      <c r="EJ46" s="1109"/>
      <c r="EK46" s="1115"/>
      <c r="EL46" s="1115"/>
      <c r="EM46" s="1115"/>
      <c r="EN46" s="1115"/>
      <c r="EO46" s="1109" t="s">
        <v>504</v>
      </c>
      <c r="EP46" s="1109"/>
      <c r="EQ46" s="1109" t="s">
        <v>2736</v>
      </c>
      <c r="ER46" s="1109"/>
      <c r="ES46" s="1109"/>
      <c r="ET46" s="1109" t="s">
        <v>2737</v>
      </c>
      <c r="EU46" s="1109"/>
      <c r="EV46" s="1109" t="s">
        <v>2738</v>
      </c>
      <c r="EW46" s="1109">
        <v>1</v>
      </c>
      <c r="EX46" s="1109">
        <v>6</v>
      </c>
    </row>
    <row r="47" spans="3:154" ht="74.099999999999994" customHeight="1" x14ac:dyDescent="0.2">
      <c r="C47" s="1156" t="s">
        <v>693</v>
      </c>
      <c r="D47" s="1156" t="s">
        <v>5278</v>
      </c>
      <c r="E47" s="1104" t="s">
        <v>308</v>
      </c>
      <c r="F47" s="1104" t="s">
        <v>393</v>
      </c>
      <c r="G47" s="1104" t="s">
        <v>2739</v>
      </c>
      <c r="H47" s="1104" t="s">
        <v>2740</v>
      </c>
      <c r="I47" s="1104" t="s">
        <v>2740</v>
      </c>
      <c r="J47" s="1104">
        <v>2020</v>
      </c>
      <c r="K47" s="1104">
        <v>43790</v>
      </c>
      <c r="L47" s="1104">
        <v>44196</v>
      </c>
      <c r="M47" s="1369">
        <f t="shared" si="5"/>
        <v>406</v>
      </c>
      <c r="N47" s="1104"/>
      <c r="O47" s="1104"/>
      <c r="P47" s="1104"/>
      <c r="Q47" s="1104"/>
      <c r="R47" s="1104"/>
      <c r="S47" s="1104"/>
      <c r="T47" s="1104"/>
      <c r="U47" s="1104"/>
      <c r="V47" s="1104"/>
      <c r="W47" s="1104"/>
      <c r="X47" s="1104"/>
      <c r="Y47" s="1104" t="s">
        <v>2741</v>
      </c>
      <c r="Z47" s="1104" t="s">
        <v>2742</v>
      </c>
      <c r="AA47" s="1109" t="s">
        <v>2743</v>
      </c>
      <c r="AB47" s="1109" t="s">
        <v>2744</v>
      </c>
      <c r="AC47" s="1109" t="s">
        <v>2745</v>
      </c>
      <c r="AD47" s="1109" t="s">
        <v>2746</v>
      </c>
      <c r="AE47" s="1112">
        <f>AK47+AN47</f>
        <v>8.5730000000000004</v>
      </c>
      <c r="AF47" s="1113">
        <f t="shared" si="1"/>
        <v>8.5730000000000004</v>
      </c>
      <c r="AG47" s="1113">
        <f t="shared" si="2"/>
        <v>0</v>
      </c>
      <c r="AH47" s="1112"/>
      <c r="AI47" s="1113"/>
      <c r="AJ47" s="1113"/>
      <c r="AK47" s="1112">
        <v>7.4359999999999999</v>
      </c>
      <c r="AL47" s="1114">
        <f t="shared" si="8"/>
        <v>0.86737431470896997</v>
      </c>
      <c r="AM47" s="1114"/>
      <c r="AN47" s="1112">
        <v>1.137</v>
      </c>
      <c r="AO47" s="1114">
        <f>AN47/AE47</f>
        <v>0.13262568529102997</v>
      </c>
      <c r="AP47" s="1112"/>
      <c r="AQ47" s="1114"/>
      <c r="AR47" s="1112"/>
      <c r="AS47" s="1114"/>
      <c r="AT47" s="1114"/>
      <c r="AU47" s="1114"/>
      <c r="AV47" s="1114"/>
      <c r="AW47" s="1114" t="s">
        <v>504</v>
      </c>
      <c r="AX47" s="1114"/>
      <c r="AY47" s="1116"/>
      <c r="AZ47" s="1114"/>
      <c r="BA47" s="1113">
        <v>15.689</v>
      </c>
      <c r="BB47" s="1114">
        <f>BA47/19534.41</f>
        <v>8.0314685726366958E-4</v>
      </c>
      <c r="BC47" s="1115">
        <v>13</v>
      </c>
      <c r="BD47" s="1115">
        <v>13</v>
      </c>
      <c r="BE47" s="1116">
        <v>10</v>
      </c>
      <c r="BF47" s="1115"/>
      <c r="BG47" s="1115">
        <v>1</v>
      </c>
      <c r="BH47" s="1115"/>
      <c r="BI47" s="1115"/>
      <c r="BJ47" s="1115"/>
      <c r="BK47" s="1115"/>
      <c r="BL47" s="1115"/>
      <c r="BM47" s="1115"/>
      <c r="BN47" s="1115"/>
      <c r="BO47" s="1115"/>
      <c r="BP47" s="1115"/>
      <c r="BQ47" s="1115">
        <v>9</v>
      </c>
      <c r="BR47" s="1115"/>
      <c r="BS47" s="1115"/>
      <c r="BT47" s="1115"/>
      <c r="BU47" s="1115"/>
      <c r="BV47" s="1115"/>
      <c r="BW47" s="1115"/>
      <c r="BX47" s="1115"/>
      <c r="BY47" s="1115"/>
      <c r="BZ47" s="1115"/>
      <c r="CA47" s="1117">
        <f t="shared" si="7"/>
        <v>10</v>
      </c>
      <c r="CB47" s="1117">
        <f t="shared" si="3"/>
        <v>10</v>
      </c>
      <c r="CC47" s="1117">
        <f t="shared" si="4"/>
        <v>0</v>
      </c>
      <c r="CD47" s="1113">
        <v>489.35899999999998</v>
      </c>
      <c r="CE47" s="1109" t="s">
        <v>2747</v>
      </c>
      <c r="CF47" s="1109"/>
      <c r="CG47" s="1114">
        <f>CH47/CD47</f>
        <v>1</v>
      </c>
      <c r="CH47" s="1113">
        <v>489.35899999999998</v>
      </c>
      <c r="CI47" s="1139" t="s">
        <v>2748</v>
      </c>
      <c r="CJ47" s="1109" t="s">
        <v>504</v>
      </c>
      <c r="CK47" s="1109"/>
      <c r="CL47" s="1109"/>
      <c r="CM47" s="1115"/>
      <c r="CN47" s="1115"/>
      <c r="CO47" s="1115">
        <v>11</v>
      </c>
      <c r="CP47" s="1109" t="s">
        <v>504</v>
      </c>
      <c r="CQ47" s="1109"/>
      <c r="CR47" s="1115"/>
      <c r="CS47" s="1109" t="s">
        <v>500</v>
      </c>
      <c r="CT47" s="1109" t="s">
        <v>2749</v>
      </c>
      <c r="CU47" s="1115">
        <v>246</v>
      </c>
      <c r="CV47" s="1115" t="s">
        <v>504</v>
      </c>
      <c r="CW47" s="1115"/>
      <c r="CX47" s="1115"/>
      <c r="CY47" s="1115" t="s">
        <v>504</v>
      </c>
      <c r="CZ47" s="1115"/>
      <c r="DA47" s="1115"/>
      <c r="DB47" s="1109" t="s">
        <v>504</v>
      </c>
      <c r="DC47" s="1109"/>
      <c r="DD47" s="1115"/>
      <c r="DE47" s="1109" t="s">
        <v>504</v>
      </c>
      <c r="DF47" s="1109"/>
      <c r="DG47" s="1115"/>
      <c r="DH47" s="1109" t="s">
        <v>504</v>
      </c>
      <c r="DI47" s="1109"/>
      <c r="DJ47" s="1115"/>
      <c r="DK47" s="1109" t="s">
        <v>500</v>
      </c>
      <c r="DL47" s="1109" t="s">
        <v>2750</v>
      </c>
      <c r="DM47" s="1115" t="s">
        <v>2751</v>
      </c>
      <c r="DN47" s="1109" t="s">
        <v>504</v>
      </c>
      <c r="DO47" s="1109"/>
      <c r="DP47" s="1115"/>
      <c r="DQ47" s="1109" t="s">
        <v>500</v>
      </c>
      <c r="DR47" s="1109" t="s">
        <v>2749</v>
      </c>
      <c r="DS47" s="1115">
        <v>246</v>
      </c>
      <c r="DT47" s="1115" t="s">
        <v>504</v>
      </c>
      <c r="DU47" s="1115"/>
      <c r="DV47" s="1115"/>
      <c r="DW47" s="1109" t="s">
        <v>504</v>
      </c>
      <c r="DX47" s="1109"/>
      <c r="DY47" s="1115"/>
      <c r="DZ47" s="1109" t="s">
        <v>504</v>
      </c>
      <c r="EA47" s="1109"/>
      <c r="EB47" s="1115"/>
      <c r="EC47" s="1109" t="s">
        <v>500</v>
      </c>
      <c r="ED47" s="1109" t="s">
        <v>2752</v>
      </c>
      <c r="EE47" s="1115">
        <v>8</v>
      </c>
      <c r="EF47" s="1115" t="s">
        <v>500</v>
      </c>
      <c r="EG47" s="1109" t="s">
        <v>2752</v>
      </c>
      <c r="EH47" s="1115">
        <v>8</v>
      </c>
      <c r="EI47" s="1109" t="s">
        <v>504</v>
      </c>
      <c r="EJ47" s="1109"/>
      <c r="EK47" s="1115"/>
      <c r="EL47" s="1115"/>
      <c r="EM47" s="1115"/>
      <c r="EN47" s="1115"/>
      <c r="EO47" s="1109" t="s">
        <v>504</v>
      </c>
      <c r="EP47" s="1109"/>
      <c r="EQ47" s="1109" t="s">
        <v>2753</v>
      </c>
      <c r="ER47" s="1109" t="s">
        <v>2754</v>
      </c>
      <c r="ES47" s="1109"/>
      <c r="ET47" s="1109"/>
      <c r="EU47" s="1109"/>
      <c r="EV47" s="1109" t="s">
        <v>504</v>
      </c>
      <c r="EW47" s="1109"/>
      <c r="EX47" s="1109"/>
    </row>
    <row r="48" spans="3:154" ht="99.95" customHeight="1" x14ac:dyDescent="0.2">
      <c r="C48" s="1156" t="s">
        <v>693</v>
      </c>
      <c r="D48" s="1156" t="s">
        <v>5277</v>
      </c>
      <c r="E48" s="738" t="s">
        <v>309</v>
      </c>
      <c r="F48" s="738" t="s">
        <v>394</v>
      </c>
      <c r="G48" s="738"/>
      <c r="H48" s="632" t="s">
        <v>2144</v>
      </c>
      <c r="I48" s="632" t="s">
        <v>730</v>
      </c>
      <c r="J48" s="637">
        <v>2020</v>
      </c>
      <c r="K48" s="377">
        <v>43800</v>
      </c>
      <c r="L48" s="377">
        <v>43814</v>
      </c>
      <c r="M48" s="1369">
        <f t="shared" si="5"/>
        <v>14</v>
      </c>
      <c r="N48" s="632" t="s">
        <v>2145</v>
      </c>
      <c r="O48" s="632" t="s">
        <v>2146</v>
      </c>
      <c r="P48" s="728" t="s">
        <v>2147</v>
      </c>
      <c r="Q48" s="632"/>
      <c r="R48" s="632"/>
      <c r="S48" s="632"/>
      <c r="T48" s="632"/>
      <c r="U48" s="632"/>
      <c r="V48" s="632"/>
      <c r="W48" s="632"/>
      <c r="X48" s="728"/>
      <c r="Y48" s="728"/>
      <c r="Z48" s="728"/>
      <c r="AA48" s="632" t="s">
        <v>2148</v>
      </c>
      <c r="AB48" s="632" t="s">
        <v>2148</v>
      </c>
      <c r="AC48" s="632" t="s">
        <v>1024</v>
      </c>
      <c r="AD48" s="632" t="s">
        <v>2149</v>
      </c>
      <c r="AE48" s="702">
        <v>78.977999999999994</v>
      </c>
      <c r="AF48" s="671">
        <f>AH48+AK48+AN48+AP48+AR48</f>
        <v>78.978399999999993</v>
      </c>
      <c r="AG48" s="671">
        <f t="shared" si="2"/>
        <v>3.9999999999906777E-4</v>
      </c>
      <c r="AH48" s="702">
        <v>13.586399999999999</v>
      </c>
      <c r="AI48" s="683">
        <f>AH48/AE48</f>
        <v>0.17202765327053104</v>
      </c>
      <c r="AJ48" s="683">
        <f>AH48/22318</f>
        <v>6.0876422618514204E-4</v>
      </c>
      <c r="AK48" s="702">
        <v>13.057</v>
      </c>
      <c r="AL48" s="683">
        <f t="shared" si="8"/>
        <v>0.16532452075261467</v>
      </c>
      <c r="AM48" s="683"/>
      <c r="AN48" s="702"/>
      <c r="AO48" s="683">
        <f>AN48/AE48</f>
        <v>0</v>
      </c>
      <c r="AP48" s="702"/>
      <c r="AQ48" s="683">
        <f>AP48/AE48</f>
        <v>0</v>
      </c>
      <c r="AR48" s="702">
        <v>52.335000000000001</v>
      </c>
      <c r="AS48" s="683">
        <f>AR48/AE48</f>
        <v>0.66265289067841682</v>
      </c>
      <c r="AT48" s="632" t="s">
        <v>2150</v>
      </c>
      <c r="AU48" s="632" t="s">
        <v>825</v>
      </c>
      <c r="AV48" s="632" t="s">
        <v>2148</v>
      </c>
      <c r="AW48" s="632" t="s">
        <v>500</v>
      </c>
      <c r="AX48" s="632" t="s">
        <v>2151</v>
      </c>
      <c r="AY48" s="632">
        <v>10.019</v>
      </c>
      <c r="AZ48" s="683">
        <f>AY48/13.258</f>
        <v>0.75569467491326003</v>
      </c>
      <c r="BA48" s="632">
        <v>0.23799999999999999</v>
      </c>
      <c r="BB48" s="683">
        <f>BA48/20819.9</f>
        <v>1.143137094798726E-5</v>
      </c>
      <c r="BC48" s="710">
        <v>56</v>
      </c>
      <c r="BD48" s="710">
        <v>56</v>
      </c>
      <c r="BE48" s="706">
        <v>56</v>
      </c>
      <c r="BF48" s="710"/>
      <c r="BG48" s="710">
        <v>9</v>
      </c>
      <c r="BH48" s="710">
        <v>12</v>
      </c>
      <c r="BI48" s="710"/>
      <c r="BJ48" s="710"/>
      <c r="BK48" s="710"/>
      <c r="BL48" s="710"/>
      <c r="BM48" s="710"/>
      <c r="BN48" s="710">
        <v>7</v>
      </c>
      <c r="BO48" s="710"/>
      <c r="BP48" s="710">
        <v>5</v>
      </c>
      <c r="BQ48" s="710">
        <v>18</v>
      </c>
      <c r="BR48" s="710"/>
      <c r="BS48" s="710"/>
      <c r="BT48" s="710"/>
      <c r="BU48" s="710"/>
      <c r="BV48" s="710"/>
      <c r="BW48" s="710"/>
      <c r="BX48" s="710"/>
      <c r="BY48" s="710"/>
      <c r="BZ48" s="710">
        <v>5</v>
      </c>
      <c r="CA48" s="717">
        <f t="shared" si="7"/>
        <v>56</v>
      </c>
      <c r="CB48" s="717">
        <f t="shared" si="3"/>
        <v>56</v>
      </c>
      <c r="CC48" s="717">
        <f t="shared" si="4"/>
        <v>0</v>
      </c>
      <c r="CD48" s="671">
        <v>60.783999999999999</v>
      </c>
      <c r="CE48" s="632" t="s">
        <v>2152</v>
      </c>
      <c r="CF48" s="728"/>
      <c r="CG48" s="683">
        <f>CD48/269.984</f>
        <v>0.22513926751214888</v>
      </c>
      <c r="CH48" s="671">
        <v>269.98399999999998</v>
      </c>
      <c r="CI48" s="1203" t="s">
        <v>2153</v>
      </c>
      <c r="CJ48" s="632" t="s">
        <v>504</v>
      </c>
      <c r="CK48" s="632"/>
      <c r="CL48" s="632"/>
      <c r="CM48" s="710"/>
      <c r="CN48" s="710"/>
      <c r="CO48" s="710"/>
      <c r="CP48" s="632" t="s">
        <v>500</v>
      </c>
      <c r="CQ48" s="632" t="s">
        <v>2154</v>
      </c>
      <c r="CR48" s="710">
        <v>5842</v>
      </c>
      <c r="CS48" s="632" t="s">
        <v>500</v>
      </c>
      <c r="CT48" s="632" t="s">
        <v>2155</v>
      </c>
      <c r="CU48" s="710">
        <v>5842</v>
      </c>
      <c r="CV48" s="710" t="s">
        <v>504</v>
      </c>
      <c r="CW48" s="710"/>
      <c r="CX48" s="710"/>
      <c r="CY48" s="710" t="s">
        <v>504</v>
      </c>
      <c r="CZ48" s="710"/>
      <c r="DA48" s="710"/>
      <c r="DB48" s="632" t="s">
        <v>504</v>
      </c>
      <c r="DC48" s="632"/>
      <c r="DD48" s="710"/>
      <c r="DE48" s="632" t="s">
        <v>504</v>
      </c>
      <c r="DF48" s="632"/>
      <c r="DG48" s="710"/>
      <c r="DH48" s="632" t="s">
        <v>504</v>
      </c>
      <c r="DI48" s="632"/>
      <c r="DJ48" s="710"/>
      <c r="DK48" s="632" t="s">
        <v>504</v>
      </c>
      <c r="DL48" s="632"/>
      <c r="DM48" s="710"/>
      <c r="DN48" s="632" t="s">
        <v>504</v>
      </c>
      <c r="DO48" s="632"/>
      <c r="DP48" s="710"/>
      <c r="DQ48" s="632" t="s">
        <v>500</v>
      </c>
      <c r="DR48" s="632" t="s">
        <v>2156</v>
      </c>
      <c r="DS48" s="710"/>
      <c r="DT48" s="710" t="s">
        <v>504</v>
      </c>
      <c r="DU48" s="710"/>
      <c r="DV48" s="710"/>
      <c r="DW48" s="632" t="s">
        <v>504</v>
      </c>
      <c r="DX48" s="632"/>
      <c r="DY48" s="710"/>
      <c r="DZ48" s="632" t="s">
        <v>504</v>
      </c>
      <c r="EA48" s="632"/>
      <c r="EB48" s="710"/>
      <c r="EC48" s="632" t="s">
        <v>504</v>
      </c>
      <c r="ED48" s="632"/>
      <c r="EE48" s="710"/>
      <c r="EF48" s="710" t="s">
        <v>504</v>
      </c>
      <c r="EG48" s="710"/>
      <c r="EH48" s="710"/>
      <c r="EI48" s="632" t="s">
        <v>504</v>
      </c>
      <c r="EJ48" s="632"/>
      <c r="EK48" s="710"/>
      <c r="EL48" s="688">
        <v>1</v>
      </c>
      <c r="EM48" s="632"/>
      <c r="EN48" s="699">
        <v>38</v>
      </c>
      <c r="EO48" s="632" t="s">
        <v>500</v>
      </c>
      <c r="EP48" s="632"/>
      <c r="EQ48" s="728" t="s">
        <v>2157</v>
      </c>
      <c r="ER48" s="728" t="s">
        <v>2158</v>
      </c>
      <c r="ES48" s="632"/>
      <c r="ET48" s="632" t="s">
        <v>2159</v>
      </c>
      <c r="EU48" s="632"/>
      <c r="EV48" s="632" t="s">
        <v>2160</v>
      </c>
      <c r="EW48" s="632">
        <v>6</v>
      </c>
      <c r="EX48" s="632">
        <v>162</v>
      </c>
    </row>
    <row r="49" spans="3:154" ht="72" customHeight="1" x14ac:dyDescent="0.2">
      <c r="C49" s="1156" t="s">
        <v>5478</v>
      </c>
      <c r="D49" s="1156" t="s">
        <v>5277</v>
      </c>
      <c r="E49" s="738" t="s">
        <v>309</v>
      </c>
      <c r="F49" s="738" t="s">
        <v>394</v>
      </c>
      <c r="G49" s="738"/>
      <c r="H49" s="632" t="s">
        <v>2161</v>
      </c>
      <c r="I49" s="632" t="s">
        <v>2162</v>
      </c>
      <c r="J49" s="637">
        <v>2019</v>
      </c>
      <c r="K49" s="377">
        <v>43774</v>
      </c>
      <c r="L49" s="377">
        <v>43798</v>
      </c>
      <c r="M49" s="1369">
        <f t="shared" si="5"/>
        <v>24</v>
      </c>
      <c r="N49" s="632" t="s">
        <v>2163</v>
      </c>
      <c r="O49" s="632" t="s">
        <v>2164</v>
      </c>
      <c r="P49" s="728" t="s">
        <v>2165</v>
      </c>
      <c r="Q49" s="632"/>
      <c r="R49" s="632"/>
      <c r="S49" s="632"/>
      <c r="T49" s="632"/>
      <c r="U49" s="632"/>
      <c r="V49" s="632"/>
      <c r="W49" s="632" t="s">
        <v>2166</v>
      </c>
      <c r="X49" s="728" t="s">
        <v>2165</v>
      </c>
      <c r="Y49" s="728"/>
      <c r="Z49" s="728"/>
      <c r="AA49" s="632" t="s">
        <v>2167</v>
      </c>
      <c r="AB49" s="632" t="s">
        <v>2167</v>
      </c>
      <c r="AC49" s="632" t="s">
        <v>1024</v>
      </c>
      <c r="AD49" s="632" t="s">
        <v>2149</v>
      </c>
      <c r="AE49" s="702">
        <v>12.843</v>
      </c>
      <c r="AF49" s="671">
        <f t="shared" si="1"/>
        <v>12.843399999999999</v>
      </c>
      <c r="AG49" s="671">
        <f t="shared" si="2"/>
        <v>3.9999999999906777E-4</v>
      </c>
      <c r="AH49" s="702">
        <v>9.5869999999999997</v>
      </c>
      <c r="AI49" s="683">
        <f>AH49/AE49</f>
        <v>0.74647667990344935</v>
      </c>
      <c r="AJ49" s="683">
        <f>AH49/22318</f>
        <v>4.2956358096603639E-4</v>
      </c>
      <c r="AK49" s="702">
        <v>1.4850000000000001</v>
      </c>
      <c r="AL49" s="683">
        <f t="shared" si="8"/>
        <v>0.11562718990889979</v>
      </c>
      <c r="AM49" s="683"/>
      <c r="AN49" s="702">
        <v>0.68400000000000005</v>
      </c>
      <c r="AO49" s="683">
        <f>AN49/AE49</f>
        <v>5.3258584442887183E-2</v>
      </c>
      <c r="AP49" s="702">
        <v>1.0873999999999999</v>
      </c>
      <c r="AQ49" s="683">
        <f>AP49/AE49</f>
        <v>8.4668691115782915E-2</v>
      </c>
      <c r="AR49" s="702"/>
      <c r="AS49" s="683"/>
      <c r="AT49" s="632"/>
      <c r="AU49" s="632"/>
      <c r="AV49" s="632"/>
      <c r="AW49" s="632" t="s">
        <v>500</v>
      </c>
      <c r="AX49" s="632" t="s">
        <v>2168</v>
      </c>
      <c r="AY49" s="632">
        <v>0.41399999999999998</v>
      </c>
      <c r="AZ49" s="683">
        <f>AY49/13.258</f>
        <v>3.1226429325690148E-2</v>
      </c>
      <c r="BA49" s="632">
        <v>10.206</v>
      </c>
      <c r="BB49" s="683">
        <f>BA49/20819.9</f>
        <v>4.9020408359310081E-4</v>
      </c>
      <c r="BC49" s="710">
        <v>45</v>
      </c>
      <c r="BD49" s="710">
        <v>21</v>
      </c>
      <c r="BE49" s="706">
        <v>18</v>
      </c>
      <c r="BF49" s="710">
        <v>1</v>
      </c>
      <c r="BG49" s="710">
        <v>1</v>
      </c>
      <c r="BH49" s="710"/>
      <c r="BI49" s="710"/>
      <c r="BJ49" s="710"/>
      <c r="BK49" s="710">
        <v>3</v>
      </c>
      <c r="BL49" s="710"/>
      <c r="BM49" s="710"/>
      <c r="BN49" s="710">
        <v>4</v>
      </c>
      <c r="BO49" s="710"/>
      <c r="BP49" s="710">
        <v>2</v>
      </c>
      <c r="BQ49" s="710">
        <v>4</v>
      </c>
      <c r="BR49" s="710">
        <v>3</v>
      </c>
      <c r="BS49" s="710"/>
      <c r="BT49" s="710"/>
      <c r="BU49" s="710"/>
      <c r="BV49" s="710"/>
      <c r="BW49" s="710"/>
      <c r="BX49" s="710"/>
      <c r="BY49" s="710"/>
      <c r="BZ49" s="710"/>
      <c r="CA49" s="717">
        <f t="shared" si="7"/>
        <v>18</v>
      </c>
      <c r="CB49" s="717">
        <f t="shared" si="3"/>
        <v>18</v>
      </c>
      <c r="CC49" s="717">
        <f t="shared" si="4"/>
        <v>0</v>
      </c>
      <c r="CD49" s="671"/>
      <c r="CE49" s="632" t="s">
        <v>2169</v>
      </c>
      <c r="CF49" s="728" t="s">
        <v>2165</v>
      </c>
      <c r="CG49" s="683">
        <f>15115/271135</f>
        <v>5.5747137035056335E-2</v>
      </c>
      <c r="CH49" s="632">
        <v>271.13499999999999</v>
      </c>
      <c r="CI49" s="728" t="s">
        <v>2153</v>
      </c>
      <c r="CJ49" s="632" t="s">
        <v>504</v>
      </c>
      <c r="CK49" s="632"/>
      <c r="CL49" s="632"/>
      <c r="CM49" s="710"/>
      <c r="CN49" s="710"/>
      <c r="CO49" s="710">
        <v>3</v>
      </c>
      <c r="CP49" s="632" t="s">
        <v>504</v>
      </c>
      <c r="CQ49" s="632"/>
      <c r="CR49" s="710"/>
      <c r="CS49" s="632" t="s">
        <v>500</v>
      </c>
      <c r="CT49" s="632" t="s">
        <v>2170</v>
      </c>
      <c r="CU49" s="710">
        <v>15115</v>
      </c>
      <c r="CV49" s="632" t="s">
        <v>504</v>
      </c>
      <c r="CW49" s="710"/>
      <c r="CX49" s="710"/>
      <c r="CY49" s="632" t="s">
        <v>504</v>
      </c>
      <c r="CZ49" s="710"/>
      <c r="DA49" s="710"/>
      <c r="DB49" s="632" t="s">
        <v>504</v>
      </c>
      <c r="DC49" s="632"/>
      <c r="DD49" s="710"/>
      <c r="DE49" s="632" t="s">
        <v>504</v>
      </c>
      <c r="DF49" s="632"/>
      <c r="DG49" s="710"/>
      <c r="DH49" s="632" t="s">
        <v>504</v>
      </c>
      <c r="DI49" s="632"/>
      <c r="DJ49" s="710"/>
      <c r="DK49" s="632"/>
      <c r="DL49" s="632"/>
      <c r="DM49" s="710"/>
      <c r="DN49" s="632" t="s">
        <v>504</v>
      </c>
      <c r="DO49" s="632"/>
      <c r="DP49" s="710"/>
      <c r="DQ49" s="632" t="s">
        <v>500</v>
      </c>
      <c r="DR49" s="632" t="s">
        <v>2170</v>
      </c>
      <c r="DS49" s="710">
        <v>15115</v>
      </c>
      <c r="DT49" s="710" t="s">
        <v>504</v>
      </c>
      <c r="DU49" s="710"/>
      <c r="DV49" s="710"/>
      <c r="DW49" s="710" t="s">
        <v>504</v>
      </c>
      <c r="DX49" s="632"/>
      <c r="DY49" s="710"/>
      <c r="DZ49" s="710" t="s">
        <v>504</v>
      </c>
      <c r="EA49" s="632"/>
      <c r="EB49" s="710"/>
      <c r="EC49" s="710" t="s">
        <v>504</v>
      </c>
      <c r="ED49" s="632"/>
      <c r="EE49" s="710"/>
      <c r="EF49" s="710" t="s">
        <v>504</v>
      </c>
      <c r="EG49" s="710"/>
      <c r="EH49" s="710"/>
      <c r="EI49" s="632"/>
      <c r="EJ49" s="632"/>
      <c r="EK49" s="710"/>
      <c r="EL49" s="688">
        <v>1</v>
      </c>
      <c r="EM49" s="632"/>
      <c r="EN49" s="710">
        <v>21</v>
      </c>
      <c r="EO49" s="632" t="s">
        <v>504</v>
      </c>
      <c r="EP49" s="632"/>
      <c r="EQ49" s="728" t="s">
        <v>2165</v>
      </c>
      <c r="ER49" s="728" t="s">
        <v>2171</v>
      </c>
      <c r="ES49" s="632"/>
      <c r="ET49" s="632" t="s">
        <v>2172</v>
      </c>
      <c r="EU49" s="632"/>
      <c r="EV49" s="632" t="s">
        <v>2173</v>
      </c>
      <c r="EW49" s="632">
        <v>2</v>
      </c>
      <c r="EX49" s="632">
        <v>35</v>
      </c>
    </row>
    <row r="50" spans="3:154" ht="93.95" customHeight="1" x14ac:dyDescent="0.2">
      <c r="C50" s="1156" t="s">
        <v>693</v>
      </c>
      <c r="D50" s="1156" t="s">
        <v>5277</v>
      </c>
      <c r="E50" s="738" t="s">
        <v>310</v>
      </c>
      <c r="F50" s="738" t="s">
        <v>395</v>
      </c>
      <c r="G50" s="738"/>
      <c r="H50" s="632" t="s">
        <v>890</v>
      </c>
      <c r="I50" s="738" t="s">
        <v>891</v>
      </c>
      <c r="J50" s="738">
        <v>2017</v>
      </c>
      <c r="K50" s="767">
        <v>43617</v>
      </c>
      <c r="L50" s="767">
        <v>44191</v>
      </c>
      <c r="M50" s="1369">
        <f t="shared" si="5"/>
        <v>574</v>
      </c>
      <c r="N50" s="632" t="s">
        <v>892</v>
      </c>
      <c r="O50" s="738" t="s">
        <v>893</v>
      </c>
      <c r="P50" s="653" t="s">
        <v>894</v>
      </c>
      <c r="Q50" s="738" t="s">
        <v>895</v>
      </c>
      <c r="R50" s="653" t="s">
        <v>896</v>
      </c>
      <c r="S50" s="632"/>
      <c r="T50" s="632"/>
      <c r="U50" s="632" t="s">
        <v>897</v>
      </c>
      <c r="V50" s="653" t="s">
        <v>898</v>
      </c>
      <c r="W50" s="632" t="s">
        <v>899</v>
      </c>
      <c r="X50" s="653" t="s">
        <v>900</v>
      </c>
      <c r="Y50" s="653"/>
      <c r="Z50" s="653"/>
      <c r="AA50" s="738" t="s">
        <v>901</v>
      </c>
      <c r="AB50" s="738" t="s">
        <v>901</v>
      </c>
      <c r="AC50" s="738" t="s">
        <v>519</v>
      </c>
      <c r="AD50" s="738" t="s">
        <v>902</v>
      </c>
      <c r="AE50" s="702">
        <v>173.68100000000001</v>
      </c>
      <c r="AF50" s="671">
        <f t="shared" si="1"/>
        <v>173.68180000000001</v>
      </c>
      <c r="AG50" s="671">
        <f t="shared" si="2"/>
        <v>7.9999999999813554E-4</v>
      </c>
      <c r="AH50" s="702">
        <v>120.1224</v>
      </c>
      <c r="AI50" s="683">
        <f>AH50/AE50</f>
        <v>0.69162660279477883</v>
      </c>
      <c r="AJ50" s="683">
        <v>1.4E-3</v>
      </c>
      <c r="AK50" s="702">
        <v>41.985999999999997</v>
      </c>
      <c r="AL50" s="683">
        <f t="shared" si="8"/>
        <v>0.24174204432263743</v>
      </c>
      <c r="AM50" s="683"/>
      <c r="AN50" s="702">
        <v>8.7110000000000003</v>
      </c>
      <c r="AO50" s="683">
        <f>AN50/AE50</f>
        <v>5.0155169534952006E-2</v>
      </c>
      <c r="AP50" s="702">
        <v>2.8624000000000001</v>
      </c>
      <c r="AQ50" s="683">
        <f>AP50/AE50</f>
        <v>1.6480789493381543E-2</v>
      </c>
      <c r="AR50" s="702">
        <v>0</v>
      </c>
      <c r="AS50" s="683">
        <v>0</v>
      </c>
      <c r="AT50" s="632"/>
      <c r="AU50" s="632"/>
      <c r="AV50" s="632"/>
      <c r="AW50" s="632" t="s">
        <v>500</v>
      </c>
      <c r="AX50" s="632" t="s">
        <v>903</v>
      </c>
      <c r="AY50" s="1176">
        <v>8.5519999999999996</v>
      </c>
      <c r="AZ50" s="683"/>
      <c r="BA50" s="706">
        <v>150</v>
      </c>
      <c r="BB50" s="683">
        <v>2.0999999999999999E-3</v>
      </c>
      <c r="BC50" s="710">
        <v>205</v>
      </c>
      <c r="BD50" s="710">
        <v>205</v>
      </c>
      <c r="BE50" s="706">
        <v>205</v>
      </c>
      <c r="BF50" s="710">
        <v>3</v>
      </c>
      <c r="BG50" s="710">
        <v>2</v>
      </c>
      <c r="BH50" s="710">
        <v>19</v>
      </c>
      <c r="BI50" s="710">
        <v>2</v>
      </c>
      <c r="BJ50" s="710">
        <v>3</v>
      </c>
      <c r="BK50" s="710"/>
      <c r="BL50" s="710"/>
      <c r="BM50" s="710">
        <v>17</v>
      </c>
      <c r="BN50" s="710">
        <v>30</v>
      </c>
      <c r="BO50" s="710"/>
      <c r="BP50" s="710">
        <v>15</v>
      </c>
      <c r="BQ50" s="710">
        <f>26+20+3</f>
        <v>49</v>
      </c>
      <c r="BR50" s="710">
        <v>36</v>
      </c>
      <c r="BS50" s="710">
        <v>5</v>
      </c>
      <c r="BT50" s="710"/>
      <c r="BU50" s="710"/>
      <c r="BV50" s="710"/>
      <c r="BW50" s="710"/>
      <c r="BX50" s="710"/>
      <c r="BY50" s="710"/>
      <c r="BZ50" s="710">
        <v>19</v>
      </c>
      <c r="CA50" s="717">
        <f t="shared" si="7"/>
        <v>200</v>
      </c>
      <c r="CB50" s="717">
        <f t="shared" si="3"/>
        <v>200</v>
      </c>
      <c r="CC50" s="717">
        <f t="shared" si="4"/>
        <v>0</v>
      </c>
      <c r="CD50" s="671">
        <v>367.1</v>
      </c>
      <c r="CE50" s="632" t="s">
        <v>904</v>
      </c>
      <c r="CF50" s="632" t="s">
        <v>905</v>
      </c>
      <c r="CG50" s="683">
        <v>0.36599999999999999</v>
      </c>
      <c r="CH50" s="671">
        <v>1002.575</v>
      </c>
      <c r="CI50" s="653" t="s">
        <v>906</v>
      </c>
      <c r="CJ50" s="632" t="s">
        <v>905</v>
      </c>
      <c r="CK50" s="632" t="s">
        <v>907</v>
      </c>
      <c r="CL50" s="632"/>
      <c r="CM50" s="710"/>
      <c r="CN50" s="710"/>
      <c r="CO50" s="710">
        <v>5</v>
      </c>
      <c r="CP50" s="632" t="s">
        <v>500</v>
      </c>
      <c r="CQ50" s="632" t="s">
        <v>908</v>
      </c>
      <c r="CR50" s="710">
        <v>20657</v>
      </c>
      <c r="CS50" s="632" t="s">
        <v>500</v>
      </c>
      <c r="CT50" s="738" t="s">
        <v>909</v>
      </c>
      <c r="CU50" s="822"/>
      <c r="CV50" s="738" t="s">
        <v>504</v>
      </c>
      <c r="CW50" s="710"/>
      <c r="CX50" s="710"/>
      <c r="CY50" s="710" t="s">
        <v>504</v>
      </c>
      <c r="CZ50" s="710"/>
      <c r="DA50" s="710"/>
      <c r="DB50" s="632" t="s">
        <v>500</v>
      </c>
      <c r="DC50" s="822" t="s">
        <v>911</v>
      </c>
      <c r="DD50" s="710"/>
      <c r="DE50" s="632" t="s">
        <v>500</v>
      </c>
      <c r="DF50" s="822" t="s">
        <v>911</v>
      </c>
      <c r="DG50" s="710"/>
      <c r="DH50" s="632" t="s">
        <v>500</v>
      </c>
      <c r="DI50" s="822" t="s">
        <v>911</v>
      </c>
      <c r="DJ50" s="710"/>
      <c r="DK50" s="632" t="s">
        <v>504</v>
      </c>
      <c r="DL50" s="632"/>
      <c r="DM50" s="710"/>
      <c r="DN50" s="632" t="s">
        <v>500</v>
      </c>
      <c r="DO50" s="822" t="s">
        <v>911</v>
      </c>
      <c r="DP50" s="710"/>
      <c r="DQ50" s="632" t="s">
        <v>656</v>
      </c>
      <c r="DR50" s="632" t="s">
        <v>912</v>
      </c>
      <c r="DS50" s="710">
        <v>13287</v>
      </c>
      <c r="DT50" s="710" t="s">
        <v>504</v>
      </c>
      <c r="DU50" s="710"/>
      <c r="DV50" s="710"/>
      <c r="DW50" s="632" t="s">
        <v>504</v>
      </c>
      <c r="DX50" s="632"/>
      <c r="DY50" s="710"/>
      <c r="DZ50" s="632" t="s">
        <v>504</v>
      </c>
      <c r="EA50" s="632"/>
      <c r="EB50" s="710"/>
      <c r="EC50" s="632" t="s">
        <v>504</v>
      </c>
      <c r="ED50" s="632"/>
      <c r="EE50" s="710"/>
      <c r="EF50" s="710" t="s">
        <v>504</v>
      </c>
      <c r="EG50" s="710"/>
      <c r="EH50" s="710"/>
      <c r="EI50" s="632" t="s">
        <v>504</v>
      </c>
      <c r="EJ50" s="632"/>
      <c r="EK50" s="710"/>
      <c r="EL50" s="738" t="s">
        <v>913</v>
      </c>
      <c r="EM50" s="738" t="s">
        <v>914</v>
      </c>
      <c r="EN50" s="670">
        <v>190</v>
      </c>
      <c r="EO50" s="632" t="s">
        <v>504</v>
      </c>
      <c r="EP50" s="632"/>
      <c r="EQ50" s="653" t="s">
        <v>915</v>
      </c>
      <c r="ER50" s="653"/>
      <c r="ES50" s="653" t="s">
        <v>915</v>
      </c>
      <c r="ET50" s="632" t="s">
        <v>916</v>
      </c>
      <c r="EU50" s="632"/>
      <c r="EV50" s="632" t="s">
        <v>917</v>
      </c>
      <c r="EW50" s="632">
        <v>5</v>
      </c>
      <c r="EX50" s="632">
        <v>448</v>
      </c>
    </row>
    <row r="51" spans="3:154" ht="93.95" customHeight="1" x14ac:dyDescent="0.2">
      <c r="C51" s="1156" t="s">
        <v>693</v>
      </c>
      <c r="D51" s="1156" t="s">
        <v>5278</v>
      </c>
      <c r="E51" s="1104" t="s">
        <v>310</v>
      </c>
      <c r="F51" s="1104" t="s">
        <v>395</v>
      </c>
      <c r="G51" s="1104" t="s">
        <v>2755</v>
      </c>
      <c r="H51" s="1104" t="s">
        <v>2756</v>
      </c>
      <c r="I51" s="1104" t="s">
        <v>2756</v>
      </c>
      <c r="J51" s="1104">
        <v>2019</v>
      </c>
      <c r="K51" s="1106">
        <v>43840</v>
      </c>
      <c r="L51" s="1106">
        <v>44196</v>
      </c>
      <c r="M51" s="1369">
        <f t="shared" si="5"/>
        <v>356</v>
      </c>
      <c r="N51" s="1106"/>
      <c r="O51" s="1106"/>
      <c r="P51" s="1106"/>
      <c r="Q51" s="1106"/>
      <c r="R51" s="1106"/>
      <c r="S51" s="1106"/>
      <c r="T51" s="1106"/>
      <c r="U51" s="1106"/>
      <c r="V51" s="1106"/>
      <c r="W51" s="1106"/>
      <c r="X51" s="1106"/>
      <c r="Y51" s="1104" t="s">
        <v>5602</v>
      </c>
      <c r="Z51" s="1104" t="s">
        <v>5603</v>
      </c>
      <c r="AA51" s="1104" t="s">
        <v>2757</v>
      </c>
      <c r="AB51" s="1104" t="s">
        <v>2757</v>
      </c>
      <c r="AC51" s="1104" t="s">
        <v>519</v>
      </c>
      <c r="AD51" s="1104" t="s">
        <v>2758</v>
      </c>
      <c r="AE51" s="1178">
        <v>3.3</v>
      </c>
      <c r="AF51" s="1113">
        <f t="shared" si="1"/>
        <v>3.3</v>
      </c>
      <c r="AG51" s="1113">
        <f t="shared" si="2"/>
        <v>0</v>
      </c>
      <c r="AH51" s="1178"/>
      <c r="AI51" s="1104"/>
      <c r="AJ51" s="1104"/>
      <c r="AK51" s="1178">
        <v>2.9</v>
      </c>
      <c r="AL51" s="1104">
        <v>0.879</v>
      </c>
      <c r="AM51" s="1179">
        <v>2.0000000000000001E-4</v>
      </c>
      <c r="AN51" s="1178">
        <v>0.4</v>
      </c>
      <c r="AO51" s="1104">
        <v>0.121</v>
      </c>
      <c r="AP51" s="1178"/>
      <c r="AQ51" s="1104"/>
      <c r="AR51" s="1178"/>
      <c r="AS51" s="1104"/>
      <c r="AT51" s="1104"/>
      <c r="AU51" s="1104"/>
      <c r="AV51" s="1104"/>
      <c r="AW51" s="1104" t="s">
        <v>504</v>
      </c>
      <c r="AX51" s="1104"/>
      <c r="AY51" s="1104"/>
      <c r="AZ51" s="1104"/>
      <c r="BA51" s="1104">
        <v>5</v>
      </c>
      <c r="BB51" s="1104">
        <v>4.0000000000000002E-4</v>
      </c>
      <c r="BC51" s="1104">
        <v>12</v>
      </c>
      <c r="BD51" s="1104">
        <v>12</v>
      </c>
      <c r="BE51" s="1180">
        <v>6</v>
      </c>
      <c r="BF51" s="1104"/>
      <c r="BG51" s="1104"/>
      <c r="BH51" s="1104"/>
      <c r="BI51" s="1104"/>
      <c r="BJ51" s="1104"/>
      <c r="BK51" s="1104"/>
      <c r="BL51" s="1104"/>
      <c r="BM51" s="1104"/>
      <c r="BN51" s="1104">
        <v>2</v>
      </c>
      <c r="BO51" s="1104">
        <v>4</v>
      </c>
      <c r="BP51" s="1104"/>
      <c r="BQ51" s="1104">
        <v>6</v>
      </c>
      <c r="BR51" s="1104"/>
      <c r="BS51" s="1104"/>
      <c r="BT51" s="1104"/>
      <c r="BU51" s="1104"/>
      <c r="BV51" s="1104"/>
      <c r="BW51" s="1104"/>
      <c r="BX51" s="1104"/>
      <c r="BY51" s="1104"/>
      <c r="BZ51" s="1104"/>
      <c r="CA51" s="1104">
        <f t="shared" si="7"/>
        <v>12</v>
      </c>
      <c r="CB51" s="1117">
        <f t="shared" si="3"/>
        <v>12</v>
      </c>
      <c r="CC51" s="1117">
        <f t="shared" si="4"/>
        <v>0</v>
      </c>
      <c r="CD51" s="1104">
        <v>7.93</v>
      </c>
      <c r="CE51" s="1104" t="s">
        <v>2759</v>
      </c>
      <c r="CF51" s="1104"/>
      <c r="CG51" s="1104">
        <v>2.2999999999999998</v>
      </c>
      <c r="CH51" s="1104">
        <v>347.90499999999997</v>
      </c>
      <c r="CI51" s="1104" t="s">
        <v>2760</v>
      </c>
      <c r="CJ51" s="1104" t="s">
        <v>504</v>
      </c>
      <c r="CK51" s="1104"/>
      <c r="CL51" s="1104"/>
      <c r="CM51" s="1104"/>
      <c r="CN51" s="1104"/>
      <c r="CO51" s="1104">
        <v>3</v>
      </c>
      <c r="CP51" s="1104" t="s">
        <v>500</v>
      </c>
      <c r="CQ51" s="1104" t="s">
        <v>2761</v>
      </c>
      <c r="CR51" s="1104">
        <v>1605</v>
      </c>
      <c r="CS51" s="1104" t="s">
        <v>500</v>
      </c>
      <c r="CT51" s="1104" t="s">
        <v>2762</v>
      </c>
      <c r="CU51" s="1104">
        <v>747</v>
      </c>
      <c r="CV51" s="1104" t="s">
        <v>504</v>
      </c>
      <c r="CW51" s="1104"/>
      <c r="CX51" s="1104"/>
      <c r="CY51" s="1104" t="s">
        <v>504</v>
      </c>
      <c r="CZ51" s="1104"/>
      <c r="DA51" s="1104"/>
      <c r="DB51" s="1104" t="s">
        <v>504</v>
      </c>
      <c r="DC51" s="1104"/>
      <c r="DD51" s="1104"/>
      <c r="DE51" s="1104" t="s">
        <v>504</v>
      </c>
      <c r="DF51" s="1104"/>
      <c r="DG51" s="1104"/>
      <c r="DH51" s="1104" t="s">
        <v>504</v>
      </c>
      <c r="DI51" s="1104"/>
      <c r="DJ51" s="1104"/>
      <c r="DK51" s="1104"/>
      <c r="DL51" s="1104"/>
      <c r="DM51" s="1104"/>
      <c r="DN51" s="1104" t="s">
        <v>504</v>
      </c>
      <c r="DO51" s="1104"/>
      <c r="DP51" s="1104"/>
      <c r="DQ51" s="1104" t="s">
        <v>500</v>
      </c>
      <c r="DR51" s="1104" t="s">
        <v>2018</v>
      </c>
      <c r="DS51" s="1104">
        <v>526</v>
      </c>
      <c r="DT51" s="1104" t="s">
        <v>500</v>
      </c>
      <c r="DU51" s="1104" t="s">
        <v>2763</v>
      </c>
      <c r="DV51" s="1104">
        <v>221</v>
      </c>
      <c r="DW51" s="1104" t="s">
        <v>504</v>
      </c>
      <c r="DX51" s="1104"/>
      <c r="DY51" s="1104"/>
      <c r="DZ51" s="1104" t="s">
        <v>504</v>
      </c>
      <c r="EA51" s="1104"/>
      <c r="EB51" s="1104"/>
      <c r="EC51" s="1104" t="s">
        <v>504</v>
      </c>
      <c r="ED51" s="1104"/>
      <c r="EE51" s="1104"/>
      <c r="EF51" s="1104" t="s">
        <v>504</v>
      </c>
      <c r="EG51" s="1104"/>
      <c r="EH51" s="1104"/>
      <c r="EI51" s="1104"/>
      <c r="EJ51" s="1104"/>
      <c r="EK51" s="1104"/>
      <c r="EL51" s="1104"/>
      <c r="EM51" s="1104"/>
      <c r="EN51" s="1104"/>
      <c r="EO51" s="1104" t="s">
        <v>504</v>
      </c>
      <c r="EP51" s="1104"/>
      <c r="EQ51" s="1104" t="s">
        <v>2764</v>
      </c>
      <c r="ER51" s="1104" t="s">
        <v>2765</v>
      </c>
      <c r="ES51" s="1104"/>
      <c r="ET51" s="1104" t="s">
        <v>2765</v>
      </c>
      <c r="EU51" s="1104" t="s">
        <v>2764</v>
      </c>
      <c r="EV51" s="1104" t="s">
        <v>2766</v>
      </c>
      <c r="EW51" s="1104">
        <v>59</v>
      </c>
      <c r="EX51" s="1104">
        <v>1180</v>
      </c>
    </row>
    <row r="52" spans="3:154" ht="93.95" customHeight="1" x14ac:dyDescent="0.2">
      <c r="C52" s="1156" t="s">
        <v>693</v>
      </c>
      <c r="D52" s="1156" t="s">
        <v>5278</v>
      </c>
      <c r="E52" s="1104" t="s">
        <v>310</v>
      </c>
      <c r="F52" s="1104" t="s">
        <v>395</v>
      </c>
      <c r="G52" s="1109" t="s">
        <v>2767</v>
      </c>
      <c r="H52" s="1109" t="s">
        <v>2768</v>
      </c>
      <c r="I52" s="1109" t="s">
        <v>2768</v>
      </c>
      <c r="J52" s="1110" t="s">
        <v>2769</v>
      </c>
      <c r="K52" s="1105">
        <v>43891</v>
      </c>
      <c r="L52" s="1105">
        <v>44165</v>
      </c>
      <c r="M52" s="1369">
        <f t="shared" si="5"/>
        <v>274</v>
      </c>
      <c r="N52" s="1105"/>
      <c r="O52" s="1105"/>
      <c r="P52" s="1105"/>
      <c r="Q52" s="1105"/>
      <c r="R52" s="1105"/>
      <c r="S52" s="1105"/>
      <c r="T52" s="1105"/>
      <c r="U52" s="1105"/>
      <c r="V52" s="1105"/>
      <c r="W52" s="1105"/>
      <c r="X52" s="1105"/>
      <c r="Y52" s="1105" t="s">
        <v>2772</v>
      </c>
      <c r="Z52" s="1127" t="s">
        <v>2773</v>
      </c>
      <c r="AA52" s="1109" t="s">
        <v>2774</v>
      </c>
      <c r="AB52" s="1109" t="s">
        <v>2774</v>
      </c>
      <c r="AC52" s="1109" t="s">
        <v>2135</v>
      </c>
      <c r="AD52" s="1109" t="s">
        <v>2775</v>
      </c>
      <c r="AE52" s="1112">
        <v>1.087</v>
      </c>
      <c r="AF52" s="1113">
        <f t="shared" si="1"/>
        <v>1.087</v>
      </c>
      <c r="AG52" s="1113">
        <f t="shared" si="2"/>
        <v>0</v>
      </c>
      <c r="AH52" s="1112"/>
      <c r="AI52" s="1138"/>
      <c r="AJ52" s="1138"/>
      <c r="AK52" s="1112">
        <v>0.96699999999999997</v>
      </c>
      <c r="AL52" s="1138">
        <v>88.96</v>
      </c>
      <c r="AM52" s="1138" t="s">
        <v>2776</v>
      </c>
      <c r="AN52" s="1112" t="s">
        <v>2777</v>
      </c>
      <c r="AO52" s="1138" t="s">
        <v>2778</v>
      </c>
      <c r="AP52" s="1112" t="s">
        <v>2777</v>
      </c>
      <c r="AQ52" s="1138" t="s">
        <v>2778</v>
      </c>
      <c r="AR52" s="1112"/>
      <c r="AS52" s="1138"/>
      <c r="AT52" s="1138"/>
      <c r="AU52" s="1138"/>
      <c r="AV52" s="1138"/>
      <c r="AW52" s="1138" t="s">
        <v>504</v>
      </c>
      <c r="AX52" s="1138"/>
      <c r="AY52" s="1114"/>
      <c r="AZ52" s="1114"/>
      <c r="BA52" s="1204">
        <v>1.127</v>
      </c>
      <c r="BB52" s="1138">
        <v>0.4</v>
      </c>
      <c r="BC52" s="1091">
        <v>5</v>
      </c>
      <c r="BD52" s="1115">
        <v>1</v>
      </c>
      <c r="BE52" s="1116">
        <v>1</v>
      </c>
      <c r="BF52" s="1115"/>
      <c r="BG52" s="1115"/>
      <c r="BH52" s="1115"/>
      <c r="BI52" s="1115"/>
      <c r="BJ52" s="1115"/>
      <c r="BK52" s="1115"/>
      <c r="BL52" s="1115"/>
      <c r="BM52" s="1115"/>
      <c r="BN52" s="1115">
        <v>1</v>
      </c>
      <c r="BO52" s="1115"/>
      <c r="BP52" s="1115"/>
      <c r="BQ52" s="1115"/>
      <c r="BR52" s="1115"/>
      <c r="BS52" s="1115"/>
      <c r="BT52" s="1115"/>
      <c r="BU52" s="1115"/>
      <c r="BV52" s="1115"/>
      <c r="BW52" s="1115"/>
      <c r="BX52" s="1115"/>
      <c r="BY52" s="1115"/>
      <c r="BZ52" s="1115"/>
      <c r="CA52" s="1117">
        <v>1</v>
      </c>
      <c r="CB52" s="1117">
        <f t="shared" si="3"/>
        <v>1</v>
      </c>
      <c r="CC52" s="1117">
        <f t="shared" si="4"/>
        <v>0</v>
      </c>
      <c r="CD52" s="1115">
        <v>4</v>
      </c>
      <c r="CE52" s="1113" t="s">
        <v>504</v>
      </c>
      <c r="CF52" s="1109"/>
      <c r="CG52" s="1109">
        <v>16</v>
      </c>
      <c r="CH52" s="1115">
        <v>26</v>
      </c>
      <c r="CI52" s="1127" t="s">
        <v>2779</v>
      </c>
      <c r="CJ52" s="1114" t="s">
        <v>504</v>
      </c>
      <c r="CK52" s="1114"/>
      <c r="CL52" s="1109"/>
      <c r="CM52" s="1109"/>
      <c r="CN52" s="1115">
        <v>7</v>
      </c>
      <c r="CO52" s="1115">
        <v>8</v>
      </c>
      <c r="CP52" s="1115" t="s">
        <v>500</v>
      </c>
      <c r="CQ52" s="1109" t="s">
        <v>2780</v>
      </c>
      <c r="CR52" s="1109">
        <v>115</v>
      </c>
      <c r="CS52" s="1115" t="s">
        <v>500</v>
      </c>
      <c r="CT52" s="1109" t="s">
        <v>2781</v>
      </c>
      <c r="CU52" s="1109">
        <v>197</v>
      </c>
      <c r="CV52" s="1115" t="s">
        <v>504</v>
      </c>
      <c r="CW52" s="1115"/>
      <c r="CX52" s="1115"/>
      <c r="CY52" s="1115" t="s">
        <v>504</v>
      </c>
      <c r="CZ52" s="1115"/>
      <c r="DA52" s="1115"/>
      <c r="DB52" s="1115" t="s">
        <v>504</v>
      </c>
      <c r="DC52" s="1109"/>
      <c r="DD52" s="1109"/>
      <c r="DE52" s="1115" t="s">
        <v>504</v>
      </c>
      <c r="DF52" s="1109"/>
      <c r="DG52" s="1109"/>
      <c r="DH52" s="1115" t="s">
        <v>504</v>
      </c>
      <c r="DI52" s="1109"/>
      <c r="DJ52" s="1109"/>
      <c r="DK52" s="1115" t="s">
        <v>504</v>
      </c>
      <c r="DL52" s="1109"/>
      <c r="DM52" s="1109"/>
      <c r="DN52" s="1115" t="s">
        <v>504</v>
      </c>
      <c r="DO52" s="1109"/>
      <c r="DP52" s="1109"/>
      <c r="DQ52" s="1115" t="s">
        <v>504</v>
      </c>
      <c r="DR52" s="1109"/>
      <c r="DS52" s="1109"/>
      <c r="DT52" s="1115" t="s">
        <v>504</v>
      </c>
      <c r="DU52" s="1115"/>
      <c r="DV52" s="1115"/>
      <c r="DW52" s="1115" t="s">
        <v>504</v>
      </c>
      <c r="DX52" s="1109"/>
      <c r="DY52" s="1109"/>
      <c r="DZ52" s="1115" t="s">
        <v>504</v>
      </c>
      <c r="EA52" s="1109"/>
      <c r="EB52" s="1109"/>
      <c r="EC52" s="1115" t="s">
        <v>504</v>
      </c>
      <c r="ED52" s="1109"/>
      <c r="EE52" s="1109"/>
      <c r="EF52" s="1115" t="s">
        <v>504</v>
      </c>
      <c r="EG52" s="1115"/>
      <c r="EH52" s="1115"/>
      <c r="EI52" s="1115" t="s">
        <v>504</v>
      </c>
      <c r="EJ52" s="1109"/>
      <c r="EK52" s="1109"/>
      <c r="EL52" s="1109"/>
      <c r="EM52" s="1109"/>
      <c r="EN52" s="1109"/>
      <c r="EO52" s="1115" t="s">
        <v>504</v>
      </c>
      <c r="EP52" s="1109"/>
      <c r="EQ52" s="1109"/>
      <c r="ER52" s="1109"/>
      <c r="ES52" s="1109"/>
      <c r="ET52" s="1109" t="s">
        <v>2783</v>
      </c>
      <c r="EU52" s="1109"/>
      <c r="EV52" s="1109"/>
      <c r="EW52" s="1109"/>
      <c r="EX52" s="1109"/>
    </row>
    <row r="53" spans="3:154" ht="93.95" customHeight="1" x14ac:dyDescent="0.2">
      <c r="C53" s="1156" t="s">
        <v>693</v>
      </c>
      <c r="D53" s="1156" t="s">
        <v>5278</v>
      </c>
      <c r="E53" s="1104" t="s">
        <v>310</v>
      </c>
      <c r="F53" s="1104" t="s">
        <v>395</v>
      </c>
      <c r="G53" s="1109" t="s">
        <v>2784</v>
      </c>
      <c r="H53" s="1109" t="s">
        <v>2785</v>
      </c>
      <c r="I53" s="1109"/>
      <c r="J53" s="1110" t="s">
        <v>2786</v>
      </c>
      <c r="K53" s="1105">
        <v>43637</v>
      </c>
      <c r="L53" s="1105">
        <v>44196</v>
      </c>
      <c r="M53" s="1369">
        <f t="shared" si="5"/>
        <v>559</v>
      </c>
      <c r="N53" s="1105"/>
      <c r="O53" s="1105"/>
      <c r="P53" s="1105"/>
      <c r="Q53" s="1105"/>
      <c r="R53" s="1105"/>
      <c r="S53" s="1105"/>
      <c r="T53" s="1105"/>
      <c r="U53" s="1105"/>
      <c r="V53" s="1105"/>
      <c r="W53" s="1105"/>
      <c r="X53" s="1105"/>
      <c r="Y53" s="1109" t="s">
        <v>2787</v>
      </c>
      <c r="Z53" s="1127" t="s">
        <v>2788</v>
      </c>
      <c r="AA53" s="1109" t="s">
        <v>2789</v>
      </c>
      <c r="AB53" s="1109" t="s">
        <v>2789</v>
      </c>
      <c r="AC53" s="1109" t="s">
        <v>2790</v>
      </c>
      <c r="AD53" s="1109" t="s">
        <v>2789</v>
      </c>
      <c r="AE53" s="1112">
        <v>6.9249999999999998</v>
      </c>
      <c r="AF53" s="1113">
        <f t="shared" si="1"/>
        <v>6.9249999999999998</v>
      </c>
      <c r="AG53" s="1113">
        <f t="shared" si="2"/>
        <v>0</v>
      </c>
      <c r="AH53" s="1112"/>
      <c r="AI53" s="1113"/>
      <c r="AJ53" s="1113"/>
      <c r="AK53" s="1112">
        <v>3.4249999999999998</v>
      </c>
      <c r="AL53" s="1114">
        <v>0.49459999999999998</v>
      </c>
      <c r="AM53" s="1114">
        <v>6.4999999999999997E-3</v>
      </c>
      <c r="AN53" s="1112">
        <v>3.5</v>
      </c>
      <c r="AO53" s="1114">
        <v>0.50539999999999996</v>
      </c>
      <c r="AP53" s="1112"/>
      <c r="AQ53" s="1114"/>
      <c r="AR53" s="1112"/>
      <c r="AS53" s="1114"/>
      <c r="AT53" s="1114"/>
      <c r="AU53" s="1114"/>
      <c r="AV53" s="1114"/>
      <c r="AW53" s="1114" t="s">
        <v>504</v>
      </c>
      <c r="AX53" s="1114" t="s">
        <v>2791</v>
      </c>
      <c r="AY53" s="1113">
        <v>6.9249999999999998</v>
      </c>
      <c r="AZ53" s="1114" t="s">
        <v>2792</v>
      </c>
      <c r="BA53" s="1113">
        <v>14.302</v>
      </c>
      <c r="BB53" s="1114">
        <v>0.13200000000000001</v>
      </c>
      <c r="BC53" s="1115">
        <v>5</v>
      </c>
      <c r="BD53" s="1115">
        <v>5</v>
      </c>
      <c r="BE53" s="1116">
        <v>5</v>
      </c>
      <c r="BF53" s="1115">
        <v>5</v>
      </c>
      <c r="BG53" s="1115"/>
      <c r="BH53" s="1115"/>
      <c r="BI53" s="1115"/>
      <c r="BJ53" s="1115"/>
      <c r="BK53" s="1115"/>
      <c r="BL53" s="1115"/>
      <c r="BM53" s="1115"/>
      <c r="BN53" s="1115"/>
      <c r="BO53" s="1115"/>
      <c r="BP53" s="1115"/>
      <c r="BQ53" s="1115"/>
      <c r="BR53" s="1115"/>
      <c r="BS53" s="1115"/>
      <c r="BT53" s="1115"/>
      <c r="BU53" s="1115"/>
      <c r="BV53" s="1115"/>
      <c r="BW53" s="1115"/>
      <c r="BX53" s="1115"/>
      <c r="BY53" s="1115"/>
      <c r="BZ53" s="1115"/>
      <c r="CA53" s="1117">
        <f>SUM(BF53:BZ53)</f>
        <v>5</v>
      </c>
      <c r="CB53" s="1117">
        <f t="shared" si="3"/>
        <v>5</v>
      </c>
      <c r="CC53" s="1117">
        <f t="shared" si="4"/>
        <v>0</v>
      </c>
      <c r="CD53" s="1113">
        <f>0.042+0.031+0.015</f>
        <v>8.8000000000000009E-2</v>
      </c>
      <c r="CE53" s="1109"/>
      <c r="CF53" s="1109"/>
      <c r="CG53" s="1109">
        <v>0.85</v>
      </c>
      <c r="CH53" s="1113">
        <v>10.337</v>
      </c>
      <c r="CI53" s="1127" t="s">
        <v>2793</v>
      </c>
      <c r="CJ53" s="1109" t="s">
        <v>504</v>
      </c>
      <c r="CK53" s="1109"/>
      <c r="CL53" s="1109"/>
      <c r="CM53" s="1115"/>
      <c r="CN53" s="1115"/>
      <c r="CO53" s="1115"/>
      <c r="CP53" s="1109" t="s">
        <v>500</v>
      </c>
      <c r="CQ53" s="1109" t="s">
        <v>2794</v>
      </c>
      <c r="CR53" s="1115">
        <v>50</v>
      </c>
      <c r="CS53" s="1109" t="s">
        <v>500</v>
      </c>
      <c r="CT53" s="1109" t="s">
        <v>581</v>
      </c>
      <c r="CU53" s="1115">
        <v>88</v>
      </c>
      <c r="CV53" s="1115" t="s">
        <v>504</v>
      </c>
      <c r="CW53" s="1115"/>
      <c r="CX53" s="1115"/>
      <c r="CY53" s="1115" t="s">
        <v>504</v>
      </c>
      <c r="CZ53" s="1115"/>
      <c r="DA53" s="1115"/>
      <c r="DB53" s="1109" t="s">
        <v>504</v>
      </c>
      <c r="DC53" s="1109"/>
      <c r="DD53" s="1115"/>
      <c r="DE53" s="1109" t="s">
        <v>504</v>
      </c>
      <c r="DF53" s="1109"/>
      <c r="DG53" s="1115"/>
      <c r="DH53" s="1109" t="s">
        <v>504</v>
      </c>
      <c r="DI53" s="1109"/>
      <c r="DJ53" s="1115"/>
      <c r="DK53" s="1109"/>
      <c r="DL53" s="1109"/>
      <c r="DM53" s="1115"/>
      <c r="DN53" s="1109" t="s">
        <v>504</v>
      </c>
      <c r="DO53" s="1109"/>
      <c r="DP53" s="1115"/>
      <c r="DQ53" s="1109" t="s">
        <v>500</v>
      </c>
      <c r="DR53" s="1109" t="s">
        <v>581</v>
      </c>
      <c r="DS53" s="1115">
        <v>88</v>
      </c>
      <c r="DT53" s="1115" t="s">
        <v>504</v>
      </c>
      <c r="DU53" s="1115"/>
      <c r="DV53" s="1115"/>
      <c r="DW53" s="1109" t="s">
        <v>504</v>
      </c>
      <c r="DX53" s="1109"/>
      <c r="DY53" s="1115"/>
      <c r="DZ53" s="1109" t="s">
        <v>504</v>
      </c>
      <c r="EA53" s="1109"/>
      <c r="EB53" s="1115"/>
      <c r="EC53" s="1109" t="s">
        <v>500</v>
      </c>
      <c r="ED53" s="1109"/>
      <c r="EE53" s="1115">
        <v>5</v>
      </c>
      <c r="EF53" s="1115" t="s">
        <v>504</v>
      </c>
      <c r="EG53" s="1115"/>
      <c r="EH53" s="1115"/>
      <c r="EI53" s="1109"/>
      <c r="EJ53" s="1109"/>
      <c r="EK53" s="1115"/>
      <c r="EL53" s="1115"/>
      <c r="EM53" s="1115"/>
      <c r="EN53" s="1115"/>
      <c r="EO53" s="1109" t="s">
        <v>504</v>
      </c>
      <c r="EP53" s="1109"/>
      <c r="EQ53" s="1127" t="s">
        <v>2795</v>
      </c>
      <c r="ER53" s="1127" t="s">
        <v>2796</v>
      </c>
      <c r="ES53" s="1109"/>
      <c r="ET53" s="1109" t="s">
        <v>2797</v>
      </c>
      <c r="EU53" s="1109"/>
      <c r="EV53" s="1109"/>
      <c r="EW53" s="1109" t="s">
        <v>2798</v>
      </c>
      <c r="EX53" s="1109"/>
    </row>
    <row r="54" spans="3:154" ht="93.95" customHeight="1" x14ac:dyDescent="0.2">
      <c r="C54" s="1156" t="s">
        <v>693</v>
      </c>
      <c r="D54" s="1156" t="s">
        <v>5278</v>
      </c>
      <c r="E54" s="1104" t="s">
        <v>310</v>
      </c>
      <c r="F54" s="1104" t="s">
        <v>395</v>
      </c>
      <c r="G54" s="1109" t="s">
        <v>2799</v>
      </c>
      <c r="H54" s="1109" t="s">
        <v>2800</v>
      </c>
      <c r="I54" s="1109" t="s">
        <v>2801</v>
      </c>
      <c r="J54" s="1110">
        <v>2019</v>
      </c>
      <c r="K54" s="1105">
        <v>43956</v>
      </c>
      <c r="L54" s="1105">
        <v>44196</v>
      </c>
      <c r="M54" s="1369">
        <f t="shared" si="5"/>
        <v>240</v>
      </c>
      <c r="N54" s="1105"/>
      <c r="O54" s="1105"/>
      <c r="P54" s="1105"/>
      <c r="Q54" s="1105"/>
      <c r="R54" s="1105"/>
      <c r="S54" s="1105"/>
      <c r="T54" s="1105"/>
      <c r="U54" s="1105"/>
      <c r="V54" s="1105"/>
      <c r="W54" s="1105"/>
      <c r="X54" s="1105"/>
      <c r="Y54" s="1109" t="s">
        <v>2803</v>
      </c>
      <c r="Z54" s="1131" t="s">
        <v>2804</v>
      </c>
      <c r="AA54" s="1109" t="s">
        <v>2805</v>
      </c>
      <c r="AB54" s="1109" t="s">
        <v>2805</v>
      </c>
      <c r="AC54" s="1109" t="s">
        <v>2135</v>
      </c>
      <c r="AD54" s="1109" t="s">
        <v>2806</v>
      </c>
      <c r="AE54" s="1112">
        <v>2.339</v>
      </c>
      <c r="AF54" s="1113">
        <f t="shared" si="1"/>
        <v>2.3393999999999999</v>
      </c>
      <c r="AG54" s="1113">
        <f t="shared" si="2"/>
        <v>3.9999999999995595E-4</v>
      </c>
      <c r="AH54" s="1112"/>
      <c r="AI54" s="1109"/>
      <c r="AJ54" s="1109"/>
      <c r="AK54" s="1112">
        <v>2.1579999999999999</v>
      </c>
      <c r="AL54" s="1205">
        <v>92.26</v>
      </c>
      <c r="AM54" s="1114">
        <v>8.9999999999999998E-4</v>
      </c>
      <c r="AN54" s="1112">
        <v>0.13200000000000001</v>
      </c>
      <c r="AO54" s="1205">
        <v>5.64</v>
      </c>
      <c r="AP54" s="1112">
        <v>4.9399999999999999E-2</v>
      </c>
      <c r="AQ54" s="1205">
        <v>2.1</v>
      </c>
      <c r="AR54" s="1112"/>
      <c r="AS54" s="1205"/>
      <c r="AT54" s="1205"/>
      <c r="AU54" s="1205"/>
      <c r="AV54" s="1205"/>
      <c r="AW54" s="1114" t="s">
        <v>656</v>
      </c>
      <c r="AX54" s="1114" t="s">
        <v>2807</v>
      </c>
      <c r="AY54" s="1112">
        <v>0.191</v>
      </c>
      <c r="AZ54" s="1162"/>
      <c r="BA54" s="1116"/>
      <c r="BB54" s="1113"/>
      <c r="BC54" s="1116">
        <v>6</v>
      </c>
      <c r="BD54" s="1115">
        <v>6</v>
      </c>
      <c r="BE54" s="1116">
        <v>6</v>
      </c>
      <c r="BF54" s="1115"/>
      <c r="BG54" s="1115">
        <v>3</v>
      </c>
      <c r="BH54" s="1115"/>
      <c r="BI54" s="1115"/>
      <c r="BJ54" s="1115"/>
      <c r="BK54" s="1115"/>
      <c r="BL54" s="1115"/>
      <c r="BM54" s="1115"/>
      <c r="BN54" s="1115"/>
      <c r="BO54" s="1115"/>
      <c r="BP54" s="1115"/>
      <c r="BQ54" s="1115"/>
      <c r="BR54" s="1115">
        <v>3</v>
      </c>
      <c r="BS54" s="1115"/>
      <c r="BT54" s="1115"/>
      <c r="BU54" s="1115"/>
      <c r="BV54" s="1115"/>
      <c r="BW54" s="1115"/>
      <c r="BX54" s="1115"/>
      <c r="BY54" s="1115"/>
      <c r="BZ54" s="1115"/>
      <c r="CA54" s="1115">
        <f>SUM(BF54:BZ54)</f>
        <v>6</v>
      </c>
      <c r="CB54" s="1117">
        <f t="shared" si="3"/>
        <v>6</v>
      </c>
      <c r="CC54" s="1117">
        <f t="shared" si="4"/>
        <v>0</v>
      </c>
      <c r="CD54" s="1113">
        <v>9.7509999999999994</v>
      </c>
      <c r="CE54" s="1113" t="s">
        <v>2808</v>
      </c>
      <c r="CF54" s="1109"/>
      <c r="CG54" s="1116">
        <v>19.399999999999999</v>
      </c>
      <c r="CH54" s="1109">
        <v>50.171999999999997</v>
      </c>
      <c r="CI54" s="1206" t="s">
        <v>2809</v>
      </c>
      <c r="CJ54" s="1114" t="s">
        <v>504</v>
      </c>
      <c r="CK54" s="1109"/>
      <c r="CL54" s="1109"/>
      <c r="CM54" s="1109"/>
      <c r="CN54" s="1115"/>
      <c r="CO54" s="1115"/>
      <c r="CP54" s="1115" t="s">
        <v>656</v>
      </c>
      <c r="CQ54" s="1109"/>
      <c r="CR54" s="1109"/>
      <c r="CS54" s="1115" t="s">
        <v>656</v>
      </c>
      <c r="CT54" s="1109" t="s">
        <v>2810</v>
      </c>
      <c r="CU54" s="1109">
        <v>364</v>
      </c>
      <c r="CV54" s="1115"/>
      <c r="CW54" s="1115"/>
      <c r="CX54" s="1115"/>
      <c r="CY54" s="1115"/>
      <c r="CZ54" s="1115"/>
      <c r="DA54" s="1115"/>
      <c r="DB54" s="1115"/>
      <c r="DC54" s="1109"/>
      <c r="DD54" s="1109"/>
      <c r="DE54" s="1115"/>
      <c r="DF54" s="1109"/>
      <c r="DG54" s="1109"/>
      <c r="DH54" s="1115"/>
      <c r="DI54" s="1109"/>
      <c r="DJ54" s="1109"/>
      <c r="DK54" s="1115"/>
      <c r="DL54" s="1109"/>
      <c r="DM54" s="1109"/>
      <c r="DN54" s="1115"/>
      <c r="DO54" s="1109"/>
      <c r="DP54" s="1109"/>
      <c r="DQ54" s="1115" t="s">
        <v>656</v>
      </c>
      <c r="DR54" s="1109" t="s">
        <v>2810</v>
      </c>
      <c r="DS54" s="1109">
        <v>364</v>
      </c>
      <c r="DT54" s="1115"/>
      <c r="DU54" s="1115"/>
      <c r="DV54" s="1115"/>
      <c r="DW54" s="1115"/>
      <c r="DX54" s="1109"/>
      <c r="DY54" s="1109"/>
      <c r="DZ54" s="1115"/>
      <c r="EA54" s="1109"/>
      <c r="EB54" s="1109"/>
      <c r="EC54" s="1115"/>
      <c r="ED54" s="1109"/>
      <c r="EE54" s="1109"/>
      <c r="EF54" s="1115"/>
      <c r="EG54" s="1115"/>
      <c r="EH54" s="1115"/>
      <c r="EI54" s="1115"/>
      <c r="EJ54" s="1109"/>
      <c r="EK54" s="1109"/>
      <c r="EL54" s="1109"/>
      <c r="EM54" s="1109"/>
      <c r="EN54" s="1109"/>
      <c r="EO54" s="1115" t="s">
        <v>504</v>
      </c>
      <c r="EP54" s="1109"/>
      <c r="EQ54" s="1131" t="s">
        <v>2811</v>
      </c>
      <c r="ER54" s="1109"/>
      <c r="ES54" s="1109"/>
      <c r="ET54" s="1109" t="s">
        <v>2812</v>
      </c>
      <c r="EU54" s="1109"/>
      <c r="EV54" s="1109"/>
      <c r="EW54" s="1109"/>
      <c r="EX54" s="1109"/>
    </row>
    <row r="55" spans="3:154" x14ac:dyDescent="0.2">
      <c r="C55" s="1156"/>
      <c r="D55" s="1156"/>
      <c r="E55" s="1454" t="s">
        <v>311</v>
      </c>
      <c r="F55" s="1454" t="s">
        <v>396</v>
      </c>
      <c r="G55" s="1454"/>
      <c r="H55" s="1460"/>
      <c r="I55" s="1460"/>
      <c r="J55" s="1460"/>
      <c r="K55" s="1460"/>
      <c r="L55" s="1460"/>
      <c r="M55" s="1369">
        <f t="shared" si="5"/>
        <v>0</v>
      </c>
      <c r="N55" s="1460"/>
      <c r="O55" s="1460"/>
      <c r="P55" s="1460"/>
      <c r="Q55" s="1460"/>
      <c r="R55" s="1460"/>
      <c r="S55" s="1460"/>
      <c r="T55" s="1460"/>
      <c r="U55" s="1460"/>
      <c r="V55" s="1460"/>
      <c r="W55" s="1460"/>
      <c r="X55" s="1460"/>
      <c r="Y55" s="1460"/>
      <c r="Z55" s="1460"/>
      <c r="AA55" s="1460"/>
      <c r="AB55" s="1460"/>
      <c r="AC55" s="1460"/>
      <c r="AD55" s="1460"/>
      <c r="AE55" s="1461"/>
      <c r="AF55" s="1462">
        <f t="shared" si="1"/>
        <v>0</v>
      </c>
      <c r="AG55" s="1462">
        <f t="shared" si="2"/>
        <v>0</v>
      </c>
      <c r="AH55" s="1461"/>
      <c r="AI55" s="1460"/>
      <c r="AJ55" s="1460"/>
      <c r="AK55" s="1461"/>
      <c r="AL55" s="1460"/>
      <c r="AM55" s="1460"/>
      <c r="AN55" s="1461"/>
      <c r="AO55" s="1460"/>
      <c r="AP55" s="1461"/>
      <c r="AQ55" s="1460"/>
      <c r="AR55" s="1461"/>
      <c r="AS55" s="1460"/>
      <c r="AT55" s="1460"/>
      <c r="AU55" s="1460"/>
      <c r="AV55" s="1460"/>
      <c r="AW55" s="1460"/>
      <c r="AX55" s="1460"/>
      <c r="AY55" s="1460"/>
      <c r="AZ55" s="1460"/>
      <c r="BA55" s="1460"/>
      <c r="BB55" s="1460"/>
      <c r="BC55" s="1460"/>
      <c r="BD55" s="1460"/>
      <c r="BE55" s="1463"/>
      <c r="BF55" s="1460"/>
      <c r="BG55" s="1460"/>
      <c r="BH55" s="1460"/>
      <c r="BI55" s="1460"/>
      <c r="BJ55" s="1460"/>
      <c r="BK55" s="1460"/>
      <c r="BL55" s="1460"/>
      <c r="BM55" s="1460"/>
      <c r="BN55" s="1460"/>
      <c r="BO55" s="1460"/>
      <c r="BP55" s="1460"/>
      <c r="BQ55" s="1460"/>
      <c r="BR55" s="1460"/>
      <c r="BS55" s="1460"/>
      <c r="BT55" s="1460"/>
      <c r="BU55" s="1460"/>
      <c r="BV55" s="1460"/>
      <c r="BW55" s="1460"/>
      <c r="BX55" s="1460"/>
      <c r="BY55" s="1460"/>
      <c r="BZ55" s="1460"/>
      <c r="CA55" s="1460"/>
      <c r="CB55" s="1464">
        <f t="shared" si="3"/>
        <v>0</v>
      </c>
      <c r="CC55" s="1464">
        <f t="shared" si="4"/>
        <v>0</v>
      </c>
      <c r="CD55" s="1460"/>
      <c r="CE55" s="1460"/>
      <c r="CF55" s="1460"/>
      <c r="CG55" s="1460"/>
      <c r="CH55" s="1460"/>
      <c r="CI55" s="1460"/>
      <c r="CJ55" s="1460"/>
      <c r="CK55" s="1460"/>
      <c r="CL55" s="1460"/>
      <c r="CM55" s="1460"/>
      <c r="CN55" s="1460"/>
      <c r="CO55" s="1460"/>
      <c r="CP55" s="1460"/>
      <c r="CQ55" s="1460"/>
      <c r="CR55" s="1460"/>
      <c r="CS55" s="1460"/>
      <c r="CT55" s="1460"/>
      <c r="CU55" s="1460"/>
      <c r="CV55" s="1460"/>
      <c r="CW55" s="1460"/>
      <c r="CX55" s="1460"/>
      <c r="CY55" s="1460"/>
      <c r="CZ55" s="1460"/>
      <c r="DA55" s="1460"/>
      <c r="DB55" s="1460"/>
      <c r="DC55" s="1460"/>
      <c r="DD55" s="1460"/>
      <c r="DE55" s="1460"/>
      <c r="DF55" s="1460"/>
      <c r="DG55" s="1460"/>
      <c r="DH55" s="1460"/>
      <c r="DI55" s="1460"/>
      <c r="DJ55" s="1460"/>
      <c r="DK55" s="1460"/>
      <c r="DL55" s="1460"/>
      <c r="DM55" s="1460"/>
      <c r="DN55" s="1460"/>
      <c r="DO55" s="1460"/>
      <c r="DP55" s="1460"/>
      <c r="DQ55" s="1460"/>
      <c r="DR55" s="1460"/>
      <c r="DS55" s="1460"/>
      <c r="DT55" s="1460"/>
      <c r="DU55" s="1460"/>
      <c r="DV55" s="1460"/>
      <c r="DW55" s="1460"/>
      <c r="DX55" s="1460"/>
      <c r="DY55" s="1460"/>
      <c r="DZ55" s="1460"/>
      <c r="EA55" s="1460"/>
      <c r="EB55" s="1460"/>
      <c r="EC55" s="1460"/>
      <c r="ED55" s="1460"/>
      <c r="EE55" s="1460"/>
      <c r="EF55" s="1460"/>
      <c r="EG55" s="1460"/>
      <c r="EH55" s="1460"/>
      <c r="EI55" s="1460"/>
      <c r="EJ55" s="1460"/>
      <c r="EK55" s="1460"/>
      <c r="EL55" s="1460"/>
      <c r="EM55" s="1460"/>
      <c r="EN55" s="1460"/>
      <c r="EO55" s="1460"/>
      <c r="EP55" s="1460"/>
      <c r="EQ55" s="1460"/>
      <c r="ER55" s="1460"/>
      <c r="ES55" s="1460"/>
      <c r="ET55" s="1460"/>
      <c r="EU55" s="1460"/>
      <c r="EV55" s="1460"/>
      <c r="EW55" s="1460"/>
      <c r="EX55" s="1460"/>
    </row>
    <row r="56" spans="3:154" ht="25.5" x14ac:dyDescent="0.2">
      <c r="C56" s="1156"/>
      <c r="D56" s="1156"/>
      <c r="E56" s="1454" t="s">
        <v>312</v>
      </c>
      <c r="F56" s="1454" t="s">
        <v>397</v>
      </c>
      <c r="G56" s="1454"/>
      <c r="H56" s="1460"/>
      <c r="I56" s="1460"/>
      <c r="J56" s="1460"/>
      <c r="K56" s="1460"/>
      <c r="L56" s="1460"/>
      <c r="M56" s="1369">
        <f t="shared" si="5"/>
        <v>0</v>
      </c>
      <c r="N56" s="1460"/>
      <c r="O56" s="1460"/>
      <c r="P56" s="1460"/>
      <c r="Q56" s="1460"/>
      <c r="R56" s="1460"/>
      <c r="S56" s="1460"/>
      <c r="T56" s="1460"/>
      <c r="U56" s="1460"/>
      <c r="V56" s="1460"/>
      <c r="W56" s="1460"/>
      <c r="X56" s="1460"/>
      <c r="Y56" s="1460"/>
      <c r="Z56" s="1460"/>
      <c r="AA56" s="1460"/>
      <c r="AB56" s="1460"/>
      <c r="AC56" s="1460"/>
      <c r="AD56" s="1460"/>
      <c r="AE56" s="1461"/>
      <c r="AF56" s="1462">
        <f t="shared" si="1"/>
        <v>0</v>
      </c>
      <c r="AG56" s="1462">
        <f t="shared" si="2"/>
        <v>0</v>
      </c>
      <c r="AH56" s="1461"/>
      <c r="AI56" s="1460"/>
      <c r="AJ56" s="1460"/>
      <c r="AK56" s="1461"/>
      <c r="AL56" s="1460"/>
      <c r="AM56" s="1460"/>
      <c r="AN56" s="1461"/>
      <c r="AO56" s="1460"/>
      <c r="AP56" s="1461"/>
      <c r="AQ56" s="1460"/>
      <c r="AR56" s="1461"/>
      <c r="AS56" s="1460"/>
      <c r="AT56" s="1460"/>
      <c r="AU56" s="1460"/>
      <c r="AV56" s="1460"/>
      <c r="AW56" s="1460"/>
      <c r="AX56" s="1460"/>
      <c r="AY56" s="1460"/>
      <c r="AZ56" s="1460"/>
      <c r="BA56" s="1460"/>
      <c r="BB56" s="1460"/>
      <c r="BC56" s="1460"/>
      <c r="BD56" s="1460"/>
      <c r="BE56" s="1463"/>
      <c r="BF56" s="1460"/>
      <c r="BG56" s="1460"/>
      <c r="BH56" s="1460"/>
      <c r="BI56" s="1460"/>
      <c r="BJ56" s="1460"/>
      <c r="BK56" s="1460"/>
      <c r="BL56" s="1460"/>
      <c r="BM56" s="1460"/>
      <c r="BN56" s="1460"/>
      <c r="BO56" s="1460"/>
      <c r="BP56" s="1460"/>
      <c r="BQ56" s="1460"/>
      <c r="BR56" s="1460"/>
      <c r="BS56" s="1460"/>
      <c r="BT56" s="1460"/>
      <c r="BU56" s="1460"/>
      <c r="BV56" s="1460"/>
      <c r="BW56" s="1460"/>
      <c r="BX56" s="1460"/>
      <c r="BY56" s="1460"/>
      <c r="BZ56" s="1460"/>
      <c r="CA56" s="1460"/>
      <c r="CB56" s="1464">
        <f t="shared" si="3"/>
        <v>0</v>
      </c>
      <c r="CC56" s="1464">
        <f t="shared" si="4"/>
        <v>0</v>
      </c>
      <c r="CD56" s="1460"/>
      <c r="CE56" s="1460"/>
      <c r="CF56" s="1460"/>
      <c r="CG56" s="1460"/>
      <c r="CH56" s="1460"/>
      <c r="CI56" s="1460"/>
      <c r="CJ56" s="1460"/>
      <c r="CK56" s="1460"/>
      <c r="CL56" s="1460"/>
      <c r="CM56" s="1460"/>
      <c r="CN56" s="1460"/>
      <c r="CO56" s="1460"/>
      <c r="CP56" s="1460"/>
      <c r="CQ56" s="1460"/>
      <c r="CR56" s="1460"/>
      <c r="CS56" s="1460"/>
      <c r="CT56" s="1460"/>
      <c r="CU56" s="1460"/>
      <c r="CV56" s="1460"/>
      <c r="CW56" s="1460"/>
      <c r="CX56" s="1460"/>
      <c r="CY56" s="1460"/>
      <c r="CZ56" s="1460"/>
      <c r="DA56" s="1460"/>
      <c r="DB56" s="1460"/>
      <c r="DC56" s="1460"/>
      <c r="DD56" s="1460"/>
      <c r="DE56" s="1460"/>
      <c r="DF56" s="1460"/>
      <c r="DG56" s="1460"/>
      <c r="DH56" s="1460"/>
      <c r="DI56" s="1460"/>
      <c r="DJ56" s="1460"/>
      <c r="DK56" s="1460"/>
      <c r="DL56" s="1460"/>
      <c r="DM56" s="1460"/>
      <c r="DN56" s="1460"/>
      <c r="DO56" s="1460"/>
      <c r="DP56" s="1460"/>
      <c r="DQ56" s="1460"/>
      <c r="DR56" s="1460"/>
      <c r="DS56" s="1460"/>
      <c r="DT56" s="1460"/>
      <c r="DU56" s="1460"/>
      <c r="DV56" s="1460"/>
      <c r="DW56" s="1460"/>
      <c r="DX56" s="1460"/>
      <c r="DY56" s="1460"/>
      <c r="DZ56" s="1460"/>
      <c r="EA56" s="1460"/>
      <c r="EB56" s="1460"/>
      <c r="EC56" s="1460"/>
      <c r="ED56" s="1460"/>
      <c r="EE56" s="1460"/>
      <c r="EF56" s="1460"/>
      <c r="EG56" s="1460"/>
      <c r="EH56" s="1460"/>
      <c r="EI56" s="1460"/>
      <c r="EJ56" s="1460"/>
      <c r="EK56" s="1460"/>
      <c r="EL56" s="1460"/>
      <c r="EM56" s="1460"/>
      <c r="EN56" s="1460"/>
      <c r="EO56" s="1460"/>
      <c r="EP56" s="1460"/>
      <c r="EQ56" s="1460"/>
      <c r="ER56" s="1460"/>
      <c r="ES56" s="1460"/>
      <c r="ET56" s="1460"/>
      <c r="EU56" s="1460"/>
      <c r="EV56" s="1460"/>
      <c r="EW56" s="1460"/>
      <c r="EX56" s="1460"/>
    </row>
    <row r="57" spans="3:154" ht="93" customHeight="1" x14ac:dyDescent="0.2">
      <c r="C57" s="1156" t="s">
        <v>693</v>
      </c>
      <c r="D57" s="1156" t="s">
        <v>5277</v>
      </c>
      <c r="E57" s="738" t="s">
        <v>313</v>
      </c>
      <c r="F57" s="738" t="s">
        <v>398</v>
      </c>
      <c r="G57" s="738"/>
      <c r="H57" s="632" t="s">
        <v>2102</v>
      </c>
      <c r="I57" s="632" t="s">
        <v>2103</v>
      </c>
      <c r="J57" s="637">
        <v>2014</v>
      </c>
      <c r="K57" s="377">
        <v>43861</v>
      </c>
      <c r="L57" s="377">
        <v>44196</v>
      </c>
      <c r="M57" s="1369">
        <f t="shared" si="5"/>
        <v>335</v>
      </c>
      <c r="N57" s="632" t="s">
        <v>2104</v>
      </c>
      <c r="O57" s="632" t="s">
        <v>2105</v>
      </c>
      <c r="P57" s="632" t="s">
        <v>2106</v>
      </c>
      <c r="Q57" s="632" t="s">
        <v>2107</v>
      </c>
      <c r="R57" s="661" t="s">
        <v>2108</v>
      </c>
      <c r="S57" s="632" t="s">
        <v>2109</v>
      </c>
      <c r="T57" s="632" t="s">
        <v>465</v>
      </c>
      <c r="U57" s="632" t="s">
        <v>2008</v>
      </c>
      <c r="V57" s="632" t="s">
        <v>465</v>
      </c>
      <c r="W57" s="632" t="s">
        <v>2110</v>
      </c>
      <c r="X57" s="661" t="s">
        <v>2111</v>
      </c>
      <c r="Y57" s="661"/>
      <c r="Z57" s="661"/>
      <c r="AA57" s="632" t="s">
        <v>2112</v>
      </c>
      <c r="AB57" s="632" t="s">
        <v>2112</v>
      </c>
      <c r="AC57" s="632" t="s">
        <v>519</v>
      </c>
      <c r="AD57" s="632" t="s">
        <v>2113</v>
      </c>
      <c r="AE57" s="702">
        <v>86.6</v>
      </c>
      <c r="AF57" s="671">
        <f t="shared" si="1"/>
        <v>86.6</v>
      </c>
      <c r="AG57" s="671">
        <f t="shared" si="2"/>
        <v>0</v>
      </c>
      <c r="AH57" s="702">
        <v>56.1</v>
      </c>
      <c r="AI57" s="683">
        <f>AH57/AE57</f>
        <v>0.64780600461893767</v>
      </c>
      <c r="AJ57" s="683">
        <v>8.0000000000000004E-4</v>
      </c>
      <c r="AK57" s="702">
        <v>20.399999999999999</v>
      </c>
      <c r="AL57" s="683">
        <f>AK57/AE57</f>
        <v>0.23556581986143188</v>
      </c>
      <c r="AM57" s="683"/>
      <c r="AN57" s="702">
        <v>10.1</v>
      </c>
      <c r="AO57" s="683">
        <f>AN57/AE57</f>
        <v>0.11662817551963049</v>
      </c>
      <c r="AP57" s="702"/>
      <c r="AQ57" s="683"/>
      <c r="AR57" s="702"/>
      <c r="AS57" s="683"/>
      <c r="AT57" s="632" t="s">
        <v>465</v>
      </c>
      <c r="AU57" s="632" t="s">
        <v>465</v>
      </c>
      <c r="AV57" s="632" t="s">
        <v>465</v>
      </c>
      <c r="AW57" s="632" t="s">
        <v>504</v>
      </c>
      <c r="AX57" s="632" t="s">
        <v>465</v>
      </c>
      <c r="AY57" s="632" t="s">
        <v>465</v>
      </c>
      <c r="AZ57" s="683" t="s">
        <v>465</v>
      </c>
      <c r="BA57" s="700">
        <v>53.3</v>
      </c>
      <c r="BB57" s="632" t="s">
        <v>465</v>
      </c>
      <c r="BC57" s="710">
        <v>187</v>
      </c>
      <c r="BD57" s="710">
        <v>89</v>
      </c>
      <c r="BE57" s="706">
        <v>84</v>
      </c>
      <c r="BF57" s="710">
        <v>4</v>
      </c>
      <c r="BG57" s="710">
        <v>6</v>
      </c>
      <c r="BH57" s="710">
        <v>11</v>
      </c>
      <c r="BI57" s="710">
        <v>1</v>
      </c>
      <c r="BJ57" s="710">
        <v>1</v>
      </c>
      <c r="BK57" s="710"/>
      <c r="BL57" s="710">
        <v>9</v>
      </c>
      <c r="BM57" s="710">
        <v>9</v>
      </c>
      <c r="BN57" s="710">
        <v>14</v>
      </c>
      <c r="BO57" s="710"/>
      <c r="BP57" s="710">
        <v>8</v>
      </c>
      <c r="BQ57" s="710">
        <v>16</v>
      </c>
      <c r="BR57" s="710">
        <v>2</v>
      </c>
      <c r="BS57" s="710"/>
      <c r="BT57" s="710"/>
      <c r="BU57" s="710"/>
      <c r="BV57" s="710"/>
      <c r="BW57" s="710">
        <v>3</v>
      </c>
      <c r="BX57" s="710">
        <v>0</v>
      </c>
      <c r="BY57" s="710">
        <v>0</v>
      </c>
      <c r="BZ57" s="710"/>
      <c r="CA57" s="717">
        <f>SUM(BF57:BZ57)</f>
        <v>84</v>
      </c>
      <c r="CB57" s="717">
        <f t="shared" si="3"/>
        <v>84</v>
      </c>
      <c r="CC57" s="717">
        <f t="shared" si="4"/>
        <v>0</v>
      </c>
      <c r="CD57" s="671">
        <v>545.6</v>
      </c>
      <c r="CE57" s="632" t="s">
        <v>2116</v>
      </c>
      <c r="CF57" s="632" t="s">
        <v>465</v>
      </c>
      <c r="CG57" s="683">
        <f>CD57/CH57</f>
        <v>0.88845464907995442</v>
      </c>
      <c r="CH57" s="671">
        <v>614.1</v>
      </c>
      <c r="CI57" s="729" t="s">
        <v>2117</v>
      </c>
      <c r="CJ57" s="632" t="s">
        <v>504</v>
      </c>
      <c r="CK57" s="632" t="s">
        <v>465</v>
      </c>
      <c r="CL57" s="632" t="s">
        <v>465</v>
      </c>
      <c r="CM57" s="710" t="s">
        <v>465</v>
      </c>
      <c r="CN57" s="710" t="s">
        <v>465</v>
      </c>
      <c r="CO57" s="710">
        <v>1</v>
      </c>
      <c r="CP57" s="632" t="s">
        <v>656</v>
      </c>
      <c r="CQ57" s="632" t="s">
        <v>2118</v>
      </c>
      <c r="CR57" s="710">
        <v>11467</v>
      </c>
      <c r="CS57" s="632" t="s">
        <v>500</v>
      </c>
      <c r="CT57" s="632" t="s">
        <v>2119</v>
      </c>
      <c r="CU57" s="710">
        <v>386</v>
      </c>
      <c r="CV57" s="710" t="s">
        <v>504</v>
      </c>
      <c r="CW57" s="710" t="s">
        <v>465</v>
      </c>
      <c r="CX57" s="710" t="s">
        <v>465</v>
      </c>
      <c r="CY57" s="710" t="s">
        <v>504</v>
      </c>
      <c r="CZ57" s="710" t="s">
        <v>465</v>
      </c>
      <c r="DA57" s="710" t="s">
        <v>465</v>
      </c>
      <c r="DB57" s="632" t="s">
        <v>504</v>
      </c>
      <c r="DC57" s="632" t="s">
        <v>465</v>
      </c>
      <c r="DD57" s="710" t="s">
        <v>465</v>
      </c>
      <c r="DE57" s="632" t="s">
        <v>500</v>
      </c>
      <c r="DF57" s="632" t="s">
        <v>2120</v>
      </c>
      <c r="DG57" s="710">
        <v>1621</v>
      </c>
      <c r="DH57" s="632" t="s">
        <v>504</v>
      </c>
      <c r="DI57" s="632" t="s">
        <v>465</v>
      </c>
      <c r="DJ57" s="710" t="s">
        <v>465</v>
      </c>
      <c r="DK57" s="632" t="s">
        <v>504</v>
      </c>
      <c r="DL57" s="632" t="s">
        <v>465</v>
      </c>
      <c r="DM57" s="710" t="s">
        <v>465</v>
      </c>
      <c r="DN57" s="632" t="s">
        <v>504</v>
      </c>
      <c r="DO57" s="683" t="s">
        <v>465</v>
      </c>
      <c r="DP57" s="683" t="s">
        <v>465</v>
      </c>
      <c r="DQ57" s="632" t="s">
        <v>500</v>
      </c>
      <c r="DR57" s="632" t="s">
        <v>2121</v>
      </c>
      <c r="DS57" s="710">
        <v>9359</v>
      </c>
      <c r="DT57" s="710" t="s">
        <v>504</v>
      </c>
      <c r="DU57" s="710" t="s">
        <v>465</v>
      </c>
      <c r="DV57" s="710" t="s">
        <v>465</v>
      </c>
      <c r="DW57" s="632" t="s">
        <v>504</v>
      </c>
      <c r="DX57" s="632" t="s">
        <v>465</v>
      </c>
      <c r="DY57" s="710" t="s">
        <v>465</v>
      </c>
      <c r="DZ57" s="632" t="s">
        <v>504</v>
      </c>
      <c r="EA57" s="632" t="s">
        <v>465</v>
      </c>
      <c r="EB57" s="710" t="s">
        <v>465</v>
      </c>
      <c r="EC57" s="632" t="s">
        <v>504</v>
      </c>
      <c r="ED57" s="632" t="s">
        <v>465</v>
      </c>
      <c r="EE57" s="710" t="s">
        <v>465</v>
      </c>
      <c r="EF57" s="632" t="s">
        <v>504</v>
      </c>
      <c r="EG57" s="632" t="s">
        <v>465</v>
      </c>
      <c r="EH57" s="710" t="s">
        <v>465</v>
      </c>
      <c r="EI57" s="632" t="s">
        <v>504</v>
      </c>
      <c r="EJ57" s="632" t="s">
        <v>465</v>
      </c>
      <c r="EK57" s="710" t="s">
        <v>465</v>
      </c>
      <c r="EL57" s="688">
        <v>1</v>
      </c>
      <c r="EM57" s="632" t="s">
        <v>465</v>
      </c>
      <c r="EN57" s="670">
        <v>67</v>
      </c>
      <c r="EO57" s="632" t="s">
        <v>504</v>
      </c>
      <c r="EP57" s="632" t="s">
        <v>465</v>
      </c>
      <c r="EQ57" s="748" t="s">
        <v>2122</v>
      </c>
      <c r="ER57" s="632" t="s">
        <v>2123</v>
      </c>
      <c r="ES57" s="632" t="s">
        <v>504</v>
      </c>
      <c r="ET57" s="632" t="s">
        <v>2124</v>
      </c>
      <c r="EU57" s="632" t="s">
        <v>2125</v>
      </c>
      <c r="EV57" s="632" t="s">
        <v>940</v>
      </c>
      <c r="EW57" s="632"/>
      <c r="EX57" s="632"/>
    </row>
    <row r="58" spans="3:154" ht="114" customHeight="1" x14ac:dyDescent="0.2">
      <c r="C58" s="1156" t="s">
        <v>1423</v>
      </c>
      <c r="D58" s="1156" t="s">
        <v>5277</v>
      </c>
      <c r="E58" s="738" t="s">
        <v>313</v>
      </c>
      <c r="F58" s="738" t="s">
        <v>398</v>
      </c>
      <c r="G58" s="738"/>
      <c r="H58" s="632" t="s">
        <v>2126</v>
      </c>
      <c r="I58" s="632" t="s">
        <v>2127</v>
      </c>
      <c r="J58" s="637">
        <v>2018</v>
      </c>
      <c r="K58" s="377">
        <v>43897</v>
      </c>
      <c r="L58" s="377">
        <v>44196</v>
      </c>
      <c r="M58" s="1369">
        <f t="shared" si="5"/>
        <v>299</v>
      </c>
      <c r="N58" s="632" t="s">
        <v>2104</v>
      </c>
      <c r="O58" s="632" t="s">
        <v>2129</v>
      </c>
      <c r="P58" s="632" t="s">
        <v>2130</v>
      </c>
      <c r="Q58" s="632" t="s">
        <v>2131</v>
      </c>
      <c r="R58" s="661" t="s">
        <v>2132</v>
      </c>
      <c r="S58" s="632" t="s">
        <v>2109</v>
      </c>
      <c r="T58" s="632" t="s">
        <v>465</v>
      </c>
      <c r="U58" s="632" t="s">
        <v>2008</v>
      </c>
      <c r="V58" s="632" t="s">
        <v>465</v>
      </c>
      <c r="W58" s="632" t="s">
        <v>2133</v>
      </c>
      <c r="X58" s="1186" t="s">
        <v>2134</v>
      </c>
      <c r="Y58" s="1186"/>
      <c r="Z58" s="1186"/>
      <c r="AA58" s="632" t="s">
        <v>2112</v>
      </c>
      <c r="AB58" s="632" t="s">
        <v>2112</v>
      </c>
      <c r="AC58" s="632" t="s">
        <v>2135</v>
      </c>
      <c r="AD58" s="632" t="s">
        <v>2113</v>
      </c>
      <c r="AE58" s="702">
        <v>32.200000000000003</v>
      </c>
      <c r="AF58" s="671">
        <f t="shared" si="1"/>
        <v>32.200000000000003</v>
      </c>
      <c r="AG58" s="671">
        <f t="shared" si="2"/>
        <v>0</v>
      </c>
      <c r="AH58" s="702">
        <v>27.3</v>
      </c>
      <c r="AI58" s="683">
        <f>AH58/AE58</f>
        <v>0.84782608695652173</v>
      </c>
      <c r="AJ58" s="683">
        <v>4.0000000000000002E-4</v>
      </c>
      <c r="AK58" s="702">
        <v>1.5</v>
      </c>
      <c r="AL58" s="683">
        <f>AK58/AE58</f>
        <v>4.6583850931677016E-2</v>
      </c>
      <c r="AM58" s="683"/>
      <c r="AN58" s="702">
        <v>2.4</v>
      </c>
      <c r="AO58" s="683">
        <f>AN58/AE58</f>
        <v>7.4534161490683218E-2</v>
      </c>
      <c r="AP58" s="702">
        <v>1</v>
      </c>
      <c r="AQ58" s="683">
        <f>AP58/AE58</f>
        <v>3.1055900621118009E-2</v>
      </c>
      <c r="AR58" s="702"/>
      <c r="AS58" s="683"/>
      <c r="AT58" s="632" t="s">
        <v>465</v>
      </c>
      <c r="AU58" s="632" t="s">
        <v>465</v>
      </c>
      <c r="AV58" s="632" t="s">
        <v>465</v>
      </c>
      <c r="AW58" s="632" t="s">
        <v>504</v>
      </c>
      <c r="AX58" s="632" t="s">
        <v>465</v>
      </c>
      <c r="AY58" s="632" t="s">
        <v>465</v>
      </c>
      <c r="AZ58" s="683" t="s">
        <v>465</v>
      </c>
      <c r="BA58" s="706">
        <v>70</v>
      </c>
      <c r="BB58" s="683" t="s">
        <v>465</v>
      </c>
      <c r="BC58" s="710">
        <v>216</v>
      </c>
      <c r="BD58" s="710">
        <v>216</v>
      </c>
      <c r="BE58" s="706">
        <v>92</v>
      </c>
      <c r="BF58" s="710">
        <v>9</v>
      </c>
      <c r="BG58" s="710">
        <v>11</v>
      </c>
      <c r="BH58" s="710">
        <v>6</v>
      </c>
      <c r="BI58" s="710">
        <v>4</v>
      </c>
      <c r="BJ58" s="710"/>
      <c r="BK58" s="710"/>
      <c r="BL58" s="710"/>
      <c r="BM58" s="710">
        <v>9</v>
      </c>
      <c r="BN58" s="710">
        <v>10</v>
      </c>
      <c r="BO58" s="710"/>
      <c r="BP58" s="710">
        <v>10</v>
      </c>
      <c r="BQ58" s="710">
        <v>15</v>
      </c>
      <c r="BR58" s="710">
        <v>3</v>
      </c>
      <c r="BS58" s="710"/>
      <c r="BT58" s="710">
        <v>10</v>
      </c>
      <c r="BU58" s="710">
        <v>5</v>
      </c>
      <c r="BV58" s="710"/>
      <c r="BW58" s="710"/>
      <c r="BX58" s="710"/>
      <c r="BY58" s="710"/>
      <c r="BZ58" s="710"/>
      <c r="CA58" s="717">
        <f>SUM(BF58:BZ58)</f>
        <v>92</v>
      </c>
      <c r="CB58" s="717">
        <f t="shared" si="3"/>
        <v>92</v>
      </c>
      <c r="CC58" s="717">
        <f t="shared" si="4"/>
        <v>0</v>
      </c>
      <c r="CD58" s="671">
        <v>91.9</v>
      </c>
      <c r="CE58" s="632" t="s">
        <v>2116</v>
      </c>
      <c r="CF58" s="632" t="s">
        <v>465</v>
      </c>
      <c r="CG58" s="683">
        <f>CD58/CH58</f>
        <v>0.14964989415404659</v>
      </c>
      <c r="CH58" s="671">
        <v>614.1</v>
      </c>
      <c r="CI58" s="729" t="s">
        <v>2117</v>
      </c>
      <c r="CJ58" s="632" t="s">
        <v>504</v>
      </c>
      <c r="CK58" s="632" t="s">
        <v>465</v>
      </c>
      <c r="CL58" s="632" t="s">
        <v>465</v>
      </c>
      <c r="CM58" s="710" t="s">
        <v>465</v>
      </c>
      <c r="CN58" s="710" t="s">
        <v>465</v>
      </c>
      <c r="CO58" s="710">
        <v>1</v>
      </c>
      <c r="CP58" s="710" t="s">
        <v>504</v>
      </c>
      <c r="CQ58" s="710" t="s">
        <v>465</v>
      </c>
      <c r="CR58" s="710" t="s">
        <v>465</v>
      </c>
      <c r="CS58" s="632" t="s">
        <v>500</v>
      </c>
      <c r="CT58" s="632" t="s">
        <v>2119</v>
      </c>
      <c r="CU58" s="710">
        <v>216</v>
      </c>
      <c r="CV58" s="710" t="s">
        <v>504</v>
      </c>
      <c r="CW58" s="710" t="s">
        <v>465</v>
      </c>
      <c r="CX58" s="710" t="s">
        <v>465</v>
      </c>
      <c r="CY58" s="710" t="s">
        <v>504</v>
      </c>
      <c r="CZ58" s="710" t="s">
        <v>465</v>
      </c>
      <c r="DA58" s="710" t="s">
        <v>465</v>
      </c>
      <c r="DB58" s="632" t="s">
        <v>504</v>
      </c>
      <c r="DC58" s="632" t="s">
        <v>465</v>
      </c>
      <c r="DD58" s="710" t="s">
        <v>465</v>
      </c>
      <c r="DE58" s="632" t="s">
        <v>504</v>
      </c>
      <c r="DF58" s="632" t="s">
        <v>465</v>
      </c>
      <c r="DG58" s="710" t="s">
        <v>465</v>
      </c>
      <c r="DH58" s="632" t="s">
        <v>504</v>
      </c>
      <c r="DI58" s="632" t="s">
        <v>465</v>
      </c>
      <c r="DJ58" s="710" t="s">
        <v>465</v>
      </c>
      <c r="DK58" s="632" t="s">
        <v>504</v>
      </c>
      <c r="DL58" s="632" t="s">
        <v>465</v>
      </c>
      <c r="DM58" s="710" t="s">
        <v>465</v>
      </c>
      <c r="DN58" s="632" t="s">
        <v>504</v>
      </c>
      <c r="DO58" s="632" t="s">
        <v>465</v>
      </c>
      <c r="DP58" s="710" t="s">
        <v>465</v>
      </c>
      <c r="DQ58" s="632" t="s">
        <v>500</v>
      </c>
      <c r="DR58" s="632" t="s">
        <v>2121</v>
      </c>
      <c r="DS58" s="710">
        <v>15327</v>
      </c>
      <c r="DT58" s="710" t="s">
        <v>500</v>
      </c>
      <c r="DU58" s="632" t="s">
        <v>2121</v>
      </c>
      <c r="DV58" s="710">
        <v>15327</v>
      </c>
      <c r="DW58" s="632" t="s">
        <v>504</v>
      </c>
      <c r="DX58" s="632" t="s">
        <v>465</v>
      </c>
      <c r="DY58" s="710" t="s">
        <v>465</v>
      </c>
      <c r="DZ58" s="632" t="s">
        <v>504</v>
      </c>
      <c r="EA58" s="632" t="s">
        <v>465</v>
      </c>
      <c r="EB58" s="710" t="s">
        <v>465</v>
      </c>
      <c r="EC58" s="632" t="s">
        <v>504</v>
      </c>
      <c r="ED58" s="632" t="s">
        <v>465</v>
      </c>
      <c r="EE58" s="710" t="s">
        <v>465</v>
      </c>
      <c r="EF58" s="632" t="s">
        <v>504</v>
      </c>
      <c r="EG58" s="632" t="s">
        <v>465</v>
      </c>
      <c r="EH58" s="710" t="s">
        <v>465</v>
      </c>
      <c r="EI58" s="632" t="s">
        <v>504</v>
      </c>
      <c r="EJ58" s="632" t="s">
        <v>465</v>
      </c>
      <c r="EK58" s="710" t="s">
        <v>465</v>
      </c>
      <c r="EL58" s="688" t="s">
        <v>2136</v>
      </c>
      <c r="EM58" s="632" t="s">
        <v>2137</v>
      </c>
      <c r="EN58" s="670">
        <v>46</v>
      </c>
      <c r="EO58" s="632" t="s">
        <v>504</v>
      </c>
      <c r="EP58" s="632" t="s">
        <v>465</v>
      </c>
      <c r="EQ58" s="748" t="s">
        <v>2138</v>
      </c>
      <c r="ER58" s="632" t="s">
        <v>2139</v>
      </c>
      <c r="ES58" s="653" t="s">
        <v>2140</v>
      </c>
      <c r="ET58" s="632" t="s">
        <v>2141</v>
      </c>
      <c r="EU58" s="632" t="s">
        <v>2142</v>
      </c>
      <c r="EV58" s="632" t="s">
        <v>2143</v>
      </c>
      <c r="EW58" s="632">
        <v>5</v>
      </c>
      <c r="EX58" s="632">
        <v>45</v>
      </c>
    </row>
    <row r="59" spans="3:154" ht="105.95" customHeight="1" x14ac:dyDescent="0.2">
      <c r="C59" s="1156" t="s">
        <v>693</v>
      </c>
      <c r="D59" s="1156" t="s">
        <v>5277</v>
      </c>
      <c r="E59" s="738" t="s">
        <v>314</v>
      </c>
      <c r="F59" s="738" t="s">
        <v>399</v>
      </c>
      <c r="G59" s="738"/>
      <c r="H59" s="738" t="s">
        <v>609</v>
      </c>
      <c r="I59" s="738" t="s">
        <v>610</v>
      </c>
      <c r="J59" s="1165">
        <v>2019</v>
      </c>
      <c r="K59" s="377">
        <v>43889</v>
      </c>
      <c r="L59" s="377">
        <v>44190</v>
      </c>
      <c r="M59" s="1369">
        <f t="shared" si="5"/>
        <v>301</v>
      </c>
      <c r="N59" s="738" t="s">
        <v>613</v>
      </c>
      <c r="O59" s="738" t="s">
        <v>614</v>
      </c>
      <c r="P59" s="748" t="s">
        <v>615</v>
      </c>
      <c r="Q59" s="632" t="s">
        <v>504</v>
      </c>
      <c r="R59" s="632" t="s">
        <v>504</v>
      </c>
      <c r="S59" s="738" t="s">
        <v>616</v>
      </c>
      <c r="T59" s="748" t="s">
        <v>617</v>
      </c>
      <c r="U59" s="738" t="s">
        <v>618</v>
      </c>
      <c r="V59" s="748" t="s">
        <v>617</v>
      </c>
      <c r="W59" s="738" t="s">
        <v>619</v>
      </c>
      <c r="X59" s="738" t="s">
        <v>620</v>
      </c>
      <c r="Y59" s="738"/>
      <c r="Z59" s="738"/>
      <c r="AA59" s="738" t="s">
        <v>621</v>
      </c>
      <c r="AB59" s="738" t="s">
        <v>621</v>
      </c>
      <c r="AC59" s="738" t="s">
        <v>622</v>
      </c>
      <c r="AD59" s="632" t="s">
        <v>623</v>
      </c>
      <c r="AE59" s="702">
        <v>161.30000000000001</v>
      </c>
      <c r="AF59" s="671">
        <f t="shared" si="1"/>
        <v>161.29999999999998</v>
      </c>
      <c r="AG59" s="671">
        <f t="shared" si="2"/>
        <v>0</v>
      </c>
      <c r="AH59" s="702">
        <v>101.6</v>
      </c>
      <c r="AI59" s="683">
        <v>0.62990000000000002</v>
      </c>
      <c r="AJ59" s="683">
        <v>1E-3</v>
      </c>
      <c r="AK59" s="702">
        <v>44.5</v>
      </c>
      <c r="AL59" s="683">
        <v>0.27589999999999998</v>
      </c>
      <c r="AM59" s="683"/>
      <c r="AN59" s="702">
        <v>6.7</v>
      </c>
      <c r="AO59" s="683">
        <v>4.1500000000000002E-2</v>
      </c>
      <c r="AP59" s="702">
        <v>8.5</v>
      </c>
      <c r="AQ59" s="683">
        <v>5.2699999999999997E-2</v>
      </c>
      <c r="AR59" s="702">
        <v>0</v>
      </c>
      <c r="AS59" s="683">
        <v>0</v>
      </c>
      <c r="AT59" s="632" t="s">
        <v>504</v>
      </c>
      <c r="AU59" s="632" t="s">
        <v>504</v>
      </c>
      <c r="AV59" s="632" t="s">
        <v>504</v>
      </c>
      <c r="AW59" s="632" t="s">
        <v>504</v>
      </c>
      <c r="AX59" s="632" t="s">
        <v>504</v>
      </c>
      <c r="AY59" s="632">
        <v>0</v>
      </c>
      <c r="AZ59" s="683">
        <v>0</v>
      </c>
      <c r="BA59" s="1207">
        <v>125</v>
      </c>
      <c r="BB59" s="683">
        <v>6.9999999999999999E-4</v>
      </c>
      <c r="BC59" s="710">
        <v>327</v>
      </c>
      <c r="BD59" s="710">
        <v>142</v>
      </c>
      <c r="BE59" s="706">
        <v>142</v>
      </c>
      <c r="BF59" s="710">
        <v>0</v>
      </c>
      <c r="BG59" s="710">
        <v>4</v>
      </c>
      <c r="BH59" s="710">
        <v>0</v>
      </c>
      <c r="BI59" s="710">
        <v>0</v>
      </c>
      <c r="BJ59" s="710">
        <v>0</v>
      </c>
      <c r="BK59" s="710">
        <v>6</v>
      </c>
      <c r="BL59" s="710">
        <v>4</v>
      </c>
      <c r="BM59" s="710">
        <v>1</v>
      </c>
      <c r="BN59" s="710">
        <v>51</v>
      </c>
      <c r="BO59" s="710">
        <v>0</v>
      </c>
      <c r="BP59" s="710">
        <v>22</v>
      </c>
      <c r="BQ59" s="710">
        <v>21</v>
      </c>
      <c r="BR59" s="710">
        <v>33</v>
      </c>
      <c r="BS59" s="710">
        <v>0</v>
      </c>
      <c r="BT59" s="710">
        <v>0</v>
      </c>
      <c r="BU59" s="710">
        <v>0</v>
      </c>
      <c r="BV59" s="710">
        <v>0</v>
      </c>
      <c r="BW59" s="710">
        <v>0</v>
      </c>
      <c r="BX59" s="710">
        <v>0</v>
      </c>
      <c r="BY59" s="710">
        <v>0</v>
      </c>
      <c r="BZ59" s="710">
        <v>0</v>
      </c>
      <c r="CA59" s="717">
        <f>SUM(BF59:BZ59)</f>
        <v>142</v>
      </c>
      <c r="CB59" s="717">
        <f t="shared" si="3"/>
        <v>142</v>
      </c>
      <c r="CC59" s="717">
        <f t="shared" si="4"/>
        <v>0</v>
      </c>
      <c r="CD59" s="671">
        <v>916.60599999999999</v>
      </c>
      <c r="CE59" s="738" t="s">
        <v>624</v>
      </c>
      <c r="CF59" s="738" t="s">
        <v>625</v>
      </c>
      <c r="CG59" s="683">
        <v>0.34489999999999998</v>
      </c>
      <c r="CH59" s="671">
        <v>2657.8539999999998</v>
      </c>
      <c r="CI59" s="748" t="s">
        <v>626</v>
      </c>
      <c r="CJ59" s="632" t="s">
        <v>504</v>
      </c>
      <c r="CK59" s="632" t="s">
        <v>504</v>
      </c>
      <c r="CL59" s="632" t="s">
        <v>504</v>
      </c>
      <c r="CM59" s="710" t="s">
        <v>504</v>
      </c>
      <c r="CN59" s="710" t="s">
        <v>504</v>
      </c>
      <c r="CO59" s="710">
        <v>7</v>
      </c>
      <c r="CP59" s="632" t="s">
        <v>500</v>
      </c>
      <c r="CQ59" s="632" t="s">
        <v>627</v>
      </c>
      <c r="CR59" s="710">
        <v>254619</v>
      </c>
      <c r="CS59" s="632" t="s">
        <v>500</v>
      </c>
      <c r="CT59" s="632" t="s">
        <v>628</v>
      </c>
      <c r="CU59" s="710">
        <v>254619</v>
      </c>
      <c r="CV59" s="710" t="s">
        <v>504</v>
      </c>
      <c r="CW59" s="710" t="s">
        <v>504</v>
      </c>
      <c r="CX59" s="710" t="s">
        <v>504</v>
      </c>
      <c r="CY59" s="710" t="s">
        <v>504</v>
      </c>
      <c r="CZ59" s="710" t="s">
        <v>504</v>
      </c>
      <c r="DA59" s="710" t="s">
        <v>504</v>
      </c>
      <c r="DB59" s="632" t="s">
        <v>504</v>
      </c>
      <c r="DC59" s="632" t="s">
        <v>504</v>
      </c>
      <c r="DD59" s="710" t="s">
        <v>504</v>
      </c>
      <c r="DE59" s="632" t="s">
        <v>504</v>
      </c>
      <c r="DF59" s="632" t="s">
        <v>504</v>
      </c>
      <c r="DG59" s="710" t="s">
        <v>504</v>
      </c>
      <c r="DH59" s="632" t="s">
        <v>504</v>
      </c>
      <c r="DI59" s="632" t="s">
        <v>504</v>
      </c>
      <c r="DJ59" s="710" t="s">
        <v>504</v>
      </c>
      <c r="DK59" s="632" t="s">
        <v>504</v>
      </c>
      <c r="DL59" s="632" t="s">
        <v>504</v>
      </c>
      <c r="DM59" s="710" t="s">
        <v>504</v>
      </c>
      <c r="DN59" s="632" t="s">
        <v>629</v>
      </c>
      <c r="DO59" s="632" t="s">
        <v>504</v>
      </c>
      <c r="DP59" s="710" t="s">
        <v>504</v>
      </c>
      <c r="DQ59" s="632" t="s">
        <v>500</v>
      </c>
      <c r="DR59" s="632" t="s">
        <v>630</v>
      </c>
      <c r="DS59" s="710">
        <v>14998</v>
      </c>
      <c r="DT59" s="710" t="s">
        <v>504</v>
      </c>
      <c r="DU59" s="710" t="s">
        <v>504</v>
      </c>
      <c r="DV59" s="710" t="s">
        <v>504</v>
      </c>
      <c r="DW59" s="632" t="s">
        <v>504</v>
      </c>
      <c r="DX59" s="632" t="s">
        <v>504</v>
      </c>
      <c r="DY59" s="710" t="s">
        <v>504</v>
      </c>
      <c r="DZ59" s="632" t="s">
        <v>504</v>
      </c>
      <c r="EA59" s="632" t="s">
        <v>504</v>
      </c>
      <c r="EB59" s="710" t="s">
        <v>504</v>
      </c>
      <c r="EC59" s="632" t="s">
        <v>500</v>
      </c>
      <c r="ED59" s="632" t="s">
        <v>631</v>
      </c>
      <c r="EE59" s="710">
        <v>8</v>
      </c>
      <c r="EF59" s="710" t="s">
        <v>504</v>
      </c>
      <c r="EG59" s="710" t="s">
        <v>504</v>
      </c>
      <c r="EH59" s="710" t="s">
        <v>504</v>
      </c>
      <c r="EI59" s="632" t="s">
        <v>504</v>
      </c>
      <c r="EJ59" s="632" t="s">
        <v>504</v>
      </c>
      <c r="EK59" s="710" t="s">
        <v>504</v>
      </c>
      <c r="EL59" s="632" t="s">
        <v>632</v>
      </c>
      <c r="EM59" s="632" t="s">
        <v>633</v>
      </c>
      <c r="EN59" s="670">
        <v>134</v>
      </c>
      <c r="EO59" s="632" t="s">
        <v>504</v>
      </c>
      <c r="EP59" s="632" t="s">
        <v>504</v>
      </c>
      <c r="EQ59" s="632" t="s">
        <v>634</v>
      </c>
      <c r="ER59" s="653" t="s">
        <v>635</v>
      </c>
      <c r="ES59" s="1185" t="s">
        <v>636</v>
      </c>
      <c r="ET59" s="653" t="s">
        <v>637</v>
      </c>
      <c r="EU59" s="632" t="s">
        <v>638</v>
      </c>
      <c r="EV59" s="632" t="s">
        <v>639</v>
      </c>
      <c r="EW59" s="632">
        <v>7</v>
      </c>
      <c r="EX59" s="632">
        <v>450</v>
      </c>
    </row>
    <row r="60" spans="3:154" ht="99" customHeight="1" x14ac:dyDescent="0.2">
      <c r="C60" s="1156" t="s">
        <v>1731</v>
      </c>
      <c r="D60" s="1156" t="s">
        <v>5277</v>
      </c>
      <c r="E60" s="738" t="s">
        <v>315</v>
      </c>
      <c r="F60" s="738" t="s">
        <v>400</v>
      </c>
      <c r="G60" s="738"/>
      <c r="H60" s="738" t="s">
        <v>2397</v>
      </c>
      <c r="I60" s="738" t="s">
        <v>2398</v>
      </c>
      <c r="J60" s="1165">
        <v>2010</v>
      </c>
      <c r="K60" s="1099">
        <v>42736</v>
      </c>
      <c r="L60" s="1096">
        <v>44196</v>
      </c>
      <c r="M60" s="1369">
        <f t="shared" si="5"/>
        <v>1460</v>
      </c>
      <c r="N60" s="738" t="s">
        <v>2400</v>
      </c>
      <c r="O60" s="632" t="s">
        <v>2401</v>
      </c>
      <c r="P60" s="653" t="s">
        <v>2420</v>
      </c>
      <c r="Q60" s="632" t="s">
        <v>2402</v>
      </c>
      <c r="R60" s="653" t="s">
        <v>2403</v>
      </c>
      <c r="S60" s="632"/>
      <c r="T60" s="632"/>
      <c r="U60" s="632"/>
      <c r="V60" s="632"/>
      <c r="W60" s="632" t="s">
        <v>2404</v>
      </c>
      <c r="X60" s="653" t="s">
        <v>2405</v>
      </c>
      <c r="Y60" s="653"/>
      <c r="Z60" s="653"/>
      <c r="AA60" s="738" t="s">
        <v>2406</v>
      </c>
      <c r="AB60" s="738" t="s">
        <v>2406</v>
      </c>
      <c r="AC60" s="738" t="s">
        <v>2407</v>
      </c>
      <c r="AD60" s="738" t="s">
        <v>2408</v>
      </c>
      <c r="AE60" s="702">
        <v>22.88</v>
      </c>
      <c r="AF60" s="671">
        <f t="shared" si="1"/>
        <v>22.880400000000002</v>
      </c>
      <c r="AG60" s="671">
        <f t="shared" si="2"/>
        <v>4.0000000000262048E-4</v>
      </c>
      <c r="AH60" s="702">
        <v>13.728400000000001</v>
      </c>
      <c r="AI60" s="683">
        <v>0.6</v>
      </c>
      <c r="AJ60" s="683">
        <v>2.0000000000000001E-4</v>
      </c>
      <c r="AK60" s="1167"/>
      <c r="AL60" s="683"/>
      <c r="AM60" s="683"/>
      <c r="AN60" s="702">
        <v>9.1519999999999992</v>
      </c>
      <c r="AO60" s="683">
        <v>0.4</v>
      </c>
      <c r="AP60" s="1167"/>
      <c r="AQ60" s="683"/>
      <c r="AR60" s="1167"/>
      <c r="AS60" s="683"/>
      <c r="AT60" s="632"/>
      <c r="AU60" s="632"/>
      <c r="AV60" s="632"/>
      <c r="AW60" s="632"/>
      <c r="AX60" s="632"/>
      <c r="AY60" s="632"/>
      <c r="AZ60" s="683"/>
      <c r="BA60" s="702">
        <v>13</v>
      </c>
      <c r="BB60" s="683">
        <v>2.0000000000000001E-4</v>
      </c>
      <c r="BC60" s="710"/>
      <c r="BD60" s="710"/>
      <c r="BE60" s="706"/>
      <c r="BF60" s="710"/>
      <c r="BG60" s="710"/>
      <c r="BH60" s="710"/>
      <c r="BI60" s="710"/>
      <c r="BJ60" s="710"/>
      <c r="BK60" s="710"/>
      <c r="BL60" s="710"/>
      <c r="BM60" s="710"/>
      <c r="BN60" s="710"/>
      <c r="BO60" s="710"/>
      <c r="BP60" s="710"/>
      <c r="BQ60" s="710"/>
      <c r="BR60" s="710"/>
      <c r="BS60" s="710"/>
      <c r="BT60" s="710"/>
      <c r="BU60" s="710"/>
      <c r="BV60" s="710"/>
      <c r="BW60" s="710"/>
      <c r="BX60" s="710"/>
      <c r="BY60" s="710"/>
      <c r="BZ60" s="710"/>
      <c r="CA60" s="822"/>
      <c r="CB60" s="717">
        <f t="shared" si="3"/>
        <v>0</v>
      </c>
      <c r="CC60" s="717">
        <f t="shared" si="4"/>
        <v>0</v>
      </c>
      <c r="CD60" s="697" t="s">
        <v>2413</v>
      </c>
      <c r="CE60" s="632"/>
      <c r="CF60" s="632"/>
      <c r="CG60" s="683"/>
      <c r="CH60" s="671"/>
      <c r="CI60" s="683"/>
      <c r="CJ60" s="632" t="s">
        <v>504</v>
      </c>
      <c r="CK60" s="632"/>
      <c r="CL60" s="632"/>
      <c r="CM60" s="710"/>
      <c r="CN60" s="710"/>
      <c r="CO60" s="710">
        <v>1</v>
      </c>
      <c r="CP60" s="632"/>
      <c r="CQ60" s="632"/>
      <c r="CR60" s="710"/>
      <c r="CS60" s="632"/>
      <c r="CT60" s="632"/>
      <c r="CU60" s="710"/>
      <c r="CV60" s="710"/>
      <c r="CW60" s="710"/>
      <c r="CX60" s="710"/>
      <c r="CY60" s="710"/>
      <c r="CZ60" s="710"/>
      <c r="DA60" s="710"/>
      <c r="DB60" s="632"/>
      <c r="DC60" s="632"/>
      <c r="DD60" s="710"/>
      <c r="DE60" s="632"/>
      <c r="DF60" s="632"/>
      <c r="DG60" s="710"/>
      <c r="DH60" s="632"/>
      <c r="DI60" s="632"/>
      <c r="DJ60" s="710"/>
      <c r="DK60" s="632" t="s">
        <v>500</v>
      </c>
      <c r="DL60" s="738" t="s">
        <v>2414</v>
      </c>
      <c r="DM60" s="822" t="s">
        <v>2415</v>
      </c>
      <c r="DN60" s="632"/>
      <c r="DO60" s="632"/>
      <c r="DP60" s="710"/>
      <c r="DQ60" s="632"/>
      <c r="DR60" s="632"/>
      <c r="DS60" s="710"/>
      <c r="DT60" s="1176"/>
      <c r="DU60" s="1176"/>
      <c r="DV60" s="1176"/>
      <c r="DW60" s="710" t="s">
        <v>500</v>
      </c>
      <c r="DX60" s="738" t="s">
        <v>2414</v>
      </c>
      <c r="DY60" s="822" t="s">
        <v>2415</v>
      </c>
      <c r="DZ60" s="632"/>
      <c r="EA60" s="632"/>
      <c r="EB60" s="710"/>
      <c r="EC60" s="632"/>
      <c r="ED60" s="632"/>
      <c r="EE60" s="710"/>
      <c r="EF60" s="710"/>
      <c r="EG60" s="710"/>
      <c r="EH60" s="710"/>
      <c r="EI60" s="632"/>
      <c r="EJ60" s="632"/>
      <c r="EK60" s="710"/>
      <c r="EL60" s="688">
        <v>1</v>
      </c>
      <c r="EM60" s="632"/>
      <c r="EN60" s="670">
        <v>143</v>
      </c>
      <c r="EO60" s="632" t="s">
        <v>504</v>
      </c>
      <c r="EP60" s="632"/>
      <c r="EQ60" s="653" t="s">
        <v>2417</v>
      </c>
      <c r="ER60" s="632" t="s">
        <v>504</v>
      </c>
      <c r="ES60" s="632" t="s">
        <v>504</v>
      </c>
      <c r="ET60" s="738" t="s">
        <v>2418</v>
      </c>
      <c r="EU60" s="738" t="s">
        <v>2416</v>
      </c>
      <c r="EV60" s="632"/>
      <c r="EW60" s="632"/>
      <c r="EX60" s="632"/>
    </row>
    <row r="61" spans="3:154" ht="108" customHeight="1" x14ac:dyDescent="0.2">
      <c r="C61" s="1156" t="s">
        <v>693</v>
      </c>
      <c r="D61" s="1156" t="s">
        <v>5277</v>
      </c>
      <c r="E61" s="738" t="s">
        <v>315</v>
      </c>
      <c r="F61" s="738" t="s">
        <v>400</v>
      </c>
      <c r="G61" s="738"/>
      <c r="H61" s="738" t="s">
        <v>569</v>
      </c>
      <c r="I61" s="738" t="s">
        <v>694</v>
      </c>
      <c r="J61" s="1165">
        <v>2014</v>
      </c>
      <c r="K61" s="1096">
        <v>43633</v>
      </c>
      <c r="L61" s="1096">
        <v>44196</v>
      </c>
      <c r="M61" s="1369">
        <f t="shared" si="5"/>
        <v>563</v>
      </c>
      <c r="N61" s="738" t="s">
        <v>2421</v>
      </c>
      <c r="O61" s="632" t="s">
        <v>2422</v>
      </c>
      <c r="P61" s="653" t="s">
        <v>2443</v>
      </c>
      <c r="Q61" s="632"/>
      <c r="R61" s="653"/>
      <c r="S61" s="632"/>
      <c r="T61" s="632"/>
      <c r="U61" s="632"/>
      <c r="V61" s="632"/>
      <c r="W61" s="738" t="s">
        <v>2423</v>
      </c>
      <c r="X61" s="653" t="s">
        <v>2424</v>
      </c>
      <c r="Y61" s="653"/>
      <c r="Z61" s="653"/>
      <c r="AA61" s="738" t="s">
        <v>2425</v>
      </c>
      <c r="AB61" s="738" t="s">
        <v>2425</v>
      </c>
      <c r="AC61" s="738" t="s">
        <v>2426</v>
      </c>
      <c r="AD61" s="738" t="s">
        <v>2427</v>
      </c>
      <c r="AE61" s="702">
        <v>22.8</v>
      </c>
      <c r="AF61" s="671">
        <f t="shared" si="1"/>
        <v>22.8</v>
      </c>
      <c r="AG61" s="671">
        <f t="shared" si="2"/>
        <v>0</v>
      </c>
      <c r="AH61" s="702">
        <v>13.5</v>
      </c>
      <c r="AI61" s="683">
        <v>0.59199999999999997</v>
      </c>
      <c r="AJ61" s="683">
        <v>2.0000000000000001E-4</v>
      </c>
      <c r="AK61" s="1167">
        <v>9.3000000000000007</v>
      </c>
      <c r="AL61" s="683">
        <v>4.8000000000000001E-2</v>
      </c>
      <c r="AM61" s="683"/>
      <c r="AN61" s="702"/>
      <c r="AO61" s="683"/>
      <c r="AP61" s="702"/>
      <c r="AQ61" s="683"/>
      <c r="AR61" s="1167"/>
      <c r="AS61" s="683"/>
      <c r="AT61" s="632"/>
      <c r="AU61" s="632"/>
      <c r="AV61" s="632"/>
      <c r="AW61" s="632"/>
      <c r="AX61" s="632"/>
      <c r="AY61" s="632"/>
      <c r="AZ61" s="683"/>
      <c r="BA61" s="702">
        <v>19.5</v>
      </c>
      <c r="BB61" s="683">
        <v>2.9999999999999997E-4</v>
      </c>
      <c r="BC61" s="710">
        <v>75</v>
      </c>
      <c r="BD61" s="710">
        <v>57</v>
      </c>
      <c r="BE61" s="706">
        <v>20</v>
      </c>
      <c r="BF61" s="710"/>
      <c r="BG61" s="710">
        <v>7</v>
      </c>
      <c r="BH61" s="710">
        <v>2</v>
      </c>
      <c r="BI61" s="710"/>
      <c r="BJ61" s="710"/>
      <c r="BK61" s="710"/>
      <c r="BL61" s="710"/>
      <c r="BM61" s="710">
        <v>1</v>
      </c>
      <c r="BN61" s="710">
        <v>1</v>
      </c>
      <c r="BO61" s="710"/>
      <c r="BP61" s="710">
        <v>1</v>
      </c>
      <c r="BQ61" s="710">
        <v>5</v>
      </c>
      <c r="BR61" s="710"/>
      <c r="BS61" s="710">
        <v>1</v>
      </c>
      <c r="BT61" s="710"/>
      <c r="BU61" s="710"/>
      <c r="BV61" s="710"/>
      <c r="BW61" s="710">
        <v>2</v>
      </c>
      <c r="BX61" s="710"/>
      <c r="BY61" s="710"/>
      <c r="BZ61" s="710"/>
      <c r="CA61" s="822">
        <v>20</v>
      </c>
      <c r="CB61" s="717">
        <f t="shared" si="3"/>
        <v>20</v>
      </c>
      <c r="CC61" s="717">
        <f t="shared" si="4"/>
        <v>0</v>
      </c>
      <c r="CD61" s="697" t="s">
        <v>2428</v>
      </c>
      <c r="CE61" s="632"/>
      <c r="CF61" s="632"/>
      <c r="CG61" s="683"/>
      <c r="CH61" s="671"/>
      <c r="CI61" s="683"/>
      <c r="CJ61" s="632" t="s">
        <v>504</v>
      </c>
      <c r="CK61" s="632"/>
      <c r="CL61" s="632"/>
      <c r="CM61" s="710"/>
      <c r="CN61" s="710"/>
      <c r="CO61" s="710">
        <v>1</v>
      </c>
      <c r="CP61" s="632" t="s">
        <v>504</v>
      </c>
      <c r="CQ61" s="632"/>
      <c r="CR61" s="710"/>
      <c r="CS61" s="738" t="s">
        <v>500</v>
      </c>
      <c r="CT61" s="738" t="s">
        <v>2440</v>
      </c>
      <c r="CU61" s="822">
        <v>150</v>
      </c>
      <c r="CV61" s="710" t="s">
        <v>504</v>
      </c>
      <c r="CW61" s="710"/>
      <c r="CX61" s="710"/>
      <c r="CY61" s="710" t="s">
        <v>504</v>
      </c>
      <c r="CZ61" s="710"/>
      <c r="DA61" s="710"/>
      <c r="DB61" s="632" t="s">
        <v>504</v>
      </c>
      <c r="DC61" s="632"/>
      <c r="DD61" s="710"/>
      <c r="DE61" s="632" t="s">
        <v>504</v>
      </c>
      <c r="DF61" s="632"/>
      <c r="DG61" s="710"/>
      <c r="DH61" s="632" t="s">
        <v>504</v>
      </c>
      <c r="DI61" s="632"/>
      <c r="DJ61" s="710"/>
      <c r="DK61" s="632" t="s">
        <v>504</v>
      </c>
      <c r="DL61" s="738"/>
      <c r="DM61" s="822"/>
      <c r="DN61" s="632" t="s">
        <v>504</v>
      </c>
      <c r="DO61" s="632"/>
      <c r="DP61" s="710"/>
      <c r="DQ61" s="632" t="s">
        <v>504</v>
      </c>
      <c r="DR61" s="632"/>
      <c r="DS61" s="710"/>
      <c r="DT61" s="1176" t="s">
        <v>504</v>
      </c>
      <c r="DU61" s="1176"/>
      <c r="DV61" s="1176"/>
      <c r="DW61" s="632" t="s">
        <v>504</v>
      </c>
      <c r="DX61" s="738"/>
      <c r="DY61" s="822"/>
      <c r="DZ61" s="738" t="s">
        <v>500</v>
      </c>
      <c r="EA61" s="738" t="s">
        <v>2441</v>
      </c>
      <c r="EB61" s="822" t="s">
        <v>2429</v>
      </c>
      <c r="EC61" s="632" t="s">
        <v>504</v>
      </c>
      <c r="ED61" s="632"/>
      <c r="EE61" s="710"/>
      <c r="EF61" s="710" t="s">
        <v>504</v>
      </c>
      <c r="EG61" s="710"/>
      <c r="EH61" s="710"/>
      <c r="EI61" s="632" t="s">
        <v>504</v>
      </c>
      <c r="EJ61" s="632"/>
      <c r="EK61" s="710"/>
      <c r="EL61" s="688" t="s">
        <v>2430</v>
      </c>
      <c r="EM61" s="738" t="s">
        <v>2431</v>
      </c>
      <c r="EN61" s="670">
        <v>23</v>
      </c>
      <c r="EO61" s="738" t="s">
        <v>500</v>
      </c>
      <c r="EP61" s="738" t="s">
        <v>2432</v>
      </c>
      <c r="EQ61" s="653" t="s">
        <v>2433</v>
      </c>
      <c r="ER61" s="632" t="s">
        <v>2434</v>
      </c>
      <c r="ES61" s="653" t="s">
        <v>2435</v>
      </c>
      <c r="ET61" s="738" t="s">
        <v>2436</v>
      </c>
      <c r="EU61" s="738" t="s">
        <v>2437</v>
      </c>
      <c r="EV61" s="738" t="s">
        <v>2442</v>
      </c>
      <c r="EW61" s="738" t="s">
        <v>2438</v>
      </c>
      <c r="EX61" s="738" t="s">
        <v>2439</v>
      </c>
    </row>
    <row r="62" spans="3:154" ht="83.1" customHeight="1" x14ac:dyDescent="0.2">
      <c r="C62" s="1156" t="s">
        <v>693</v>
      </c>
      <c r="D62" s="1156" t="s">
        <v>5277</v>
      </c>
      <c r="E62" s="738" t="s">
        <v>315</v>
      </c>
      <c r="F62" s="738" t="s">
        <v>400</v>
      </c>
      <c r="G62" s="738"/>
      <c r="H62" s="632" t="s">
        <v>2046</v>
      </c>
      <c r="I62" s="632" t="s">
        <v>692</v>
      </c>
      <c r="J62" s="637">
        <v>2010</v>
      </c>
      <c r="K62" s="377">
        <v>43252</v>
      </c>
      <c r="L62" s="377">
        <v>44196</v>
      </c>
      <c r="M62" s="1369">
        <f t="shared" si="5"/>
        <v>944</v>
      </c>
      <c r="N62" s="632" t="s">
        <v>2444</v>
      </c>
      <c r="O62" s="632" t="s">
        <v>2445</v>
      </c>
      <c r="P62" s="653" t="s">
        <v>2446</v>
      </c>
      <c r="Q62" s="632"/>
      <c r="R62" s="632"/>
      <c r="S62" s="632"/>
      <c r="T62" s="632"/>
      <c r="U62" s="632"/>
      <c r="V62" s="632"/>
      <c r="W62" s="632"/>
      <c r="X62" s="632"/>
      <c r="Y62" s="632"/>
      <c r="Z62" s="632"/>
      <c r="AA62" s="632" t="s">
        <v>2447</v>
      </c>
      <c r="AB62" s="632" t="s">
        <v>2447</v>
      </c>
      <c r="AC62" s="632" t="s">
        <v>2448</v>
      </c>
      <c r="AD62" s="632" t="s">
        <v>2449</v>
      </c>
      <c r="AE62" s="702">
        <v>340.64</v>
      </c>
      <c r="AF62" s="671">
        <f t="shared" si="1"/>
        <v>340.64400000000001</v>
      </c>
      <c r="AG62" s="671">
        <f t="shared" si="2"/>
        <v>4.0000000000190994E-3</v>
      </c>
      <c r="AH62" s="702">
        <v>210.44399999999999</v>
      </c>
      <c r="AI62" s="683">
        <v>0.61799999999999999</v>
      </c>
      <c r="AJ62" s="683">
        <v>3.0000000000000001E-3</v>
      </c>
      <c r="AK62" s="702">
        <v>61.5</v>
      </c>
      <c r="AL62" s="683">
        <v>0.18099999999999999</v>
      </c>
      <c r="AM62" s="683"/>
      <c r="AN62" s="702">
        <v>43.1</v>
      </c>
      <c r="AO62" s="683">
        <v>0.127</v>
      </c>
      <c r="AP62" s="702">
        <v>25.6</v>
      </c>
      <c r="AQ62" s="683">
        <v>7.4999999999999997E-2</v>
      </c>
      <c r="AR62" s="702"/>
      <c r="AS62" s="683"/>
      <c r="AT62" s="632"/>
      <c r="AU62" s="632" t="s">
        <v>465</v>
      </c>
      <c r="AV62" s="632" t="s">
        <v>465</v>
      </c>
      <c r="AW62" s="632" t="s">
        <v>500</v>
      </c>
      <c r="AX62" s="632" t="s">
        <v>2450</v>
      </c>
      <c r="AY62" s="632">
        <v>12.2</v>
      </c>
      <c r="AZ62" s="683" t="s">
        <v>997</v>
      </c>
      <c r="BA62" s="632">
        <v>150</v>
      </c>
      <c r="BB62" s="683">
        <v>2E-3</v>
      </c>
      <c r="BC62" s="710">
        <v>447</v>
      </c>
      <c r="BD62" s="710">
        <v>416</v>
      </c>
      <c r="BE62" s="706">
        <v>332</v>
      </c>
      <c r="BF62" s="710">
        <v>52</v>
      </c>
      <c r="BG62" s="710">
        <v>104</v>
      </c>
      <c r="BH62" s="710">
        <v>17</v>
      </c>
      <c r="BI62" s="710">
        <v>8</v>
      </c>
      <c r="BJ62" s="710"/>
      <c r="BK62" s="710">
        <v>13</v>
      </c>
      <c r="BL62" s="710">
        <v>10</v>
      </c>
      <c r="BM62" s="710">
        <v>26</v>
      </c>
      <c r="BN62" s="710">
        <v>17</v>
      </c>
      <c r="BO62" s="710"/>
      <c r="BP62" s="710"/>
      <c r="BQ62" s="710">
        <v>62</v>
      </c>
      <c r="BR62" s="710">
        <v>9</v>
      </c>
      <c r="BS62" s="710">
        <v>14</v>
      </c>
      <c r="BT62" s="710"/>
      <c r="BU62" s="710"/>
      <c r="BV62" s="710"/>
      <c r="BW62" s="710"/>
      <c r="BX62" s="710"/>
      <c r="BY62" s="710"/>
      <c r="BZ62" s="710"/>
      <c r="CA62" s="717">
        <v>332</v>
      </c>
      <c r="CB62" s="717">
        <f t="shared" si="3"/>
        <v>332</v>
      </c>
      <c r="CC62" s="717">
        <f t="shared" si="4"/>
        <v>0</v>
      </c>
      <c r="CD62" s="671">
        <v>594.9</v>
      </c>
      <c r="CE62" s="632" t="s">
        <v>2451</v>
      </c>
      <c r="CF62" s="632"/>
      <c r="CG62" s="683">
        <v>0.47599999999999998</v>
      </c>
      <c r="CH62" s="671">
        <v>1250.2</v>
      </c>
      <c r="CI62" s="733" t="s">
        <v>2452</v>
      </c>
      <c r="CJ62" s="632" t="s">
        <v>504</v>
      </c>
      <c r="CK62" s="632"/>
      <c r="CL62" s="632"/>
      <c r="CM62" s="710"/>
      <c r="CN62" s="710"/>
      <c r="CO62" s="710" t="s">
        <v>2453</v>
      </c>
      <c r="CP62" s="632" t="s">
        <v>504</v>
      </c>
      <c r="CQ62" s="632"/>
      <c r="CR62" s="710"/>
      <c r="CS62" s="632" t="s">
        <v>500</v>
      </c>
      <c r="CT62" s="632" t="s">
        <v>2454</v>
      </c>
      <c r="CU62" s="710">
        <v>162000</v>
      </c>
      <c r="CV62" s="710" t="s">
        <v>500</v>
      </c>
      <c r="CW62" s="710"/>
      <c r="CX62" s="710"/>
      <c r="CY62" s="710" t="s">
        <v>504</v>
      </c>
      <c r="CZ62" s="710"/>
      <c r="DA62" s="710"/>
      <c r="DB62" s="632" t="s">
        <v>504</v>
      </c>
      <c r="DC62" s="632"/>
      <c r="DD62" s="710"/>
      <c r="DE62" s="632" t="s">
        <v>500</v>
      </c>
      <c r="DF62" s="632" t="s">
        <v>2455</v>
      </c>
      <c r="DG62" s="710"/>
      <c r="DH62" s="632" t="s">
        <v>504</v>
      </c>
      <c r="DI62" s="632"/>
      <c r="DJ62" s="710"/>
      <c r="DK62" s="632"/>
      <c r="DL62" s="632"/>
      <c r="DM62" s="710"/>
      <c r="DN62" s="632" t="s">
        <v>504</v>
      </c>
      <c r="DO62" s="632"/>
      <c r="DP62" s="710"/>
      <c r="DQ62" s="632" t="s">
        <v>504</v>
      </c>
      <c r="DR62" s="632"/>
      <c r="DS62" s="710"/>
      <c r="DT62" s="710" t="s">
        <v>504</v>
      </c>
      <c r="DU62" s="710"/>
      <c r="DV62" s="710"/>
      <c r="DW62" s="632" t="s">
        <v>504</v>
      </c>
      <c r="DX62" s="632"/>
      <c r="DY62" s="710"/>
      <c r="DZ62" s="632" t="s">
        <v>504</v>
      </c>
      <c r="EA62" s="632"/>
      <c r="EB62" s="710"/>
      <c r="EC62" s="632" t="s">
        <v>500</v>
      </c>
      <c r="ED62" s="632" t="s">
        <v>2456</v>
      </c>
      <c r="EE62" s="710">
        <v>18</v>
      </c>
      <c r="EF62" s="710" t="s">
        <v>504</v>
      </c>
      <c r="EG62" s="710"/>
      <c r="EH62" s="710"/>
      <c r="EI62" s="632" t="s">
        <v>504</v>
      </c>
      <c r="EJ62" s="632"/>
      <c r="EK62" s="710"/>
      <c r="EL62" s="688">
        <v>1</v>
      </c>
      <c r="EM62" s="632"/>
      <c r="EN62" s="670">
        <v>223</v>
      </c>
      <c r="EO62" s="632" t="s">
        <v>500</v>
      </c>
      <c r="EP62" s="632" t="s">
        <v>2457</v>
      </c>
      <c r="EQ62" s="653" t="s">
        <v>2458</v>
      </c>
      <c r="ER62" s="1185" t="s">
        <v>2459</v>
      </c>
      <c r="ES62" s="748" t="s">
        <v>2460</v>
      </c>
      <c r="ET62" s="632" t="s">
        <v>2461</v>
      </c>
      <c r="EU62" s="632" t="s">
        <v>2462</v>
      </c>
      <c r="EV62" s="632" t="s">
        <v>2463</v>
      </c>
      <c r="EW62" s="632">
        <v>13</v>
      </c>
      <c r="EX62" s="632" t="s">
        <v>2464</v>
      </c>
    </row>
    <row r="63" spans="3:154" ht="99.95" customHeight="1" x14ac:dyDescent="0.2">
      <c r="C63" s="1156" t="s">
        <v>693</v>
      </c>
      <c r="D63" s="1156" t="s">
        <v>5277</v>
      </c>
      <c r="E63" s="738" t="s">
        <v>316</v>
      </c>
      <c r="F63" s="738" t="s">
        <v>401</v>
      </c>
      <c r="G63" s="738"/>
      <c r="H63" s="632" t="s">
        <v>569</v>
      </c>
      <c r="I63" s="632" t="s">
        <v>2208</v>
      </c>
      <c r="J63" s="637">
        <v>2017</v>
      </c>
      <c r="K63" s="1097">
        <v>43495</v>
      </c>
      <c r="L63" s="1097">
        <v>44166</v>
      </c>
      <c r="M63" s="1369">
        <f t="shared" si="5"/>
        <v>671</v>
      </c>
      <c r="N63" s="738" t="s">
        <v>2209</v>
      </c>
      <c r="O63" s="632" t="s">
        <v>2210</v>
      </c>
      <c r="P63" s="653" t="s">
        <v>2211</v>
      </c>
      <c r="Q63" s="632" t="s">
        <v>479</v>
      </c>
      <c r="R63" s="632"/>
      <c r="S63" s="632" t="s">
        <v>479</v>
      </c>
      <c r="T63" s="632"/>
      <c r="U63" s="1176" t="s">
        <v>479</v>
      </c>
      <c r="V63" s="632"/>
      <c r="W63" s="738" t="s">
        <v>2212</v>
      </c>
      <c r="X63" s="632" t="s">
        <v>2213</v>
      </c>
      <c r="Y63" s="632"/>
      <c r="Z63" s="632"/>
      <c r="AA63" s="632" t="s">
        <v>2214</v>
      </c>
      <c r="AB63" s="738" t="s">
        <v>2215</v>
      </c>
      <c r="AC63" s="738" t="s">
        <v>622</v>
      </c>
      <c r="AD63" s="738" t="s">
        <v>2216</v>
      </c>
      <c r="AE63" s="1167">
        <v>150.22300000000001</v>
      </c>
      <c r="AF63" s="671">
        <f>AH63+AK63+AN63+AP63+AR63</f>
        <v>150.22379999999998</v>
      </c>
      <c r="AG63" s="671">
        <f t="shared" si="2"/>
        <v>7.9999999996971383E-4</v>
      </c>
      <c r="AH63" s="702">
        <v>122.8874</v>
      </c>
      <c r="AI63" s="683">
        <v>0.81799999999999995</v>
      </c>
      <c r="AJ63" s="683">
        <v>1.1558742665286469E-3</v>
      </c>
      <c r="AK63" s="702">
        <v>17.36</v>
      </c>
      <c r="AL63" s="683">
        <v>0.11559999999999999</v>
      </c>
      <c r="AM63" s="683"/>
      <c r="AN63" s="702">
        <v>1.718</v>
      </c>
      <c r="AO63" s="683">
        <v>1.14E-2</v>
      </c>
      <c r="AP63" s="702">
        <v>8.2584</v>
      </c>
      <c r="AQ63" s="683">
        <v>5.5E-2</v>
      </c>
      <c r="AR63" s="702"/>
      <c r="AS63" s="683"/>
      <c r="AT63" s="632"/>
      <c r="AU63" s="632"/>
      <c r="AV63" s="632" t="s">
        <v>504</v>
      </c>
      <c r="AW63" s="632" t="s">
        <v>500</v>
      </c>
      <c r="AX63" s="632" t="s">
        <v>2219</v>
      </c>
      <c r="AY63" s="632" t="s">
        <v>997</v>
      </c>
      <c r="AZ63" s="683"/>
      <c r="BA63" s="700">
        <v>266.60000000000002</v>
      </c>
      <c r="BB63" s="683">
        <v>3.0000000000000001E-3</v>
      </c>
      <c r="BC63" s="710">
        <v>988</v>
      </c>
      <c r="BD63" s="710">
        <v>539</v>
      </c>
      <c r="BE63" s="706">
        <v>236</v>
      </c>
      <c r="BF63" s="710">
        <v>10</v>
      </c>
      <c r="BG63" s="710">
        <v>16</v>
      </c>
      <c r="BH63" s="710">
        <v>14</v>
      </c>
      <c r="BI63" s="710">
        <v>12</v>
      </c>
      <c r="BJ63" s="710">
        <v>0</v>
      </c>
      <c r="BK63" s="710">
        <v>18</v>
      </c>
      <c r="BL63" s="710">
        <v>30</v>
      </c>
      <c r="BM63" s="710">
        <v>24</v>
      </c>
      <c r="BN63" s="710">
        <v>19</v>
      </c>
      <c r="BO63" s="710">
        <v>0</v>
      </c>
      <c r="BP63" s="710">
        <v>8</v>
      </c>
      <c r="BQ63" s="710">
        <v>18</v>
      </c>
      <c r="BR63" s="710">
        <v>9</v>
      </c>
      <c r="BS63" s="710">
        <v>3</v>
      </c>
      <c r="BT63" s="710">
        <v>8</v>
      </c>
      <c r="BU63" s="710">
        <v>0</v>
      </c>
      <c r="BV63" s="710">
        <v>0</v>
      </c>
      <c r="BW63" s="710">
        <v>22</v>
      </c>
      <c r="BX63" s="710">
        <v>0</v>
      </c>
      <c r="BY63" s="710">
        <v>19</v>
      </c>
      <c r="BZ63" s="710">
        <v>6</v>
      </c>
      <c r="CA63" s="717">
        <f t="shared" ref="CA63:CA70" si="9">SUM(BF63:BZ63)</f>
        <v>236</v>
      </c>
      <c r="CB63" s="717">
        <f t="shared" si="3"/>
        <v>236</v>
      </c>
      <c r="CC63" s="717">
        <f t="shared" si="4"/>
        <v>0</v>
      </c>
      <c r="CD63" s="671">
        <v>627.66999999999996</v>
      </c>
      <c r="CE63" s="738" t="s">
        <v>2220</v>
      </c>
      <c r="CF63" s="632"/>
      <c r="CG63" s="683">
        <v>0.76500000000000001</v>
      </c>
      <c r="CH63" s="671">
        <v>820.47299999999996</v>
      </c>
      <c r="CI63" s="683" t="s">
        <v>2221</v>
      </c>
      <c r="CJ63" s="632" t="s">
        <v>471</v>
      </c>
      <c r="CK63" s="738" t="s">
        <v>2222</v>
      </c>
      <c r="CL63" s="738" t="s">
        <v>2223</v>
      </c>
      <c r="CM63" s="710" t="s">
        <v>2224</v>
      </c>
      <c r="CN63" s="710">
        <v>2</v>
      </c>
      <c r="CO63" s="710"/>
      <c r="CP63" s="632" t="s">
        <v>471</v>
      </c>
      <c r="CQ63" s="632" t="s">
        <v>2225</v>
      </c>
      <c r="CR63" s="710">
        <v>24237</v>
      </c>
      <c r="CS63" s="632" t="s">
        <v>471</v>
      </c>
      <c r="CT63" s="738" t="s">
        <v>2226</v>
      </c>
      <c r="CU63" s="710">
        <v>19297</v>
      </c>
      <c r="CV63" s="710" t="s">
        <v>504</v>
      </c>
      <c r="CW63" s="710"/>
      <c r="CX63" s="710"/>
      <c r="CY63" s="710" t="s">
        <v>500</v>
      </c>
      <c r="CZ63" s="710" t="s">
        <v>2227</v>
      </c>
      <c r="DA63" s="710"/>
      <c r="DB63" s="632" t="s">
        <v>479</v>
      </c>
      <c r="DC63" s="632"/>
      <c r="DD63" s="710"/>
      <c r="DE63" s="632" t="s">
        <v>479</v>
      </c>
      <c r="DF63" s="632"/>
      <c r="DG63" s="710"/>
      <c r="DH63" s="632" t="s">
        <v>479</v>
      </c>
      <c r="DI63" s="632"/>
      <c r="DJ63" s="710"/>
      <c r="DK63" s="632" t="s">
        <v>479</v>
      </c>
      <c r="DL63" s="632"/>
      <c r="DM63" s="710"/>
      <c r="DN63" s="632" t="s">
        <v>479</v>
      </c>
      <c r="DO63" s="632"/>
      <c r="DP63" s="710"/>
      <c r="DQ63" s="632" t="s">
        <v>471</v>
      </c>
      <c r="DR63" s="738" t="s">
        <v>2228</v>
      </c>
      <c r="DS63" s="710">
        <v>19297</v>
      </c>
      <c r="DT63" s="710" t="s">
        <v>504</v>
      </c>
      <c r="DU63" s="710"/>
      <c r="DV63" s="710"/>
      <c r="DW63" s="632" t="s">
        <v>504</v>
      </c>
      <c r="DX63" s="632"/>
      <c r="DY63" s="710"/>
      <c r="DZ63" s="632" t="s">
        <v>500</v>
      </c>
      <c r="EA63" s="632" t="s">
        <v>2229</v>
      </c>
      <c r="EB63" s="710">
        <v>40</v>
      </c>
      <c r="EC63" s="738" t="s">
        <v>500</v>
      </c>
      <c r="ED63" s="738" t="s">
        <v>2230</v>
      </c>
      <c r="EE63" s="822">
        <v>16</v>
      </c>
      <c r="EF63" s="710"/>
      <c r="EG63" s="710"/>
      <c r="EH63" s="710"/>
      <c r="EI63" s="632"/>
      <c r="EJ63" s="632"/>
      <c r="EK63" s="710"/>
      <c r="EL63" s="688">
        <v>1</v>
      </c>
      <c r="EM63" s="632"/>
      <c r="EN63" s="1208" t="s">
        <v>2231</v>
      </c>
      <c r="EO63" s="632" t="s">
        <v>479</v>
      </c>
      <c r="EP63" s="632"/>
      <c r="EQ63" s="632" t="s">
        <v>2232</v>
      </c>
      <c r="ER63" s="738" t="s">
        <v>2233</v>
      </c>
      <c r="ES63" s="653" t="s">
        <v>2234</v>
      </c>
      <c r="ET63" s="738" t="s">
        <v>2235</v>
      </c>
      <c r="EU63" s="653" t="s">
        <v>2236</v>
      </c>
      <c r="EV63" s="632" t="s">
        <v>2237</v>
      </c>
      <c r="EW63" s="632" t="s">
        <v>2238</v>
      </c>
      <c r="EX63" s="632">
        <v>1500</v>
      </c>
    </row>
    <row r="64" spans="3:154" ht="99" customHeight="1" x14ac:dyDescent="0.2">
      <c r="C64" s="1156" t="s">
        <v>5478</v>
      </c>
      <c r="D64" s="1156" t="s">
        <v>5277</v>
      </c>
      <c r="E64" s="738" t="s">
        <v>317</v>
      </c>
      <c r="F64" s="738" t="s">
        <v>402</v>
      </c>
      <c r="G64" s="738"/>
      <c r="H64" s="632" t="s">
        <v>819</v>
      </c>
      <c r="I64" s="632" t="s">
        <v>730</v>
      </c>
      <c r="J64" s="637">
        <v>2020</v>
      </c>
      <c r="K64" s="377">
        <v>43831</v>
      </c>
      <c r="L64" s="377">
        <v>44196</v>
      </c>
      <c r="M64" s="1369">
        <f t="shared" si="5"/>
        <v>365</v>
      </c>
      <c r="N64" s="632" t="s">
        <v>820</v>
      </c>
      <c r="O64" s="632" t="s">
        <v>820</v>
      </c>
      <c r="P64" s="653" t="s">
        <v>821</v>
      </c>
      <c r="Q64" s="632" t="s">
        <v>465</v>
      </c>
      <c r="R64" s="1177" t="s">
        <v>465</v>
      </c>
      <c r="S64" s="632" t="s">
        <v>465</v>
      </c>
      <c r="T64" s="632" t="s">
        <v>465</v>
      </c>
      <c r="U64" s="632" t="s">
        <v>465</v>
      </c>
      <c r="V64" s="632" t="s">
        <v>465</v>
      </c>
      <c r="W64" s="632" t="s">
        <v>465</v>
      </c>
      <c r="X64" s="632" t="s">
        <v>465</v>
      </c>
      <c r="Y64" s="632"/>
      <c r="Z64" s="632"/>
      <c r="AA64" s="632" t="s">
        <v>822</v>
      </c>
      <c r="AB64" s="632" t="s">
        <v>822</v>
      </c>
      <c r="AC64" s="632" t="s">
        <v>622</v>
      </c>
      <c r="AD64" s="632" t="s">
        <v>823</v>
      </c>
      <c r="AE64" s="702">
        <v>31.3</v>
      </c>
      <c r="AF64" s="671">
        <f t="shared" si="1"/>
        <v>31.3</v>
      </c>
      <c r="AG64" s="671">
        <f t="shared" si="2"/>
        <v>0</v>
      </c>
      <c r="AH64" s="702">
        <v>0.96</v>
      </c>
      <c r="AI64" s="683">
        <f>AH64/AE64</f>
        <v>3.0670926517571882E-2</v>
      </c>
      <c r="AJ64" s="1209">
        <f>AH64/39702.2</f>
        <v>2.4180020250766961E-5</v>
      </c>
      <c r="AK64" s="702">
        <v>8.81</v>
      </c>
      <c r="AL64" s="683">
        <f>AK64/AE64</f>
        <v>0.28146964856230033</v>
      </c>
      <c r="AM64" s="683"/>
      <c r="AN64" s="702"/>
      <c r="AO64" s="683"/>
      <c r="AP64" s="702">
        <v>3.21</v>
      </c>
      <c r="AQ64" s="683">
        <f>AP64/AE64</f>
        <v>0.10255591054313098</v>
      </c>
      <c r="AR64" s="702">
        <v>18.32</v>
      </c>
      <c r="AS64" s="683">
        <f>AR64/AE64</f>
        <v>0.58530351437699679</v>
      </c>
      <c r="AT64" s="632" t="s">
        <v>824</v>
      </c>
      <c r="AU64" s="632" t="s">
        <v>825</v>
      </c>
      <c r="AV64" s="632" t="s">
        <v>822</v>
      </c>
      <c r="AW64" s="632" t="s">
        <v>504</v>
      </c>
      <c r="AX64" s="632" t="s">
        <v>465</v>
      </c>
      <c r="AY64" s="632" t="s">
        <v>465</v>
      </c>
      <c r="AZ64" s="683" t="s">
        <v>465</v>
      </c>
      <c r="BA64" s="700">
        <v>4.8756000000000004</v>
      </c>
      <c r="BB64" s="1166">
        <f>BA64/37675.7</f>
        <v>1.294096725475572E-4</v>
      </c>
      <c r="BC64" s="710">
        <v>33</v>
      </c>
      <c r="BD64" s="710">
        <v>33</v>
      </c>
      <c r="BE64" s="706">
        <v>33</v>
      </c>
      <c r="BF64" s="710">
        <v>0</v>
      </c>
      <c r="BG64" s="710">
        <v>3</v>
      </c>
      <c r="BH64" s="710">
        <v>7</v>
      </c>
      <c r="BI64" s="710">
        <v>1</v>
      </c>
      <c r="BJ64" s="710">
        <v>0</v>
      </c>
      <c r="BK64" s="710">
        <v>2</v>
      </c>
      <c r="BL64" s="710">
        <v>0</v>
      </c>
      <c r="BM64" s="710">
        <v>0</v>
      </c>
      <c r="BN64" s="710">
        <v>2</v>
      </c>
      <c r="BO64" s="710">
        <v>0</v>
      </c>
      <c r="BP64" s="710">
        <v>2</v>
      </c>
      <c r="BQ64" s="710">
        <v>6</v>
      </c>
      <c r="BR64" s="710">
        <v>0</v>
      </c>
      <c r="BS64" s="710">
        <v>8</v>
      </c>
      <c r="BT64" s="710">
        <v>0</v>
      </c>
      <c r="BU64" s="710">
        <v>0</v>
      </c>
      <c r="BV64" s="710">
        <v>0</v>
      </c>
      <c r="BW64" s="710">
        <v>0</v>
      </c>
      <c r="BX64" s="710">
        <v>0</v>
      </c>
      <c r="BY64" s="710">
        <v>0</v>
      </c>
      <c r="BZ64" s="710">
        <v>2</v>
      </c>
      <c r="CA64" s="717">
        <f t="shared" si="9"/>
        <v>33</v>
      </c>
      <c r="CB64" s="717">
        <f t="shared" si="3"/>
        <v>33</v>
      </c>
      <c r="CC64" s="717">
        <f t="shared" si="4"/>
        <v>0</v>
      </c>
      <c r="CD64" s="670">
        <v>16.5</v>
      </c>
      <c r="CE64" s="632" t="s">
        <v>465</v>
      </c>
      <c r="CF64" s="632" t="s">
        <v>465</v>
      </c>
      <c r="CG64" s="683">
        <f>CD64/CH64</f>
        <v>2.6050506406056349E-2</v>
      </c>
      <c r="CH64" s="670">
        <v>633.38499999999999</v>
      </c>
      <c r="CI64" s="733" t="s">
        <v>826</v>
      </c>
      <c r="CJ64" s="632" t="s">
        <v>504</v>
      </c>
      <c r="CK64" s="632" t="s">
        <v>465</v>
      </c>
      <c r="CL64" s="632" t="s">
        <v>465</v>
      </c>
      <c r="CM64" s="710" t="s">
        <v>465</v>
      </c>
      <c r="CN64" s="710" t="s">
        <v>465</v>
      </c>
      <c r="CO64" s="710">
        <v>2</v>
      </c>
      <c r="CP64" s="632" t="s">
        <v>504</v>
      </c>
      <c r="CQ64" s="632" t="s">
        <v>465</v>
      </c>
      <c r="CR64" s="710" t="s">
        <v>465</v>
      </c>
      <c r="CS64" s="632" t="s">
        <v>500</v>
      </c>
      <c r="CT64" s="632" t="s">
        <v>827</v>
      </c>
      <c r="CU64" s="710">
        <v>2200</v>
      </c>
      <c r="CV64" s="632" t="s">
        <v>504</v>
      </c>
      <c r="CW64" s="710" t="s">
        <v>465</v>
      </c>
      <c r="CX64" s="710" t="s">
        <v>465</v>
      </c>
      <c r="CY64" s="632" t="s">
        <v>504</v>
      </c>
      <c r="CZ64" s="710" t="s">
        <v>465</v>
      </c>
      <c r="DA64" s="710" t="s">
        <v>465</v>
      </c>
      <c r="DB64" s="632" t="s">
        <v>504</v>
      </c>
      <c r="DC64" s="632" t="s">
        <v>465</v>
      </c>
      <c r="DD64" s="710" t="s">
        <v>465</v>
      </c>
      <c r="DE64" s="632" t="s">
        <v>504</v>
      </c>
      <c r="DF64" s="632" t="s">
        <v>465</v>
      </c>
      <c r="DG64" s="710" t="s">
        <v>465</v>
      </c>
      <c r="DH64" s="632" t="s">
        <v>504</v>
      </c>
      <c r="DI64" s="632" t="s">
        <v>465</v>
      </c>
      <c r="DJ64" s="710" t="s">
        <v>465</v>
      </c>
      <c r="DK64" s="632" t="s">
        <v>504</v>
      </c>
      <c r="DL64" s="632" t="s">
        <v>465</v>
      </c>
      <c r="DM64" s="710" t="s">
        <v>465</v>
      </c>
      <c r="DN64" s="632" t="s">
        <v>504</v>
      </c>
      <c r="DO64" s="632" t="s">
        <v>465</v>
      </c>
      <c r="DP64" s="710" t="s">
        <v>465</v>
      </c>
      <c r="DQ64" s="632" t="s">
        <v>500</v>
      </c>
      <c r="DR64" s="632" t="s">
        <v>827</v>
      </c>
      <c r="DS64" s="710">
        <v>2000</v>
      </c>
      <c r="DT64" s="632" t="s">
        <v>504</v>
      </c>
      <c r="DU64" s="710" t="s">
        <v>465</v>
      </c>
      <c r="DV64" s="710" t="s">
        <v>465</v>
      </c>
      <c r="DW64" s="632" t="s">
        <v>504</v>
      </c>
      <c r="DX64" s="632" t="s">
        <v>465</v>
      </c>
      <c r="DY64" s="710" t="s">
        <v>465</v>
      </c>
      <c r="DZ64" s="632" t="s">
        <v>504</v>
      </c>
      <c r="EA64" s="632" t="s">
        <v>465</v>
      </c>
      <c r="EB64" s="710" t="s">
        <v>465</v>
      </c>
      <c r="EC64" s="632" t="s">
        <v>504</v>
      </c>
      <c r="ED64" s="632" t="s">
        <v>465</v>
      </c>
      <c r="EE64" s="710" t="s">
        <v>465</v>
      </c>
      <c r="EF64" s="632" t="s">
        <v>504</v>
      </c>
      <c r="EG64" s="710" t="s">
        <v>465</v>
      </c>
      <c r="EH64" s="710" t="s">
        <v>465</v>
      </c>
      <c r="EI64" s="632" t="s">
        <v>504</v>
      </c>
      <c r="EJ64" s="632" t="s">
        <v>465</v>
      </c>
      <c r="EK64" s="710" t="s">
        <v>465</v>
      </c>
      <c r="EL64" s="632" t="s">
        <v>504</v>
      </c>
      <c r="EM64" s="632" t="s">
        <v>828</v>
      </c>
      <c r="EN64" s="632">
        <v>19</v>
      </c>
      <c r="EO64" s="632" t="s">
        <v>504</v>
      </c>
      <c r="EP64" s="632" t="s">
        <v>465</v>
      </c>
      <c r="EQ64" s="653" t="s">
        <v>829</v>
      </c>
      <c r="ER64" s="632" t="s">
        <v>465</v>
      </c>
      <c r="ES64" s="632" t="s">
        <v>465</v>
      </c>
      <c r="ET64" s="632" t="s">
        <v>465</v>
      </c>
      <c r="EU64" s="632" t="s">
        <v>465</v>
      </c>
      <c r="EV64" s="632" t="s">
        <v>465</v>
      </c>
      <c r="EW64" s="632" t="s">
        <v>465</v>
      </c>
      <c r="EX64" s="632" t="s">
        <v>465</v>
      </c>
    </row>
    <row r="65" spans="3:154" ht="102" customHeight="1" x14ac:dyDescent="0.2">
      <c r="C65" s="1156" t="s">
        <v>693</v>
      </c>
      <c r="D65" s="1156" t="s">
        <v>5277</v>
      </c>
      <c r="E65" s="738" t="s">
        <v>317</v>
      </c>
      <c r="F65" s="738" t="s">
        <v>402</v>
      </c>
      <c r="G65" s="738"/>
      <c r="H65" s="632" t="s">
        <v>830</v>
      </c>
      <c r="I65" s="632" t="s">
        <v>728</v>
      </c>
      <c r="J65" s="637">
        <v>2015</v>
      </c>
      <c r="K65" s="377">
        <v>43831</v>
      </c>
      <c r="L65" s="377">
        <v>44180</v>
      </c>
      <c r="M65" s="1369">
        <f t="shared" si="5"/>
        <v>349</v>
      </c>
      <c r="N65" s="738" t="s">
        <v>831</v>
      </c>
      <c r="O65" s="738" t="s">
        <v>832</v>
      </c>
      <c r="P65" s="748" t="s">
        <v>833</v>
      </c>
      <c r="Q65" s="632" t="s">
        <v>465</v>
      </c>
      <c r="R65" s="632" t="s">
        <v>465</v>
      </c>
      <c r="S65" s="632" t="s">
        <v>465</v>
      </c>
      <c r="T65" s="632" t="s">
        <v>465</v>
      </c>
      <c r="U65" s="632" t="s">
        <v>465</v>
      </c>
      <c r="V65" s="632" t="s">
        <v>465</v>
      </c>
      <c r="W65" s="632" t="s">
        <v>834</v>
      </c>
      <c r="X65" s="1210" t="s">
        <v>835</v>
      </c>
      <c r="Y65" s="1210"/>
      <c r="Z65" s="1210"/>
      <c r="AA65" s="632" t="s">
        <v>836</v>
      </c>
      <c r="AB65" s="632" t="s">
        <v>836</v>
      </c>
      <c r="AC65" s="632" t="s">
        <v>622</v>
      </c>
      <c r="AD65" s="632" t="s">
        <v>837</v>
      </c>
      <c r="AE65" s="702">
        <v>162.5</v>
      </c>
      <c r="AF65" s="671">
        <f t="shared" si="1"/>
        <v>162.5</v>
      </c>
      <c r="AG65" s="671">
        <f t="shared" si="2"/>
        <v>0</v>
      </c>
      <c r="AH65" s="702">
        <v>79.900000000000006</v>
      </c>
      <c r="AI65" s="683">
        <f>AH65/AE65</f>
        <v>0.49169230769230771</v>
      </c>
      <c r="AJ65" s="683">
        <f>AH65/39702.2</f>
        <v>2.0124829354544586E-3</v>
      </c>
      <c r="AK65" s="702">
        <v>48</v>
      </c>
      <c r="AL65" s="683">
        <f>AK65/AE65</f>
        <v>0.29538461538461541</v>
      </c>
      <c r="AM65" s="683"/>
      <c r="AN65" s="702">
        <v>34.6</v>
      </c>
      <c r="AO65" s="683">
        <f>AN65/AE65</f>
        <v>0.21292307692307694</v>
      </c>
      <c r="AP65" s="702"/>
      <c r="AQ65" s="683"/>
      <c r="AR65" s="702"/>
      <c r="AS65" s="683"/>
      <c r="AT65" s="632"/>
      <c r="AU65" s="632"/>
      <c r="AV65" s="632" t="s">
        <v>465</v>
      </c>
      <c r="AW65" s="632" t="s">
        <v>500</v>
      </c>
      <c r="AX65" s="632" t="s">
        <v>838</v>
      </c>
      <c r="AY65" s="632" t="s">
        <v>465</v>
      </c>
      <c r="AZ65" s="683" t="s">
        <v>465</v>
      </c>
      <c r="BA65" s="699">
        <v>80</v>
      </c>
      <c r="BB65" s="683">
        <f>BA65/37675.7</f>
        <v>2.1233845688334923E-3</v>
      </c>
      <c r="BC65" s="710">
        <v>308</v>
      </c>
      <c r="BD65" s="710">
        <v>308</v>
      </c>
      <c r="BE65" s="706">
        <v>209</v>
      </c>
      <c r="BF65" s="710">
        <v>47</v>
      </c>
      <c r="BG65" s="710">
        <v>0</v>
      </c>
      <c r="BH65" s="710">
        <v>14</v>
      </c>
      <c r="BI65" s="710">
        <v>0</v>
      </c>
      <c r="BJ65" s="710">
        <v>0</v>
      </c>
      <c r="BK65" s="710">
        <v>7</v>
      </c>
      <c r="BL65" s="710">
        <v>29</v>
      </c>
      <c r="BM65" s="710">
        <v>25</v>
      </c>
      <c r="BN65" s="710">
        <v>23</v>
      </c>
      <c r="BO65" s="710">
        <v>10</v>
      </c>
      <c r="BP65" s="710">
        <v>14</v>
      </c>
      <c r="BQ65" s="710">
        <v>9</v>
      </c>
      <c r="BR65" s="710">
        <v>2</v>
      </c>
      <c r="BS65" s="710">
        <v>0</v>
      </c>
      <c r="BT65" s="710">
        <v>0</v>
      </c>
      <c r="BU65" s="710">
        <v>0</v>
      </c>
      <c r="BV65" s="710">
        <v>0</v>
      </c>
      <c r="BW65" s="710">
        <v>0</v>
      </c>
      <c r="BX65" s="710">
        <v>0</v>
      </c>
      <c r="BY65" s="710">
        <v>29</v>
      </c>
      <c r="BZ65" s="710">
        <v>0</v>
      </c>
      <c r="CA65" s="717">
        <f t="shared" si="9"/>
        <v>209</v>
      </c>
      <c r="CB65" s="717">
        <f t="shared" si="3"/>
        <v>209</v>
      </c>
      <c r="CC65" s="717">
        <f t="shared" si="4"/>
        <v>0</v>
      </c>
      <c r="CD65" s="670">
        <v>422</v>
      </c>
      <c r="CE65" s="632" t="s">
        <v>839</v>
      </c>
      <c r="CF65" s="632" t="s">
        <v>465</v>
      </c>
      <c r="CG65" s="683">
        <v>0.66600000000000004</v>
      </c>
      <c r="CH65" s="670">
        <v>633.38499999999999</v>
      </c>
      <c r="CI65" s="733" t="s">
        <v>826</v>
      </c>
      <c r="CJ65" s="632" t="s">
        <v>504</v>
      </c>
      <c r="CK65" s="632" t="s">
        <v>465</v>
      </c>
      <c r="CL65" s="632" t="s">
        <v>465</v>
      </c>
      <c r="CM65" s="710" t="s">
        <v>465</v>
      </c>
      <c r="CN65" s="710" t="s">
        <v>465</v>
      </c>
      <c r="CO65" s="710">
        <v>2</v>
      </c>
      <c r="CP65" s="632" t="s">
        <v>500</v>
      </c>
      <c r="CQ65" s="632" t="s">
        <v>840</v>
      </c>
      <c r="CR65" s="710">
        <v>3207</v>
      </c>
      <c r="CS65" s="632" t="s">
        <v>500</v>
      </c>
      <c r="CT65" s="632" t="s">
        <v>841</v>
      </c>
      <c r="CU65" s="710">
        <v>14500</v>
      </c>
      <c r="CV65" s="710" t="s">
        <v>504</v>
      </c>
      <c r="CW65" s="710" t="s">
        <v>465</v>
      </c>
      <c r="CX65" s="710" t="s">
        <v>465</v>
      </c>
      <c r="CY65" s="710" t="s">
        <v>504</v>
      </c>
      <c r="CZ65" s="710" t="s">
        <v>465</v>
      </c>
      <c r="DA65" s="710" t="s">
        <v>465</v>
      </c>
      <c r="DB65" s="632" t="s">
        <v>504</v>
      </c>
      <c r="DC65" s="632" t="s">
        <v>465</v>
      </c>
      <c r="DD65" s="710" t="s">
        <v>465</v>
      </c>
      <c r="DE65" s="632" t="s">
        <v>504</v>
      </c>
      <c r="DF65" s="632" t="s">
        <v>465</v>
      </c>
      <c r="DG65" s="710" t="s">
        <v>465</v>
      </c>
      <c r="DH65" s="632" t="s">
        <v>504</v>
      </c>
      <c r="DI65" s="632" t="s">
        <v>465</v>
      </c>
      <c r="DJ65" s="710" t="s">
        <v>465</v>
      </c>
      <c r="DK65" s="632" t="s">
        <v>504</v>
      </c>
      <c r="DL65" s="632" t="s">
        <v>465</v>
      </c>
      <c r="DM65" s="710" t="s">
        <v>465</v>
      </c>
      <c r="DN65" s="632" t="s">
        <v>500</v>
      </c>
      <c r="DO65" s="632" t="s">
        <v>842</v>
      </c>
      <c r="DP65" s="710">
        <v>450</v>
      </c>
      <c r="DQ65" s="632" t="s">
        <v>500</v>
      </c>
      <c r="DR65" s="632" t="s">
        <v>843</v>
      </c>
      <c r="DS65" s="710">
        <v>12500</v>
      </c>
      <c r="DT65" s="710" t="s">
        <v>504</v>
      </c>
      <c r="DU65" s="710" t="s">
        <v>465</v>
      </c>
      <c r="DV65" s="710" t="s">
        <v>465</v>
      </c>
      <c r="DW65" s="632" t="s">
        <v>504</v>
      </c>
      <c r="DX65" s="632" t="s">
        <v>465</v>
      </c>
      <c r="DY65" s="710" t="s">
        <v>465</v>
      </c>
      <c r="DZ65" s="632" t="s">
        <v>504</v>
      </c>
      <c r="EA65" s="632" t="s">
        <v>465</v>
      </c>
      <c r="EB65" s="710" t="s">
        <v>465</v>
      </c>
      <c r="EC65" s="632" t="s">
        <v>500</v>
      </c>
      <c r="ED65" s="632" t="s">
        <v>480</v>
      </c>
      <c r="EE65" s="710">
        <v>23</v>
      </c>
      <c r="EF65" s="710" t="s">
        <v>504</v>
      </c>
      <c r="EG65" s="710" t="s">
        <v>465</v>
      </c>
      <c r="EH65" s="710" t="s">
        <v>465</v>
      </c>
      <c r="EI65" s="632" t="s">
        <v>504</v>
      </c>
      <c r="EJ65" s="632" t="s">
        <v>465</v>
      </c>
      <c r="EK65" s="710" t="s">
        <v>465</v>
      </c>
      <c r="EL65" s="688">
        <v>1</v>
      </c>
      <c r="EM65" s="632" t="s">
        <v>465</v>
      </c>
      <c r="EN65" s="710">
        <v>104</v>
      </c>
      <c r="EO65" s="632" t="s">
        <v>504</v>
      </c>
      <c r="EP65" s="632" t="s">
        <v>465</v>
      </c>
      <c r="EQ65" s="653" t="s">
        <v>844</v>
      </c>
      <c r="ER65" s="632" t="s">
        <v>465</v>
      </c>
      <c r="ES65" s="632" t="s">
        <v>465</v>
      </c>
      <c r="ET65" s="632" t="s">
        <v>845</v>
      </c>
      <c r="EU65" s="632" t="s">
        <v>465</v>
      </c>
      <c r="EV65" s="632" t="s">
        <v>846</v>
      </c>
      <c r="EW65" s="632" t="s">
        <v>465</v>
      </c>
      <c r="EX65" s="632" t="s">
        <v>465</v>
      </c>
    </row>
    <row r="66" spans="3:154" ht="75" customHeight="1" x14ac:dyDescent="0.2">
      <c r="C66" s="1156" t="s">
        <v>5481</v>
      </c>
      <c r="D66" s="1156" t="s">
        <v>5277</v>
      </c>
      <c r="E66" s="738" t="s">
        <v>317</v>
      </c>
      <c r="F66" s="738" t="s">
        <v>402</v>
      </c>
      <c r="G66" s="738"/>
      <c r="H66" s="632" t="s">
        <v>830</v>
      </c>
      <c r="I66" s="632" t="s">
        <v>729</v>
      </c>
      <c r="J66" s="637">
        <v>2017</v>
      </c>
      <c r="K66" s="377">
        <v>44069</v>
      </c>
      <c r="L66" s="377">
        <v>44115</v>
      </c>
      <c r="M66" s="1369">
        <f t="shared" si="5"/>
        <v>46</v>
      </c>
      <c r="N66" s="632" t="s">
        <v>847</v>
      </c>
      <c r="O66" s="632" t="s">
        <v>848</v>
      </c>
      <c r="P66" s="653" t="s">
        <v>849</v>
      </c>
      <c r="Q66" s="632" t="s">
        <v>465</v>
      </c>
      <c r="R66" s="632" t="s">
        <v>465</v>
      </c>
      <c r="S66" s="632" t="s">
        <v>465</v>
      </c>
      <c r="T66" s="632" t="s">
        <v>465</v>
      </c>
      <c r="U66" s="632" t="s">
        <v>465</v>
      </c>
      <c r="V66" s="632" t="s">
        <v>465</v>
      </c>
      <c r="W66" s="632" t="s">
        <v>850</v>
      </c>
      <c r="X66" s="653" t="s">
        <v>835</v>
      </c>
      <c r="Y66" s="653"/>
      <c r="Z66" s="653"/>
      <c r="AA66" s="632" t="s">
        <v>851</v>
      </c>
      <c r="AB66" s="632" t="s">
        <v>851</v>
      </c>
      <c r="AC66" s="632" t="s">
        <v>622</v>
      </c>
      <c r="AD66" s="632" t="s">
        <v>852</v>
      </c>
      <c r="AE66" s="702">
        <f>AH66+AK66</f>
        <v>117.62</v>
      </c>
      <c r="AF66" s="671">
        <f t="shared" si="1"/>
        <v>117.62</v>
      </c>
      <c r="AG66" s="671">
        <f t="shared" si="2"/>
        <v>0</v>
      </c>
      <c r="AH66" s="702">
        <v>58.81</v>
      </c>
      <c r="AI66" s="683">
        <f>AH66/AE66</f>
        <v>0.5</v>
      </c>
      <c r="AJ66" s="683">
        <f>AH66/39702.2</f>
        <v>1.4812781155704219E-3</v>
      </c>
      <c r="AK66" s="702">
        <v>58.81</v>
      </c>
      <c r="AL66" s="683">
        <v>0.5</v>
      </c>
      <c r="AM66" s="683"/>
      <c r="AN66" s="702"/>
      <c r="AO66" s="683"/>
      <c r="AP66" s="702"/>
      <c r="AQ66" s="683"/>
      <c r="AR66" s="702"/>
      <c r="AS66" s="683"/>
      <c r="AT66" s="632"/>
      <c r="AU66" s="632"/>
      <c r="AV66" s="632" t="s">
        <v>465</v>
      </c>
      <c r="AW66" s="632" t="s">
        <v>504</v>
      </c>
      <c r="AX66" s="632" t="s">
        <v>465</v>
      </c>
      <c r="AY66" s="632" t="s">
        <v>465</v>
      </c>
      <c r="AZ66" s="683" t="s">
        <v>465</v>
      </c>
      <c r="BA66" s="706">
        <v>70</v>
      </c>
      <c r="BB66" s="683">
        <f>BA66/37675.7</f>
        <v>1.8579614977293057E-3</v>
      </c>
      <c r="BC66" s="710">
        <v>100</v>
      </c>
      <c r="BD66" s="710">
        <v>100</v>
      </c>
      <c r="BE66" s="706">
        <v>77</v>
      </c>
      <c r="BF66" s="710">
        <v>0</v>
      </c>
      <c r="BG66" s="710">
        <v>77</v>
      </c>
      <c r="BH66" s="710">
        <v>0</v>
      </c>
      <c r="BI66" s="710">
        <v>0</v>
      </c>
      <c r="BJ66" s="710">
        <v>0</v>
      </c>
      <c r="BK66" s="710">
        <v>0</v>
      </c>
      <c r="BL66" s="710">
        <v>0</v>
      </c>
      <c r="BM66" s="710">
        <v>0</v>
      </c>
      <c r="BN66" s="710">
        <v>0</v>
      </c>
      <c r="BO66" s="710">
        <v>0</v>
      </c>
      <c r="BP66" s="710">
        <v>0</v>
      </c>
      <c r="BQ66" s="710">
        <v>0</v>
      </c>
      <c r="BR66" s="710">
        <v>0</v>
      </c>
      <c r="BS66" s="710">
        <v>0</v>
      </c>
      <c r="BT66" s="710">
        <v>0</v>
      </c>
      <c r="BU66" s="710">
        <v>0</v>
      </c>
      <c r="BV66" s="710">
        <v>0</v>
      </c>
      <c r="BW66" s="710">
        <v>0</v>
      </c>
      <c r="BX66" s="710">
        <v>0</v>
      </c>
      <c r="BY66" s="710">
        <v>0</v>
      </c>
      <c r="BZ66" s="710">
        <v>0</v>
      </c>
      <c r="CA66" s="717">
        <f t="shared" si="9"/>
        <v>77</v>
      </c>
      <c r="CB66" s="717">
        <f t="shared" si="3"/>
        <v>77</v>
      </c>
      <c r="CC66" s="717">
        <f t="shared" si="4"/>
        <v>0</v>
      </c>
      <c r="CD66" s="670">
        <v>12.2</v>
      </c>
      <c r="CE66" s="632" t="s">
        <v>839</v>
      </c>
      <c r="CF66" s="1198" t="s">
        <v>465</v>
      </c>
      <c r="CG66" s="683">
        <f>CD66/CH66</f>
        <v>1.9261586554781055E-2</v>
      </c>
      <c r="CH66" s="670">
        <v>633.38499999999999</v>
      </c>
      <c r="CI66" s="733" t="s">
        <v>826</v>
      </c>
      <c r="CJ66" s="632" t="s">
        <v>504</v>
      </c>
      <c r="CK66" s="632" t="s">
        <v>465</v>
      </c>
      <c r="CL66" s="632" t="s">
        <v>465</v>
      </c>
      <c r="CM66" s="632" t="s">
        <v>465</v>
      </c>
      <c r="CN66" s="632" t="s">
        <v>465</v>
      </c>
      <c r="CO66" s="710">
        <v>2</v>
      </c>
      <c r="CP66" s="632" t="s">
        <v>500</v>
      </c>
      <c r="CQ66" s="632" t="s">
        <v>853</v>
      </c>
      <c r="CR66" s="710">
        <v>11513</v>
      </c>
      <c r="CS66" s="632" t="s">
        <v>504</v>
      </c>
      <c r="CT66" s="632" t="s">
        <v>465</v>
      </c>
      <c r="CU66" s="710" t="s">
        <v>465</v>
      </c>
      <c r="CV66" s="710" t="s">
        <v>504</v>
      </c>
      <c r="CW66" s="710" t="s">
        <v>465</v>
      </c>
      <c r="CX66" s="710" t="s">
        <v>465</v>
      </c>
      <c r="CY66" s="710" t="s">
        <v>504</v>
      </c>
      <c r="CZ66" s="710" t="s">
        <v>465</v>
      </c>
      <c r="DA66" s="710" t="s">
        <v>465</v>
      </c>
      <c r="DB66" s="632" t="s">
        <v>504</v>
      </c>
      <c r="DC66" s="632" t="s">
        <v>465</v>
      </c>
      <c r="DD66" s="710" t="s">
        <v>465</v>
      </c>
      <c r="DE66" s="632" t="s">
        <v>504</v>
      </c>
      <c r="DF66" s="632" t="s">
        <v>465</v>
      </c>
      <c r="DG66" s="710" t="s">
        <v>465</v>
      </c>
      <c r="DH66" s="632" t="s">
        <v>504</v>
      </c>
      <c r="DI66" s="632" t="s">
        <v>465</v>
      </c>
      <c r="DJ66" s="710" t="s">
        <v>465</v>
      </c>
      <c r="DK66" s="632" t="s">
        <v>504</v>
      </c>
      <c r="DL66" s="632" t="s">
        <v>465</v>
      </c>
      <c r="DM66" s="710" t="s">
        <v>465</v>
      </c>
      <c r="DN66" s="632" t="s">
        <v>504</v>
      </c>
      <c r="DO66" s="632" t="s">
        <v>465</v>
      </c>
      <c r="DP66" s="710" t="s">
        <v>465</v>
      </c>
      <c r="DQ66" s="632" t="s">
        <v>500</v>
      </c>
      <c r="DR66" s="632" t="s">
        <v>854</v>
      </c>
      <c r="DS66" s="710">
        <v>12261</v>
      </c>
      <c r="DT66" s="632" t="s">
        <v>504</v>
      </c>
      <c r="DU66" s="632" t="s">
        <v>465</v>
      </c>
      <c r="DV66" s="710" t="s">
        <v>465</v>
      </c>
      <c r="DW66" s="632" t="s">
        <v>504</v>
      </c>
      <c r="DX66" s="632" t="s">
        <v>465</v>
      </c>
      <c r="DY66" s="710" t="s">
        <v>465</v>
      </c>
      <c r="DZ66" s="632" t="s">
        <v>504</v>
      </c>
      <c r="EA66" s="632" t="s">
        <v>465</v>
      </c>
      <c r="EB66" s="710" t="s">
        <v>465</v>
      </c>
      <c r="EC66" s="632" t="s">
        <v>504</v>
      </c>
      <c r="ED66" s="632" t="s">
        <v>465</v>
      </c>
      <c r="EE66" s="710" t="s">
        <v>465</v>
      </c>
      <c r="EF66" s="632" t="s">
        <v>504</v>
      </c>
      <c r="EG66" s="632" t="s">
        <v>465</v>
      </c>
      <c r="EH66" s="710" t="s">
        <v>465</v>
      </c>
      <c r="EI66" s="632" t="s">
        <v>504</v>
      </c>
      <c r="EJ66" s="632" t="s">
        <v>465</v>
      </c>
      <c r="EK66" s="710" t="s">
        <v>465</v>
      </c>
      <c r="EL66" s="688">
        <v>1</v>
      </c>
      <c r="EM66" s="632" t="s">
        <v>465</v>
      </c>
      <c r="EN66" s="710">
        <v>55</v>
      </c>
      <c r="EO66" s="632" t="s">
        <v>504</v>
      </c>
      <c r="EP66" s="632" t="s">
        <v>465</v>
      </c>
      <c r="EQ66" s="653" t="s">
        <v>855</v>
      </c>
      <c r="ER66" s="632" t="s">
        <v>465</v>
      </c>
      <c r="ES66" s="632" t="s">
        <v>465</v>
      </c>
      <c r="ET66" s="632" t="s">
        <v>856</v>
      </c>
      <c r="EU66" s="632" t="s">
        <v>465</v>
      </c>
      <c r="EV66" s="632" t="s">
        <v>465</v>
      </c>
      <c r="EW66" s="632" t="s">
        <v>465</v>
      </c>
      <c r="EX66" s="632" t="s">
        <v>465</v>
      </c>
    </row>
    <row r="67" spans="3:154" ht="75.95" customHeight="1" x14ac:dyDescent="0.2">
      <c r="C67" s="1156" t="s">
        <v>5479</v>
      </c>
      <c r="D67" s="1156" t="s">
        <v>5277</v>
      </c>
      <c r="E67" s="738" t="s">
        <v>317</v>
      </c>
      <c r="F67" s="738" t="s">
        <v>402</v>
      </c>
      <c r="G67" s="738"/>
      <c r="H67" s="632" t="s">
        <v>857</v>
      </c>
      <c r="I67" s="632" t="s">
        <v>858</v>
      </c>
      <c r="J67" s="637">
        <v>2017</v>
      </c>
      <c r="K67" s="377">
        <v>43831</v>
      </c>
      <c r="L67" s="377">
        <v>44196</v>
      </c>
      <c r="M67" s="1369">
        <f t="shared" si="5"/>
        <v>365</v>
      </c>
      <c r="N67" s="632" t="s">
        <v>859</v>
      </c>
      <c r="O67" s="632" t="s">
        <v>859</v>
      </c>
      <c r="P67" s="653" t="s">
        <v>860</v>
      </c>
      <c r="Q67" s="632" t="s">
        <v>465</v>
      </c>
      <c r="R67" s="632" t="s">
        <v>465</v>
      </c>
      <c r="S67" s="632" t="s">
        <v>465</v>
      </c>
      <c r="T67" s="632" t="s">
        <v>465</v>
      </c>
      <c r="U67" s="632" t="s">
        <v>465</v>
      </c>
      <c r="V67" s="632" t="s">
        <v>465</v>
      </c>
      <c r="W67" s="632" t="s">
        <v>465</v>
      </c>
      <c r="X67" s="632" t="s">
        <v>465</v>
      </c>
      <c r="Y67" s="632"/>
      <c r="Z67" s="632"/>
      <c r="AA67" s="632" t="s">
        <v>861</v>
      </c>
      <c r="AB67" s="632" t="s">
        <v>861</v>
      </c>
      <c r="AC67" s="632" t="s">
        <v>622</v>
      </c>
      <c r="AD67" s="632" t="s">
        <v>852</v>
      </c>
      <c r="AE67" s="702">
        <v>274.77199999999999</v>
      </c>
      <c r="AF67" s="671">
        <f t="shared" si="1"/>
        <v>274.77199999999999</v>
      </c>
      <c r="AG67" s="671">
        <f t="shared" si="2"/>
        <v>0</v>
      </c>
      <c r="AH67" s="702">
        <v>2.016</v>
      </c>
      <c r="AI67" s="683">
        <f>AH67/AE67</f>
        <v>7.3369921243794855E-3</v>
      </c>
      <c r="AJ67" s="683">
        <f>AH67/39702.2</f>
        <v>5.0778042526610618E-5</v>
      </c>
      <c r="AK67" s="702">
        <v>70.12</v>
      </c>
      <c r="AL67" s="683">
        <f>AK67/AE67</f>
        <v>0.25519339670708807</v>
      </c>
      <c r="AM67" s="683"/>
      <c r="AN67" s="702">
        <v>3.036</v>
      </c>
      <c r="AO67" s="683">
        <f>AN67/AE67</f>
        <v>1.1049160758738154E-2</v>
      </c>
      <c r="AP67" s="702"/>
      <c r="AQ67" s="683"/>
      <c r="AR67" s="702">
        <v>199.6</v>
      </c>
      <c r="AS67" s="683">
        <v>0.72629999999999995</v>
      </c>
      <c r="AT67" s="632" t="s">
        <v>862</v>
      </c>
      <c r="AU67" s="632" t="s">
        <v>709</v>
      </c>
      <c r="AV67" s="632" t="s">
        <v>861</v>
      </c>
      <c r="AW67" s="632" t="s">
        <v>500</v>
      </c>
      <c r="AX67" s="632" t="s">
        <v>838</v>
      </c>
      <c r="AY67" s="632" t="s">
        <v>465</v>
      </c>
      <c r="AZ67" s="683" t="s">
        <v>465</v>
      </c>
      <c r="BA67" s="699">
        <v>257.44009999999997</v>
      </c>
      <c r="BB67" s="683">
        <f>BA67/37675.7</f>
        <v>6.8330541967368888E-3</v>
      </c>
      <c r="BC67" s="710">
        <v>150</v>
      </c>
      <c r="BD67" s="710">
        <v>150</v>
      </c>
      <c r="BE67" s="706">
        <v>150</v>
      </c>
      <c r="BF67" s="710">
        <v>0</v>
      </c>
      <c r="BG67" s="710">
        <v>0</v>
      </c>
      <c r="BH67" s="710">
        <v>0</v>
      </c>
      <c r="BI67" s="710">
        <v>0</v>
      </c>
      <c r="BJ67" s="710">
        <v>0</v>
      </c>
      <c r="BK67" s="710">
        <v>0</v>
      </c>
      <c r="BL67" s="710">
        <v>0</v>
      </c>
      <c r="BM67" s="710">
        <v>0</v>
      </c>
      <c r="BN67" s="710">
        <v>0</v>
      </c>
      <c r="BO67" s="710">
        <v>118</v>
      </c>
      <c r="BP67" s="710">
        <v>0</v>
      </c>
      <c r="BQ67" s="710">
        <v>32</v>
      </c>
      <c r="BR67" s="710">
        <v>0</v>
      </c>
      <c r="BS67" s="710">
        <v>0</v>
      </c>
      <c r="BT67" s="710">
        <v>0</v>
      </c>
      <c r="BU67" s="710">
        <v>0</v>
      </c>
      <c r="BV67" s="710">
        <v>0</v>
      </c>
      <c r="BW67" s="710">
        <v>0</v>
      </c>
      <c r="BX67" s="710">
        <v>0</v>
      </c>
      <c r="BY67" s="710">
        <v>0</v>
      </c>
      <c r="BZ67" s="710">
        <v>0</v>
      </c>
      <c r="CA67" s="717">
        <f t="shared" si="9"/>
        <v>150</v>
      </c>
      <c r="CB67" s="717">
        <f t="shared" si="3"/>
        <v>150</v>
      </c>
      <c r="CC67" s="717">
        <f t="shared" si="4"/>
        <v>0</v>
      </c>
      <c r="CD67" s="670">
        <v>545.79999999999995</v>
      </c>
      <c r="CE67" s="632" t="s">
        <v>863</v>
      </c>
      <c r="CF67" s="632" t="s">
        <v>465</v>
      </c>
      <c r="CG67" s="683">
        <f>CD67/CH67</f>
        <v>0.86171917554094268</v>
      </c>
      <c r="CH67" s="670">
        <v>633.38499999999999</v>
      </c>
      <c r="CI67" s="733" t="s">
        <v>826</v>
      </c>
      <c r="CJ67" s="632" t="s">
        <v>504</v>
      </c>
      <c r="CK67" s="632" t="s">
        <v>465</v>
      </c>
      <c r="CL67" s="632" t="s">
        <v>465</v>
      </c>
      <c r="CM67" s="710" t="s">
        <v>465</v>
      </c>
      <c r="CN67" s="710" t="s">
        <v>465</v>
      </c>
      <c r="CO67" s="710">
        <v>2</v>
      </c>
      <c r="CP67" s="632" t="s">
        <v>500</v>
      </c>
      <c r="CQ67" s="632" t="s">
        <v>863</v>
      </c>
      <c r="CR67" s="710">
        <v>13699</v>
      </c>
      <c r="CS67" s="632" t="s">
        <v>500</v>
      </c>
      <c r="CT67" s="632" t="s">
        <v>864</v>
      </c>
      <c r="CU67" s="710">
        <v>43218</v>
      </c>
      <c r="CV67" s="710" t="s">
        <v>504</v>
      </c>
      <c r="CW67" s="710" t="s">
        <v>465</v>
      </c>
      <c r="CX67" s="710" t="s">
        <v>465</v>
      </c>
      <c r="CY67" s="710" t="s">
        <v>504</v>
      </c>
      <c r="CZ67" s="710" t="s">
        <v>465</v>
      </c>
      <c r="DA67" s="710" t="s">
        <v>465</v>
      </c>
      <c r="DB67" s="632" t="s">
        <v>504</v>
      </c>
      <c r="DC67" s="632"/>
      <c r="DD67" s="710"/>
      <c r="DE67" s="632" t="s">
        <v>504</v>
      </c>
      <c r="DF67" s="632" t="s">
        <v>465</v>
      </c>
      <c r="DG67" s="710" t="s">
        <v>465</v>
      </c>
      <c r="DH67" s="632" t="s">
        <v>504</v>
      </c>
      <c r="DI67" s="632" t="s">
        <v>465</v>
      </c>
      <c r="DJ67" s="710" t="s">
        <v>465</v>
      </c>
      <c r="DK67" s="632" t="s">
        <v>504</v>
      </c>
      <c r="DL67" s="632" t="s">
        <v>465</v>
      </c>
      <c r="DM67" s="710" t="s">
        <v>465</v>
      </c>
      <c r="DN67" s="632" t="s">
        <v>504</v>
      </c>
      <c r="DO67" s="632" t="s">
        <v>465</v>
      </c>
      <c r="DP67" s="710" t="s">
        <v>465</v>
      </c>
      <c r="DQ67" s="632" t="s">
        <v>500</v>
      </c>
      <c r="DR67" s="632" t="s">
        <v>865</v>
      </c>
      <c r="DS67" s="710">
        <v>50000</v>
      </c>
      <c r="DT67" s="710" t="s">
        <v>504</v>
      </c>
      <c r="DU67" s="710" t="s">
        <v>465</v>
      </c>
      <c r="DV67" s="710" t="s">
        <v>465</v>
      </c>
      <c r="DW67" s="632" t="s">
        <v>504</v>
      </c>
      <c r="DX67" s="632" t="s">
        <v>465</v>
      </c>
      <c r="DY67" s="710" t="s">
        <v>465</v>
      </c>
      <c r="DZ67" s="632" t="s">
        <v>504</v>
      </c>
      <c r="EA67" s="632" t="s">
        <v>465</v>
      </c>
      <c r="EB67" s="710" t="s">
        <v>465</v>
      </c>
      <c r="EC67" s="632" t="s">
        <v>500</v>
      </c>
      <c r="ED67" s="632" t="s">
        <v>796</v>
      </c>
      <c r="EE67" s="710">
        <v>41</v>
      </c>
      <c r="EF67" s="710" t="s">
        <v>504</v>
      </c>
      <c r="EG67" s="710" t="s">
        <v>465</v>
      </c>
      <c r="EH67" s="710" t="s">
        <v>465</v>
      </c>
      <c r="EI67" s="632" t="s">
        <v>504</v>
      </c>
      <c r="EJ67" s="632" t="s">
        <v>465</v>
      </c>
      <c r="EK67" s="710" t="s">
        <v>465</v>
      </c>
      <c r="EL67" s="688">
        <v>1</v>
      </c>
      <c r="EM67" s="632" t="s">
        <v>465</v>
      </c>
      <c r="EN67" s="710">
        <v>41</v>
      </c>
      <c r="EO67" s="632" t="s">
        <v>504</v>
      </c>
      <c r="EP67" s="632" t="s">
        <v>465</v>
      </c>
      <c r="EQ67" s="653" t="s">
        <v>866</v>
      </c>
      <c r="ER67" s="632" t="s">
        <v>465</v>
      </c>
      <c r="ES67" s="632" t="s">
        <v>465</v>
      </c>
      <c r="ET67" s="632" t="s">
        <v>465</v>
      </c>
      <c r="EU67" s="632" t="s">
        <v>465</v>
      </c>
      <c r="EV67" s="632" t="s">
        <v>465</v>
      </c>
      <c r="EW67" s="632" t="s">
        <v>465</v>
      </c>
      <c r="EX67" s="632" t="s">
        <v>465</v>
      </c>
    </row>
    <row r="68" spans="3:154" ht="81" customHeight="1" x14ac:dyDescent="0.2">
      <c r="C68" s="1156" t="s">
        <v>693</v>
      </c>
      <c r="D68" s="1156" t="s">
        <v>5277</v>
      </c>
      <c r="E68" s="738" t="s">
        <v>318</v>
      </c>
      <c r="F68" s="738" t="s">
        <v>403</v>
      </c>
      <c r="G68" s="738"/>
      <c r="H68" s="738" t="s">
        <v>2465</v>
      </c>
      <c r="I68" s="738" t="s">
        <v>2465</v>
      </c>
      <c r="J68" s="738">
        <v>2020</v>
      </c>
      <c r="K68" s="1096">
        <v>43978</v>
      </c>
      <c r="L68" s="1096">
        <v>44195</v>
      </c>
      <c r="M68" s="1369">
        <f t="shared" si="5"/>
        <v>217</v>
      </c>
      <c r="N68" s="738" t="s">
        <v>2466</v>
      </c>
      <c r="O68" s="632" t="s">
        <v>2467</v>
      </c>
      <c r="P68" s="632" t="s">
        <v>2468</v>
      </c>
      <c r="Q68" s="653"/>
      <c r="R68" s="632"/>
      <c r="S68" s="632"/>
      <c r="T68" s="632"/>
      <c r="U68" s="738" t="s">
        <v>2469</v>
      </c>
      <c r="V68" s="738" t="s">
        <v>2470</v>
      </c>
      <c r="W68" s="738" t="s">
        <v>2471</v>
      </c>
      <c r="X68" s="738" t="s">
        <v>2472</v>
      </c>
      <c r="Y68" s="738"/>
      <c r="Z68" s="738"/>
      <c r="AA68" s="738" t="s">
        <v>2473</v>
      </c>
      <c r="AB68" s="738" t="s">
        <v>2474</v>
      </c>
      <c r="AC68" s="738" t="s">
        <v>1448</v>
      </c>
      <c r="AD68" s="738" t="s">
        <v>2475</v>
      </c>
      <c r="AE68" s="1167">
        <v>239.73519999999999</v>
      </c>
      <c r="AF68" s="671">
        <f t="shared" si="1"/>
        <v>239.7354</v>
      </c>
      <c r="AG68" s="671">
        <f t="shared" si="2"/>
        <v>2.0000000000663931E-4</v>
      </c>
      <c r="AH68" s="1167">
        <v>239.7354</v>
      </c>
      <c r="AI68" s="1168">
        <v>1</v>
      </c>
      <c r="AJ68" s="1168">
        <v>7.5000000000000002E-4</v>
      </c>
      <c r="AK68" s="702">
        <v>0</v>
      </c>
      <c r="AL68" s="683">
        <v>0</v>
      </c>
      <c r="AM68" s="683"/>
      <c r="AN68" s="702">
        <v>0</v>
      </c>
      <c r="AO68" s="683">
        <v>0</v>
      </c>
      <c r="AP68" s="702">
        <v>0</v>
      </c>
      <c r="AQ68" s="683">
        <v>0</v>
      </c>
      <c r="AR68" s="702">
        <v>0</v>
      </c>
      <c r="AS68" s="683">
        <v>0</v>
      </c>
      <c r="AT68" s="632"/>
      <c r="AU68" s="632"/>
      <c r="AV68" s="632"/>
      <c r="AW68" s="632" t="s">
        <v>504</v>
      </c>
      <c r="AX68" s="632"/>
      <c r="AY68" s="632"/>
      <c r="AZ68" s="683"/>
      <c r="BA68" s="697">
        <v>239.73519999999999</v>
      </c>
      <c r="BB68" s="1168">
        <v>7.3999999999999999E-4</v>
      </c>
      <c r="BC68" s="822">
        <v>241</v>
      </c>
      <c r="BD68" s="822">
        <v>241</v>
      </c>
      <c r="BE68" s="1201">
        <v>183</v>
      </c>
      <c r="BF68" s="822" t="s">
        <v>465</v>
      </c>
      <c r="BG68" s="822">
        <v>17</v>
      </c>
      <c r="BH68" s="822">
        <v>9</v>
      </c>
      <c r="BI68" s="822" t="s">
        <v>465</v>
      </c>
      <c r="BJ68" s="822" t="s">
        <v>465</v>
      </c>
      <c r="BK68" s="822" t="s">
        <v>465</v>
      </c>
      <c r="BL68" s="822" t="s">
        <v>465</v>
      </c>
      <c r="BM68" s="822" t="s">
        <v>465</v>
      </c>
      <c r="BN68" s="822">
        <v>22</v>
      </c>
      <c r="BO68" s="822" t="s">
        <v>465</v>
      </c>
      <c r="BP68" s="822">
        <v>35</v>
      </c>
      <c r="BQ68" s="822">
        <v>86</v>
      </c>
      <c r="BR68" s="822">
        <v>14</v>
      </c>
      <c r="BS68" s="710"/>
      <c r="BT68" s="710"/>
      <c r="BU68" s="710"/>
      <c r="BV68" s="710"/>
      <c r="BW68" s="710"/>
      <c r="BX68" s="710"/>
      <c r="BY68" s="710"/>
      <c r="BZ68" s="710"/>
      <c r="CA68" s="717">
        <f t="shared" si="9"/>
        <v>183</v>
      </c>
      <c r="CB68" s="717">
        <f t="shared" si="3"/>
        <v>183</v>
      </c>
      <c r="CC68" s="717">
        <f t="shared" si="4"/>
        <v>0</v>
      </c>
      <c r="CD68" s="697">
        <v>360.15300000000002</v>
      </c>
      <c r="CE68" s="738" t="s">
        <v>2471</v>
      </c>
      <c r="CF68" s="738" t="s">
        <v>2472</v>
      </c>
      <c r="CG68" s="738">
        <v>30</v>
      </c>
      <c r="CH68" s="738">
        <v>5675.4620000000004</v>
      </c>
      <c r="CI68" s="632" t="s">
        <v>2476</v>
      </c>
      <c r="CJ68" s="632" t="s">
        <v>504</v>
      </c>
      <c r="CK68" s="632"/>
      <c r="CL68" s="632"/>
      <c r="CM68" s="710"/>
      <c r="CN68" s="710"/>
      <c r="CO68" s="710">
        <v>5</v>
      </c>
      <c r="CP68" s="738" t="s">
        <v>500</v>
      </c>
      <c r="CQ68" s="738" t="s">
        <v>1348</v>
      </c>
      <c r="CR68" s="822">
        <v>36015</v>
      </c>
      <c r="CS68" s="738" t="s">
        <v>500</v>
      </c>
      <c r="CT68" s="738" t="s">
        <v>1348</v>
      </c>
      <c r="CU68" s="822">
        <v>324138</v>
      </c>
      <c r="CV68" s="738" t="s">
        <v>504</v>
      </c>
      <c r="CW68" s="738" t="s">
        <v>465</v>
      </c>
      <c r="CX68" s="822" t="s">
        <v>465</v>
      </c>
      <c r="CY68" s="738" t="s">
        <v>504</v>
      </c>
      <c r="CZ68" s="738" t="s">
        <v>465</v>
      </c>
      <c r="DA68" s="822" t="s">
        <v>465</v>
      </c>
      <c r="DB68" s="738" t="s">
        <v>504</v>
      </c>
      <c r="DC68" s="738" t="s">
        <v>465</v>
      </c>
      <c r="DD68" s="822" t="s">
        <v>465</v>
      </c>
      <c r="DE68" s="738" t="s">
        <v>504</v>
      </c>
      <c r="DF68" s="738" t="s">
        <v>465</v>
      </c>
      <c r="DG68" s="822" t="s">
        <v>465</v>
      </c>
      <c r="DH68" s="738" t="s">
        <v>504</v>
      </c>
      <c r="DI68" s="738" t="s">
        <v>465</v>
      </c>
      <c r="DJ68" s="822" t="s">
        <v>465</v>
      </c>
      <c r="DK68" s="738" t="s">
        <v>504</v>
      </c>
      <c r="DL68" s="738"/>
      <c r="DM68" s="822"/>
      <c r="DN68" s="738" t="s">
        <v>504</v>
      </c>
      <c r="DO68" s="738" t="s">
        <v>465</v>
      </c>
      <c r="DP68" s="822" t="s">
        <v>465</v>
      </c>
      <c r="DQ68" s="738" t="s">
        <v>504</v>
      </c>
      <c r="DR68" s="738" t="s">
        <v>465</v>
      </c>
      <c r="DS68" s="822" t="s">
        <v>465</v>
      </c>
      <c r="DT68" s="738" t="s">
        <v>504</v>
      </c>
      <c r="DU68" s="653"/>
      <c r="DV68" s="822" t="s">
        <v>465</v>
      </c>
      <c r="DW68" s="738" t="s">
        <v>504</v>
      </c>
      <c r="DX68" s="738" t="s">
        <v>465</v>
      </c>
      <c r="DY68" s="822" t="s">
        <v>465</v>
      </c>
      <c r="DZ68" s="738" t="s">
        <v>504</v>
      </c>
      <c r="EA68" s="738" t="s">
        <v>465</v>
      </c>
      <c r="EB68" s="822" t="s">
        <v>465</v>
      </c>
      <c r="EC68" s="738" t="s">
        <v>500</v>
      </c>
      <c r="ED68" s="738" t="s">
        <v>2477</v>
      </c>
      <c r="EE68" s="822">
        <v>13</v>
      </c>
      <c r="EF68" s="738" t="s">
        <v>504</v>
      </c>
      <c r="EG68" s="738" t="s">
        <v>465</v>
      </c>
      <c r="EH68" s="738" t="s">
        <v>465</v>
      </c>
      <c r="EI68" s="738" t="s">
        <v>504</v>
      </c>
      <c r="EJ68" s="653"/>
      <c r="EK68" s="738" t="s">
        <v>465</v>
      </c>
      <c r="EL68" s="738" t="s">
        <v>504</v>
      </c>
      <c r="EM68" s="738" t="s">
        <v>2478</v>
      </c>
      <c r="EN68" s="738">
        <v>198</v>
      </c>
      <c r="EO68" s="738" t="s">
        <v>504</v>
      </c>
      <c r="EP68" s="738" t="s">
        <v>465</v>
      </c>
      <c r="EQ68" s="738" t="s">
        <v>2479</v>
      </c>
      <c r="ER68" s="738"/>
      <c r="ES68" s="632"/>
      <c r="ET68" s="1176"/>
      <c r="EU68" s="632"/>
      <c r="EV68" s="632"/>
      <c r="EW68" s="632"/>
      <c r="EX68" s="632"/>
    </row>
    <row r="69" spans="3:154" ht="81" customHeight="1" x14ac:dyDescent="0.2">
      <c r="C69" s="1156" t="s">
        <v>693</v>
      </c>
      <c r="D69" s="1156" t="s">
        <v>5278</v>
      </c>
      <c r="E69" s="1104" t="s">
        <v>318</v>
      </c>
      <c r="F69" s="1104" t="s">
        <v>403</v>
      </c>
      <c r="G69" s="1109" t="s">
        <v>2813</v>
      </c>
      <c r="H69" s="1109" t="s">
        <v>2814</v>
      </c>
      <c r="I69" s="1109" t="s">
        <v>2815</v>
      </c>
      <c r="J69" s="1110">
        <v>2010</v>
      </c>
      <c r="K69" s="1105">
        <v>43831</v>
      </c>
      <c r="L69" s="1105">
        <v>44196</v>
      </c>
      <c r="M69" s="1369">
        <f t="shared" si="5"/>
        <v>365</v>
      </c>
      <c r="N69" s="1105"/>
      <c r="O69" s="1105"/>
      <c r="P69" s="1105"/>
      <c r="Q69" s="1105"/>
      <c r="R69" s="1105"/>
      <c r="S69" s="1105"/>
      <c r="T69" s="1105"/>
      <c r="U69" s="1105"/>
      <c r="V69" s="1105"/>
      <c r="W69" s="1105"/>
      <c r="X69" s="1105"/>
      <c r="Y69" s="1109" t="s">
        <v>2816</v>
      </c>
      <c r="Z69" s="1109" t="s">
        <v>2817</v>
      </c>
      <c r="AA69" s="1109" t="s">
        <v>2818</v>
      </c>
      <c r="AB69" s="1109" t="s">
        <v>2818</v>
      </c>
      <c r="AC69" s="1109" t="s">
        <v>519</v>
      </c>
      <c r="AD69" s="1109" t="s">
        <v>2819</v>
      </c>
      <c r="AE69" s="1112">
        <v>1203.877</v>
      </c>
      <c r="AF69" s="1113">
        <f>AH69+AK69+AN69+AP69+AR69</f>
        <v>1203.8844799999999</v>
      </c>
      <c r="AG69" s="1113">
        <f t="shared" si="2"/>
        <v>7.4799999999868305E-3</v>
      </c>
      <c r="AH69" s="1112"/>
      <c r="AI69" s="1113"/>
      <c r="AJ69" s="1113"/>
      <c r="AK69" s="1112">
        <v>953.45699999999999</v>
      </c>
      <c r="AL69" s="1114">
        <f>AK69/AE69</f>
        <v>0.79198871645525248</v>
      </c>
      <c r="AM69" s="1114">
        <v>9.5500000000000002E-2</v>
      </c>
      <c r="AN69" s="1112">
        <f>23.474+0.046+1.818+0.02</f>
        <v>25.358000000000001</v>
      </c>
      <c r="AO69" s="1114">
        <f>AN69/AE69</f>
        <v>2.1063613641592954E-2</v>
      </c>
      <c r="AP69" s="1112">
        <f>51.5834+13.0134+65.80644+88.4724+0.45944+5.7344</f>
        <v>225.06947999999997</v>
      </c>
      <c r="AQ69" s="1114">
        <f>AP69/AE69</f>
        <v>0.18695388316248251</v>
      </c>
      <c r="AR69" s="1112"/>
      <c r="AS69" s="1114"/>
      <c r="AT69" s="1114"/>
      <c r="AU69" s="1114"/>
      <c r="AV69" s="1114"/>
      <c r="AW69" s="1114" t="s">
        <v>500</v>
      </c>
      <c r="AX69" s="1114" t="s">
        <v>888</v>
      </c>
      <c r="AY69" s="1114"/>
      <c r="AZ69" s="1114"/>
      <c r="BA69" s="1113">
        <v>953.45699999999999</v>
      </c>
      <c r="BB69" s="1114">
        <v>9.5500000000000002E-2</v>
      </c>
      <c r="BC69" s="1115">
        <v>212</v>
      </c>
      <c r="BD69" s="1115">
        <v>212</v>
      </c>
      <c r="BE69" s="1116">
        <v>212</v>
      </c>
      <c r="BF69" s="1115">
        <v>1</v>
      </c>
      <c r="BG69" s="1115">
        <v>127</v>
      </c>
      <c r="BH69" s="1115"/>
      <c r="BI69" s="1115"/>
      <c r="BJ69" s="1115">
        <v>1</v>
      </c>
      <c r="BK69" s="1115"/>
      <c r="BL69" s="1115">
        <v>8</v>
      </c>
      <c r="BM69" s="1115">
        <v>9</v>
      </c>
      <c r="BN69" s="1115">
        <v>3</v>
      </c>
      <c r="BO69" s="1115">
        <v>30</v>
      </c>
      <c r="BP69" s="1115"/>
      <c r="BQ69" s="1115"/>
      <c r="BR69" s="1115"/>
      <c r="BS69" s="1115">
        <v>26</v>
      </c>
      <c r="BT69" s="1115"/>
      <c r="BU69" s="1115"/>
      <c r="BV69" s="1115"/>
      <c r="BW69" s="1115"/>
      <c r="BX69" s="1115">
        <v>3</v>
      </c>
      <c r="BY69" s="1115">
        <v>4</v>
      </c>
      <c r="BZ69" s="1115"/>
      <c r="CA69" s="1117">
        <f t="shared" si="9"/>
        <v>212</v>
      </c>
      <c r="CB69" s="1117">
        <f t="shared" si="3"/>
        <v>212</v>
      </c>
      <c r="CC69" s="1117">
        <f t="shared" si="4"/>
        <v>0</v>
      </c>
      <c r="CD69" s="1113">
        <v>296.57400000000001</v>
      </c>
      <c r="CE69" s="1109" t="s">
        <v>2820</v>
      </c>
      <c r="CF69" s="1109"/>
      <c r="CG69" s="1109">
        <v>87.9</v>
      </c>
      <c r="CH69" s="1113">
        <v>338.54300000000001</v>
      </c>
      <c r="CI69" s="1114" t="s">
        <v>2821</v>
      </c>
      <c r="CJ69" s="1109" t="s">
        <v>504</v>
      </c>
      <c r="CK69" s="1109"/>
      <c r="CL69" s="1109"/>
      <c r="CM69" s="1115"/>
      <c r="CN69" s="1115"/>
      <c r="CO69" s="1115">
        <v>10</v>
      </c>
      <c r="CP69" s="1109" t="s">
        <v>504</v>
      </c>
      <c r="CQ69" s="1109"/>
      <c r="CR69" s="1115"/>
      <c r="CS69" s="1109" t="s">
        <v>500</v>
      </c>
      <c r="CT69" s="1109" t="s">
        <v>2822</v>
      </c>
      <c r="CU69" s="1115">
        <f>1359+652+1746+615+1632+359+1265+1106</f>
        <v>8734</v>
      </c>
      <c r="CV69" s="1115" t="s">
        <v>504</v>
      </c>
      <c r="CW69" s="1211"/>
      <c r="CX69" s="1115"/>
      <c r="CY69" s="1115" t="s">
        <v>504</v>
      </c>
      <c r="CZ69" s="1115"/>
      <c r="DA69" s="1115"/>
      <c r="DB69" s="1109" t="s">
        <v>504</v>
      </c>
      <c r="DC69" s="1109"/>
      <c r="DD69" s="1115"/>
      <c r="DE69" s="1109" t="s">
        <v>504</v>
      </c>
      <c r="DF69" s="1109"/>
      <c r="DG69" s="1115"/>
      <c r="DH69" s="1109" t="s">
        <v>504</v>
      </c>
      <c r="DI69" s="1109"/>
      <c r="DJ69" s="1115"/>
      <c r="DK69" s="1109" t="s">
        <v>504</v>
      </c>
      <c r="DL69" s="1109"/>
      <c r="DM69" s="1115"/>
      <c r="DN69" s="1109" t="s">
        <v>504</v>
      </c>
      <c r="DO69" s="1109"/>
      <c r="DP69" s="1115"/>
      <c r="DQ69" s="1109" t="s">
        <v>500</v>
      </c>
      <c r="DR69" s="1109" t="s">
        <v>2735</v>
      </c>
      <c r="DS69" s="1115">
        <f>1269+915+1115+214+1444+555+1329+511</f>
        <v>7352</v>
      </c>
      <c r="DT69" s="1115" t="s">
        <v>504</v>
      </c>
      <c r="DU69" s="1115"/>
      <c r="DV69" s="1115"/>
      <c r="DW69" s="1109" t="s">
        <v>504</v>
      </c>
      <c r="DX69" s="1109"/>
      <c r="DY69" s="1115"/>
      <c r="DZ69" s="1109" t="s">
        <v>504</v>
      </c>
      <c r="EA69" s="1109"/>
      <c r="EB69" s="1115"/>
      <c r="EC69" s="1109" t="s">
        <v>500</v>
      </c>
      <c r="ED69" s="1109" t="s">
        <v>2823</v>
      </c>
      <c r="EE69" s="1115">
        <v>12</v>
      </c>
      <c r="EF69" s="1115" t="s">
        <v>504</v>
      </c>
      <c r="EG69" s="1115"/>
      <c r="EH69" s="1115"/>
      <c r="EI69" s="1109" t="s">
        <v>504</v>
      </c>
      <c r="EJ69" s="1109"/>
      <c r="EK69" s="1115"/>
      <c r="EL69" s="1115"/>
      <c r="EM69" s="1115"/>
      <c r="EN69" s="1115"/>
      <c r="EO69" s="1109" t="s">
        <v>504</v>
      </c>
      <c r="EP69" s="1109"/>
      <c r="EQ69" s="1109" t="s">
        <v>2824</v>
      </c>
      <c r="ER69" s="1109" t="s">
        <v>2825</v>
      </c>
      <c r="ES69" s="1109"/>
      <c r="ET69" s="1109" t="s">
        <v>2826</v>
      </c>
      <c r="EU69" s="1109" t="s">
        <v>2827</v>
      </c>
      <c r="EV69" s="1109" t="s">
        <v>2828</v>
      </c>
      <c r="EW69" s="1109">
        <v>3</v>
      </c>
      <c r="EX69" s="1109">
        <v>150</v>
      </c>
    </row>
    <row r="70" spans="3:154" customFormat="1" ht="81" customHeight="1" x14ac:dyDescent="0.25">
      <c r="C70" s="1156" t="s">
        <v>5480</v>
      </c>
      <c r="D70" s="1156" t="s">
        <v>5278</v>
      </c>
      <c r="E70" s="1104" t="s">
        <v>318</v>
      </c>
      <c r="F70" s="1104" t="s">
        <v>403</v>
      </c>
      <c r="G70" s="1109" t="s">
        <v>2829</v>
      </c>
      <c r="H70" s="1104" t="s">
        <v>2830</v>
      </c>
      <c r="I70" s="1109"/>
      <c r="J70" s="1110">
        <v>2020</v>
      </c>
      <c r="K70" s="1105">
        <v>43860</v>
      </c>
      <c r="L70" s="1105">
        <v>44926</v>
      </c>
      <c r="M70" s="1369">
        <f t="shared" si="5"/>
        <v>1066</v>
      </c>
      <c r="N70" s="1105"/>
      <c r="O70" s="1105"/>
      <c r="P70" s="1105"/>
      <c r="Q70" s="1105"/>
      <c r="R70" s="1105"/>
      <c r="S70" s="1105"/>
      <c r="T70" s="1105"/>
      <c r="U70" s="1105"/>
      <c r="V70" s="1105"/>
      <c r="W70" s="1105"/>
      <c r="X70" s="1105"/>
      <c r="Y70" s="1104" t="s">
        <v>5604</v>
      </c>
      <c r="Z70" s="1104" t="s">
        <v>2831</v>
      </c>
      <c r="AA70" s="1104" t="s">
        <v>2832</v>
      </c>
      <c r="AB70" s="1104" t="s">
        <v>2832</v>
      </c>
      <c r="AC70" s="1109" t="s">
        <v>2833</v>
      </c>
      <c r="AD70" s="1104" t="s">
        <v>2832</v>
      </c>
      <c r="AE70" s="1112">
        <v>2.383</v>
      </c>
      <c r="AF70" s="1113">
        <f t="shared" si="1"/>
        <v>2.383</v>
      </c>
      <c r="AG70" s="1113">
        <f t="shared" si="2"/>
        <v>0</v>
      </c>
      <c r="AH70" s="1112"/>
      <c r="AI70" s="1113"/>
      <c r="AJ70" s="1113"/>
      <c r="AK70" s="1112">
        <v>7.0000000000000007E-2</v>
      </c>
      <c r="AL70" s="1114">
        <v>1.7999999999999999E-2</v>
      </c>
      <c r="AM70" s="1114">
        <v>1E-3</v>
      </c>
      <c r="AN70" s="1112">
        <v>2.3130000000000002</v>
      </c>
      <c r="AO70" s="1114">
        <v>0.61799999999999999</v>
      </c>
      <c r="AP70" s="1112"/>
      <c r="AQ70" s="1114"/>
      <c r="AR70" s="1112"/>
      <c r="AS70" s="1114"/>
      <c r="AT70" s="1114"/>
      <c r="AU70" s="1114"/>
      <c r="AV70" s="1114"/>
      <c r="AW70" s="1114"/>
      <c r="AX70" s="1114"/>
      <c r="AY70" s="1114"/>
      <c r="AZ70" s="1114"/>
      <c r="BA70" s="1113">
        <v>2.7719999999999998</v>
      </c>
      <c r="BB70" s="1114">
        <v>4.3999999999999997E-2</v>
      </c>
      <c r="BC70" s="1115">
        <v>2</v>
      </c>
      <c r="BD70" s="1115">
        <v>2</v>
      </c>
      <c r="BE70" s="1116">
        <v>2</v>
      </c>
      <c r="BF70" s="1115"/>
      <c r="BG70" s="1115"/>
      <c r="BH70" s="1115"/>
      <c r="BI70" s="1115"/>
      <c r="BJ70" s="1115"/>
      <c r="BK70" s="1115"/>
      <c r="BL70" s="1115"/>
      <c r="BM70" s="1115"/>
      <c r="BN70" s="1115"/>
      <c r="BO70" s="1115"/>
      <c r="BP70" s="1115"/>
      <c r="BQ70" s="1115"/>
      <c r="BR70" s="1115"/>
      <c r="BS70" s="1115"/>
      <c r="BT70" s="1115"/>
      <c r="BU70" s="1115"/>
      <c r="BV70" s="1115"/>
      <c r="BW70" s="1115"/>
      <c r="BX70" s="1115"/>
      <c r="BY70" s="1115"/>
      <c r="BZ70" s="1115">
        <v>2</v>
      </c>
      <c r="CA70" s="1117">
        <f t="shared" si="9"/>
        <v>2</v>
      </c>
      <c r="CB70" s="1117">
        <f t="shared" si="3"/>
        <v>2</v>
      </c>
      <c r="CC70" s="1117">
        <f t="shared" si="4"/>
        <v>0</v>
      </c>
      <c r="CD70" s="1113">
        <v>5.8000000000000003E-2</v>
      </c>
      <c r="CE70" s="1109" t="s">
        <v>2834</v>
      </c>
      <c r="CF70" s="1114"/>
      <c r="CG70" s="1109">
        <v>0.5</v>
      </c>
      <c r="CH70" s="1113">
        <v>10.336</v>
      </c>
      <c r="CI70" s="1113" t="s">
        <v>2835</v>
      </c>
      <c r="CJ70" s="1109" t="s">
        <v>504</v>
      </c>
      <c r="CK70" s="1109"/>
      <c r="CL70" s="1109"/>
      <c r="CM70" s="1115"/>
      <c r="CN70" s="1115"/>
      <c r="CO70" s="1115">
        <v>1</v>
      </c>
      <c r="CP70" s="1109"/>
      <c r="CQ70" s="1109"/>
      <c r="CR70" s="1115"/>
      <c r="CS70" s="1109" t="s">
        <v>500</v>
      </c>
      <c r="CT70" s="1104" t="s">
        <v>2836</v>
      </c>
      <c r="CU70" s="1115">
        <v>58</v>
      </c>
      <c r="CV70" s="1115"/>
      <c r="CW70" s="1115"/>
      <c r="CX70" s="1115"/>
      <c r="CY70" s="1115"/>
      <c r="CZ70" s="1115"/>
      <c r="DA70" s="1115"/>
      <c r="DB70" s="1109"/>
      <c r="DC70" s="1109"/>
      <c r="DD70" s="1115"/>
      <c r="DE70" s="1109"/>
      <c r="DF70" s="1109"/>
      <c r="DG70" s="1115"/>
      <c r="DH70" s="1109"/>
      <c r="DI70" s="1109"/>
      <c r="DJ70" s="1115"/>
      <c r="DK70" s="1109"/>
      <c r="DL70" s="1109"/>
      <c r="DM70" s="1115"/>
      <c r="DN70" s="1109"/>
      <c r="DO70" s="1109"/>
      <c r="DP70" s="1115"/>
      <c r="DQ70" s="1109"/>
      <c r="DR70" s="1109"/>
      <c r="DS70" s="1115"/>
      <c r="DT70" s="1115"/>
      <c r="DU70" s="1115"/>
      <c r="DV70" s="1115"/>
      <c r="DW70" s="1109"/>
      <c r="DX70" s="1109"/>
      <c r="DY70" s="1115"/>
      <c r="DZ70" s="1109"/>
      <c r="EA70" s="1109"/>
      <c r="EB70" s="1115"/>
      <c r="EC70" s="1109"/>
      <c r="ED70" s="1109"/>
      <c r="EE70" s="1115"/>
      <c r="EF70" s="1115"/>
      <c r="EG70" s="1115"/>
      <c r="EH70" s="1115"/>
      <c r="EI70" s="1109"/>
      <c r="EJ70" s="1109"/>
      <c r="EK70" s="1115"/>
      <c r="EL70" s="1115"/>
      <c r="EM70" s="1115"/>
      <c r="EN70" s="1115"/>
      <c r="EO70" s="1109" t="s">
        <v>504</v>
      </c>
      <c r="EP70" s="1109"/>
      <c r="EQ70" s="1104"/>
      <c r="ER70" s="1109"/>
      <c r="ES70" s="1109"/>
      <c r="ET70" s="1109"/>
      <c r="EU70" s="1109"/>
      <c r="EV70" s="1109"/>
      <c r="EW70" s="1109"/>
      <c r="EX70" s="1109"/>
    </row>
    <row r="71" spans="3:154" ht="81" customHeight="1" x14ac:dyDescent="0.2">
      <c r="C71" s="1156" t="s">
        <v>5480</v>
      </c>
      <c r="D71" s="1156" t="s">
        <v>5278</v>
      </c>
      <c r="E71" s="1104" t="s">
        <v>318</v>
      </c>
      <c r="F71" s="1104" t="s">
        <v>403</v>
      </c>
      <c r="G71" s="1109" t="s">
        <v>2837</v>
      </c>
      <c r="H71" s="1109" t="s">
        <v>2838</v>
      </c>
      <c r="I71" s="1109"/>
      <c r="J71" s="1110">
        <v>2020</v>
      </c>
      <c r="K71" s="1105">
        <v>44165</v>
      </c>
      <c r="L71" s="1105">
        <v>44182</v>
      </c>
      <c r="M71" s="1369">
        <f t="shared" si="5"/>
        <v>17</v>
      </c>
      <c r="N71" s="1105"/>
      <c r="O71" s="1105"/>
      <c r="P71" s="1105"/>
      <c r="Q71" s="1105"/>
      <c r="R71" s="1105"/>
      <c r="S71" s="1105"/>
      <c r="T71" s="1105"/>
      <c r="U71" s="1105"/>
      <c r="V71" s="1105"/>
      <c r="W71" s="1105"/>
      <c r="X71" s="1105"/>
      <c r="Y71" s="1109" t="s">
        <v>2839</v>
      </c>
      <c r="Z71" s="1109" t="s">
        <v>2840</v>
      </c>
      <c r="AA71" s="1109" t="s">
        <v>2841</v>
      </c>
      <c r="AB71" s="1109" t="s">
        <v>2841</v>
      </c>
      <c r="AC71" s="1109" t="s">
        <v>2842</v>
      </c>
      <c r="AD71" s="1109" t="s">
        <v>2841</v>
      </c>
      <c r="AE71" s="1112">
        <v>0.312</v>
      </c>
      <c r="AF71" s="1113">
        <f t="shared" si="1"/>
        <v>0.312</v>
      </c>
      <c r="AG71" s="1113">
        <f t="shared" si="2"/>
        <v>0</v>
      </c>
      <c r="AH71" s="1112"/>
      <c r="AI71" s="1113"/>
      <c r="AJ71" s="1113"/>
      <c r="AK71" s="1112">
        <v>0.25600000000000001</v>
      </c>
      <c r="AL71" s="1114">
        <v>0.88</v>
      </c>
      <c r="AM71" s="1114">
        <v>0.88</v>
      </c>
      <c r="AN71" s="1112"/>
      <c r="AO71" s="1114"/>
      <c r="AP71" s="1112">
        <v>5.6000000000000001E-2</v>
      </c>
      <c r="AQ71" s="1114">
        <v>0.22</v>
      </c>
      <c r="AR71" s="1112"/>
      <c r="AS71" s="1114"/>
      <c r="AT71" s="1114"/>
      <c r="AU71" s="1114"/>
      <c r="AV71" s="1114"/>
      <c r="AW71" s="1114" t="s">
        <v>504</v>
      </c>
      <c r="AX71" s="1114"/>
      <c r="AY71" s="1114"/>
      <c r="AZ71" s="1114"/>
      <c r="BA71" s="1113">
        <v>0.26</v>
      </c>
      <c r="BB71" s="1114">
        <v>1.4E-2</v>
      </c>
      <c r="BC71" s="1115">
        <v>1</v>
      </c>
      <c r="BD71" s="1115">
        <v>1</v>
      </c>
      <c r="BE71" s="1116">
        <v>1</v>
      </c>
      <c r="BF71" s="1115"/>
      <c r="BG71" s="1115"/>
      <c r="BH71" s="1115">
        <v>1</v>
      </c>
      <c r="BI71" s="1115"/>
      <c r="BJ71" s="1115"/>
      <c r="BK71" s="1115"/>
      <c r="BL71" s="1115"/>
      <c r="BM71" s="1115"/>
      <c r="BN71" s="1115"/>
      <c r="BO71" s="1115"/>
      <c r="BP71" s="1115"/>
      <c r="BQ71" s="1115"/>
      <c r="BR71" s="1115"/>
      <c r="BS71" s="1115"/>
      <c r="BT71" s="1115"/>
      <c r="BU71" s="1115"/>
      <c r="BV71" s="1115"/>
      <c r="BW71" s="1115"/>
      <c r="BX71" s="1115"/>
      <c r="BY71" s="1115"/>
      <c r="BZ71" s="1115"/>
      <c r="CA71" s="1117">
        <v>1</v>
      </c>
      <c r="CB71" s="1117">
        <f t="shared" si="3"/>
        <v>1</v>
      </c>
      <c r="CC71" s="1117">
        <f t="shared" si="4"/>
        <v>0</v>
      </c>
      <c r="CD71" s="1113">
        <v>0.28599999999999998</v>
      </c>
      <c r="CE71" s="1109" t="s">
        <v>2843</v>
      </c>
      <c r="CF71" s="1109"/>
      <c r="CG71" s="1109">
        <v>35</v>
      </c>
      <c r="CH71" s="1113">
        <v>0.82599999999999996</v>
      </c>
      <c r="CI71" s="1109" t="s">
        <v>2844</v>
      </c>
      <c r="CJ71" s="1109" t="s">
        <v>504</v>
      </c>
      <c r="CK71" s="1109"/>
      <c r="CL71" s="1109"/>
      <c r="CM71" s="1115"/>
      <c r="CN71" s="1115"/>
      <c r="CO71" s="1115">
        <v>3</v>
      </c>
      <c r="CP71" s="1109" t="s">
        <v>500</v>
      </c>
      <c r="CQ71" s="1109" t="s">
        <v>2761</v>
      </c>
      <c r="CR71" s="1115">
        <v>286</v>
      </c>
      <c r="CS71" s="1109" t="s">
        <v>500</v>
      </c>
      <c r="CT71" s="1109" t="s">
        <v>655</v>
      </c>
      <c r="CU71" s="1115">
        <v>61</v>
      </c>
      <c r="CV71" s="1115" t="s">
        <v>500</v>
      </c>
      <c r="CW71" s="1109" t="s">
        <v>655</v>
      </c>
      <c r="CX71" s="1115">
        <v>61</v>
      </c>
      <c r="CY71" s="1115" t="s">
        <v>504</v>
      </c>
      <c r="CZ71" s="1115"/>
      <c r="DA71" s="1115"/>
      <c r="DB71" s="1109" t="s">
        <v>504</v>
      </c>
      <c r="DC71" s="1109"/>
      <c r="DD71" s="1115"/>
      <c r="DE71" s="1109" t="s">
        <v>504</v>
      </c>
      <c r="DF71" s="1109"/>
      <c r="DG71" s="1115"/>
      <c r="DH71" s="1109" t="s">
        <v>504</v>
      </c>
      <c r="DI71" s="1109"/>
      <c r="DJ71" s="1115"/>
      <c r="DK71" s="1109" t="s">
        <v>504</v>
      </c>
      <c r="DL71" s="1109"/>
      <c r="DM71" s="1115"/>
      <c r="DN71" s="1109" t="s">
        <v>504</v>
      </c>
      <c r="DO71" s="1109"/>
      <c r="DP71" s="1115"/>
      <c r="DQ71" s="1109" t="s">
        <v>504</v>
      </c>
      <c r="DR71" s="1109"/>
      <c r="DS71" s="1115"/>
      <c r="DT71" s="1115" t="s">
        <v>504</v>
      </c>
      <c r="DU71" s="1115"/>
      <c r="DV71" s="1115"/>
      <c r="DW71" s="1109" t="s">
        <v>504</v>
      </c>
      <c r="DX71" s="1109"/>
      <c r="DY71" s="1115"/>
      <c r="DZ71" s="1109" t="s">
        <v>504</v>
      </c>
      <c r="EA71" s="1109"/>
      <c r="EB71" s="1115"/>
      <c r="EC71" s="1109" t="s">
        <v>500</v>
      </c>
      <c r="ED71" s="1109" t="s">
        <v>2845</v>
      </c>
      <c r="EE71" s="1115">
        <v>7</v>
      </c>
      <c r="EF71" s="1115" t="s">
        <v>504</v>
      </c>
      <c r="EG71" s="1115"/>
      <c r="EH71" s="1115"/>
      <c r="EI71" s="1109" t="s">
        <v>504</v>
      </c>
      <c r="EJ71" s="1109"/>
      <c r="EK71" s="1115"/>
      <c r="EL71" s="1115"/>
      <c r="EM71" s="1115"/>
      <c r="EN71" s="1115"/>
      <c r="EO71" s="1109" t="s">
        <v>504</v>
      </c>
      <c r="EP71" s="1109"/>
      <c r="EQ71" s="1109" t="s">
        <v>2846</v>
      </c>
      <c r="ER71" s="1109"/>
      <c r="ES71" s="1109"/>
      <c r="ET71" s="1109" t="s">
        <v>2847</v>
      </c>
      <c r="EU71" s="1109" t="s">
        <v>2848</v>
      </c>
      <c r="EV71" s="1109" t="s">
        <v>2849</v>
      </c>
      <c r="EW71" s="1109">
        <v>1</v>
      </c>
      <c r="EX71" s="1109">
        <v>3</v>
      </c>
    </row>
    <row r="72" spans="3:154" ht="81" customHeight="1" x14ac:dyDescent="0.2">
      <c r="C72" s="1156" t="s">
        <v>693</v>
      </c>
      <c r="D72" s="1156" t="s">
        <v>5278</v>
      </c>
      <c r="E72" s="1104" t="s">
        <v>318</v>
      </c>
      <c r="F72" s="1104" t="s">
        <v>403</v>
      </c>
      <c r="G72" s="1109" t="s">
        <v>2850</v>
      </c>
      <c r="H72" s="1109" t="s">
        <v>2851</v>
      </c>
      <c r="I72" s="1109" t="s">
        <v>504</v>
      </c>
      <c r="J72" s="1110">
        <v>2020</v>
      </c>
      <c r="K72" s="1105">
        <v>44046</v>
      </c>
      <c r="L72" s="1105">
        <v>44050</v>
      </c>
      <c r="M72" s="1369">
        <f t="shared" si="5"/>
        <v>4</v>
      </c>
      <c r="N72" s="1105"/>
      <c r="O72" s="1105"/>
      <c r="P72" s="1105"/>
      <c r="Q72" s="1105"/>
      <c r="R72" s="1105"/>
      <c r="S72" s="1105"/>
      <c r="T72" s="1105"/>
      <c r="U72" s="1105"/>
      <c r="V72" s="1105"/>
      <c r="W72" s="1105"/>
      <c r="X72" s="1105"/>
      <c r="Y72" s="1109" t="s">
        <v>2852</v>
      </c>
      <c r="Z72" s="1109" t="s">
        <v>2853</v>
      </c>
      <c r="AA72" s="1109" t="s">
        <v>2854</v>
      </c>
      <c r="AB72" s="1109" t="s">
        <v>2855</v>
      </c>
      <c r="AC72" s="1109" t="s">
        <v>2856</v>
      </c>
      <c r="AD72" s="1109" t="s">
        <v>2857</v>
      </c>
      <c r="AE72" s="1112">
        <v>0.84799999999999998</v>
      </c>
      <c r="AF72" s="1113">
        <f t="shared" si="1"/>
        <v>0.84800000000000009</v>
      </c>
      <c r="AG72" s="1113">
        <f t="shared" si="2"/>
        <v>0</v>
      </c>
      <c r="AH72" s="1112"/>
      <c r="AI72" s="1113"/>
      <c r="AJ72" s="1113"/>
      <c r="AK72" s="1112">
        <v>0.44800000000000001</v>
      </c>
      <c r="AL72" s="1114">
        <v>0.52829999999999999</v>
      </c>
      <c r="AM72" s="1114">
        <v>8.0000000000000004E-4</v>
      </c>
      <c r="AN72" s="1112">
        <v>0.4</v>
      </c>
      <c r="AO72" s="1114">
        <v>0.47170000000000001</v>
      </c>
      <c r="AP72" s="1112"/>
      <c r="AQ72" s="1114"/>
      <c r="AR72" s="1112"/>
      <c r="AS72" s="1114"/>
      <c r="AT72" s="1114"/>
      <c r="AU72" s="1114"/>
      <c r="AV72" s="1114"/>
      <c r="AW72" s="1114" t="s">
        <v>504</v>
      </c>
      <c r="AX72" s="1114"/>
      <c r="AY72" s="1114"/>
      <c r="AZ72" s="1114"/>
      <c r="BA72" s="1113"/>
      <c r="BB72" s="1114"/>
      <c r="BC72" s="1115">
        <v>1</v>
      </c>
      <c r="BD72" s="1115">
        <v>1</v>
      </c>
      <c r="BE72" s="1116">
        <v>1</v>
      </c>
      <c r="BF72" s="1115"/>
      <c r="BG72" s="1115">
        <v>1</v>
      </c>
      <c r="BH72" s="1115"/>
      <c r="BI72" s="1115"/>
      <c r="BJ72" s="1115"/>
      <c r="BK72" s="1115"/>
      <c r="BL72" s="1115"/>
      <c r="BM72" s="1115"/>
      <c r="BN72" s="1115"/>
      <c r="BO72" s="1115"/>
      <c r="BP72" s="1115"/>
      <c r="BQ72" s="1115"/>
      <c r="BR72" s="1115"/>
      <c r="BS72" s="1115"/>
      <c r="BT72" s="1115"/>
      <c r="BU72" s="1115"/>
      <c r="BV72" s="1115"/>
      <c r="BW72" s="1115"/>
      <c r="BX72" s="1115"/>
      <c r="BY72" s="1115"/>
      <c r="BZ72" s="1115"/>
      <c r="CA72" s="1117">
        <f>SUM(BF72:BZ72)</f>
        <v>1</v>
      </c>
      <c r="CB72" s="1117">
        <f t="shared" si="3"/>
        <v>1</v>
      </c>
      <c r="CC72" s="1117">
        <f t="shared" si="4"/>
        <v>0</v>
      </c>
      <c r="CD72" s="1113">
        <v>0.1</v>
      </c>
      <c r="CE72" s="1109" t="s">
        <v>2858</v>
      </c>
      <c r="CF72" s="1109"/>
      <c r="CG72" s="1109">
        <v>0.11</v>
      </c>
      <c r="CH72" s="1113">
        <v>92.141999999999996</v>
      </c>
      <c r="CI72" s="1109" t="s">
        <v>2859</v>
      </c>
      <c r="CJ72" s="1109" t="s">
        <v>504</v>
      </c>
      <c r="CK72" s="1109"/>
      <c r="CL72" s="1109"/>
      <c r="CM72" s="1115"/>
      <c r="CN72" s="1115"/>
      <c r="CO72" s="1115">
        <v>1</v>
      </c>
      <c r="CP72" s="1109" t="s">
        <v>504</v>
      </c>
      <c r="CQ72" s="1109"/>
      <c r="CR72" s="1115"/>
      <c r="CS72" s="1109" t="s">
        <v>504</v>
      </c>
      <c r="CT72" s="1109"/>
      <c r="CU72" s="1115"/>
      <c r="CV72" s="1115" t="s">
        <v>504</v>
      </c>
      <c r="CW72" s="1115"/>
      <c r="CX72" s="1115"/>
      <c r="CY72" s="1115" t="s">
        <v>504</v>
      </c>
      <c r="CZ72" s="1115"/>
      <c r="DA72" s="1115"/>
      <c r="DB72" s="1109" t="s">
        <v>504</v>
      </c>
      <c r="DC72" s="1109"/>
      <c r="DD72" s="1115"/>
      <c r="DE72" s="1109" t="s">
        <v>504</v>
      </c>
      <c r="DF72" s="1109"/>
      <c r="DG72" s="1115"/>
      <c r="DH72" s="1109" t="s">
        <v>504</v>
      </c>
      <c r="DI72" s="1109"/>
      <c r="DJ72" s="1115"/>
      <c r="DK72" s="1109" t="s">
        <v>500</v>
      </c>
      <c r="DL72" s="1109" t="s">
        <v>2860</v>
      </c>
      <c r="DM72" s="1115">
        <v>20</v>
      </c>
      <c r="DN72" s="1109" t="s">
        <v>504</v>
      </c>
      <c r="DO72" s="1109"/>
      <c r="DP72" s="1115"/>
      <c r="DQ72" s="1109" t="s">
        <v>500</v>
      </c>
      <c r="DR72" s="1109" t="s">
        <v>2861</v>
      </c>
      <c r="DS72" s="1115">
        <v>20</v>
      </c>
      <c r="DT72" s="1115" t="s">
        <v>504</v>
      </c>
      <c r="DU72" s="1115"/>
      <c r="DV72" s="1115"/>
      <c r="DW72" s="1109" t="s">
        <v>504</v>
      </c>
      <c r="DX72" s="1109"/>
      <c r="DY72" s="1115"/>
      <c r="DZ72" s="1109" t="s">
        <v>504</v>
      </c>
      <c r="EA72" s="1109"/>
      <c r="EB72" s="1115"/>
      <c r="EC72" s="1109" t="s">
        <v>500</v>
      </c>
      <c r="ED72" s="1109" t="s">
        <v>2862</v>
      </c>
      <c r="EE72" s="1115">
        <v>6</v>
      </c>
      <c r="EF72" s="1115" t="s">
        <v>504</v>
      </c>
      <c r="EG72" s="1115"/>
      <c r="EH72" s="1115"/>
      <c r="EI72" s="1109"/>
      <c r="EJ72" s="1109"/>
      <c r="EK72" s="1115"/>
      <c r="EL72" s="1115"/>
      <c r="EM72" s="1115"/>
      <c r="EN72" s="1115"/>
      <c r="EO72" s="1109" t="s">
        <v>504</v>
      </c>
      <c r="EP72" s="1109"/>
      <c r="EQ72" s="1109"/>
      <c r="ER72" s="1109"/>
      <c r="ES72" s="1109"/>
      <c r="ET72" s="1109"/>
      <c r="EU72" s="1109"/>
      <c r="EV72" s="1109"/>
      <c r="EW72" s="1109"/>
      <c r="EX72" s="1109"/>
    </row>
    <row r="73" spans="3:154" ht="81" customHeight="1" x14ac:dyDescent="0.2">
      <c r="C73" s="1156" t="s">
        <v>693</v>
      </c>
      <c r="D73" s="1156" t="s">
        <v>5277</v>
      </c>
      <c r="E73" s="738" t="s">
        <v>319</v>
      </c>
      <c r="F73" s="738" t="s">
        <v>404</v>
      </c>
      <c r="G73" s="1212"/>
      <c r="H73" s="1212" t="s">
        <v>1019</v>
      </c>
      <c r="I73" s="1212"/>
      <c r="J73" s="1385">
        <v>2017</v>
      </c>
      <c r="K73" s="1386">
        <v>43719</v>
      </c>
      <c r="L73" s="1386">
        <v>44190</v>
      </c>
      <c r="M73" s="1369">
        <f t="shared" si="5"/>
        <v>471</v>
      </c>
      <c r="N73" s="1212" t="s">
        <v>5405</v>
      </c>
      <c r="O73" s="1212" t="s">
        <v>5406</v>
      </c>
      <c r="P73" s="1387" t="s">
        <v>5407</v>
      </c>
      <c r="Q73" s="1212" t="s">
        <v>504</v>
      </c>
      <c r="R73" s="1212" t="s">
        <v>504</v>
      </c>
      <c r="S73" s="1212" t="s">
        <v>5408</v>
      </c>
      <c r="T73" s="1387" t="s">
        <v>5409</v>
      </c>
      <c r="U73" s="1212" t="s">
        <v>504</v>
      </c>
      <c r="V73" s="1212" t="s">
        <v>504</v>
      </c>
      <c r="W73" s="1212" t="s">
        <v>5410</v>
      </c>
      <c r="X73" s="1212" t="s">
        <v>504</v>
      </c>
      <c r="Y73" s="1212"/>
      <c r="Z73" s="1212"/>
      <c r="AA73" s="1212" t="s">
        <v>5411</v>
      </c>
      <c r="AB73" s="1212" t="s">
        <v>5411</v>
      </c>
      <c r="AC73" s="1212" t="s">
        <v>519</v>
      </c>
      <c r="AD73" s="1212" t="s">
        <v>5412</v>
      </c>
      <c r="AE73" s="1388">
        <v>169.6</v>
      </c>
      <c r="AF73" s="671">
        <f>AH73+AK73+AN73+AP73+AR73</f>
        <v>169.6</v>
      </c>
      <c r="AG73" s="671">
        <f t="shared" si="2"/>
        <v>0</v>
      </c>
      <c r="AH73" s="1388">
        <v>139</v>
      </c>
      <c r="AI73" s="1389">
        <v>0.82</v>
      </c>
      <c r="AJ73" s="1389">
        <v>5.0000000000000001E-4</v>
      </c>
      <c r="AK73" s="1388">
        <v>13.1</v>
      </c>
      <c r="AL73" s="1389">
        <v>7.6999999999999999E-2</v>
      </c>
      <c r="AM73" s="1389"/>
      <c r="AN73" s="1388">
        <v>7.3</v>
      </c>
      <c r="AO73" s="1389">
        <v>4.2999999999999997E-2</v>
      </c>
      <c r="AP73" s="1388">
        <v>10.199999999999999</v>
      </c>
      <c r="AQ73" s="1389">
        <v>0.06</v>
      </c>
      <c r="AR73" s="1388"/>
      <c r="AS73" s="1389" t="s">
        <v>504</v>
      </c>
      <c r="AT73" s="1212" t="s">
        <v>504</v>
      </c>
      <c r="AU73" s="1212" t="s">
        <v>504</v>
      </c>
      <c r="AV73" s="1212" t="s">
        <v>504</v>
      </c>
      <c r="AW73" s="1212" t="s">
        <v>500</v>
      </c>
      <c r="AX73" s="1212" t="s">
        <v>5413</v>
      </c>
      <c r="AY73" s="1212">
        <v>13.3</v>
      </c>
      <c r="AZ73" s="1389">
        <v>7.8399999999999997E-2</v>
      </c>
      <c r="BA73" s="1390">
        <v>175</v>
      </c>
      <c r="BB73" s="1389">
        <v>5.9999999999999995E-4</v>
      </c>
      <c r="BC73" s="1391">
        <v>651</v>
      </c>
      <c r="BD73" s="1391">
        <v>170</v>
      </c>
      <c r="BE73" s="1391">
        <v>157</v>
      </c>
      <c r="BF73" s="1391">
        <v>15</v>
      </c>
      <c r="BG73" s="1391">
        <v>0</v>
      </c>
      <c r="BH73" s="1391">
        <v>23</v>
      </c>
      <c r="BI73" s="1391">
        <v>2</v>
      </c>
      <c r="BJ73" s="1391">
        <v>0</v>
      </c>
      <c r="BK73" s="1391">
        <v>0</v>
      </c>
      <c r="BL73" s="1391">
        <v>0</v>
      </c>
      <c r="BM73" s="1391">
        <v>26</v>
      </c>
      <c r="BN73" s="1391">
        <v>0</v>
      </c>
      <c r="BO73" s="1391">
        <v>0</v>
      </c>
      <c r="BP73" s="1391">
        <v>34</v>
      </c>
      <c r="BQ73" s="1391">
        <v>24</v>
      </c>
      <c r="BR73" s="1391">
        <v>32</v>
      </c>
      <c r="BS73" s="1391">
        <v>0</v>
      </c>
      <c r="BT73" s="1391">
        <v>0</v>
      </c>
      <c r="BU73" s="1391">
        <v>0</v>
      </c>
      <c r="BV73" s="1391">
        <v>0</v>
      </c>
      <c r="BW73" s="1391">
        <v>0</v>
      </c>
      <c r="BX73" s="1391">
        <v>0</v>
      </c>
      <c r="BY73" s="1391">
        <v>0</v>
      </c>
      <c r="BZ73" s="1391">
        <v>0</v>
      </c>
      <c r="CA73" s="1392">
        <f>SUM(BF73:BZ73)</f>
        <v>156</v>
      </c>
      <c r="CB73" s="717">
        <f t="shared" si="3"/>
        <v>156</v>
      </c>
      <c r="CC73" s="717">
        <f t="shared" si="4"/>
        <v>0</v>
      </c>
      <c r="CD73" s="1388">
        <v>253.578</v>
      </c>
      <c r="CE73" s="1212" t="s">
        <v>5414</v>
      </c>
      <c r="CF73" s="1212"/>
      <c r="CG73" s="1389">
        <v>8.8499999999999995E-2</v>
      </c>
      <c r="CH73" s="1388">
        <v>2866.2550000000001</v>
      </c>
      <c r="CI73" s="1393" t="s">
        <v>5415</v>
      </c>
      <c r="CJ73" s="1212" t="s">
        <v>500</v>
      </c>
      <c r="CK73" s="1212" t="s">
        <v>5416</v>
      </c>
      <c r="CL73" s="738" t="s">
        <v>5417</v>
      </c>
      <c r="CM73" s="1212">
        <v>8</v>
      </c>
      <c r="CN73" s="1212">
        <v>0</v>
      </c>
      <c r="CO73" s="1212"/>
      <c r="CP73" s="1212" t="s">
        <v>500</v>
      </c>
      <c r="CQ73" s="1212" t="s">
        <v>5418</v>
      </c>
      <c r="CR73" s="1391">
        <v>50759</v>
      </c>
      <c r="CS73" s="1212" t="s">
        <v>500</v>
      </c>
      <c r="CT73" s="1212" t="s">
        <v>5419</v>
      </c>
      <c r="CU73" s="1391">
        <v>8746</v>
      </c>
      <c r="CV73" s="1212" t="s">
        <v>504</v>
      </c>
      <c r="CW73" s="1212"/>
      <c r="CX73" s="1212"/>
      <c r="CY73" s="1212" t="s">
        <v>504</v>
      </c>
      <c r="CZ73" s="1212"/>
      <c r="DA73" s="1212"/>
      <c r="DB73" s="1212" t="s">
        <v>504</v>
      </c>
      <c r="DC73" s="1212"/>
      <c r="DD73" s="1212"/>
      <c r="DE73" s="1212" t="s">
        <v>500</v>
      </c>
      <c r="DF73" s="1212" t="s">
        <v>5420</v>
      </c>
      <c r="DG73" s="1391">
        <v>6724</v>
      </c>
      <c r="DH73" s="1212" t="s">
        <v>504</v>
      </c>
      <c r="DI73" s="1212"/>
      <c r="DJ73" s="1212"/>
      <c r="DK73" s="1394"/>
      <c r="DL73" s="1394"/>
      <c r="DM73" s="1395"/>
      <c r="DN73" s="1212"/>
      <c r="DO73" s="1212"/>
      <c r="DP73" s="1391"/>
      <c r="DQ73" s="1176" t="s">
        <v>500</v>
      </c>
      <c r="DR73" s="661" t="s">
        <v>5421</v>
      </c>
      <c r="DS73" s="1395">
        <v>15938</v>
      </c>
      <c r="DT73" s="1391" t="s">
        <v>504</v>
      </c>
      <c r="DU73" s="1391"/>
      <c r="DV73" s="1391"/>
      <c r="DW73" s="1212" t="s">
        <v>504</v>
      </c>
      <c r="DX73" s="1212"/>
      <c r="DY73" s="1391"/>
      <c r="DZ73" s="1212" t="s">
        <v>504</v>
      </c>
      <c r="EA73" s="1212"/>
      <c r="EB73" s="1391"/>
      <c r="EC73" s="1212" t="s">
        <v>500</v>
      </c>
      <c r="ED73" s="1212" t="s">
        <v>5422</v>
      </c>
      <c r="EE73" s="1391">
        <v>14</v>
      </c>
      <c r="EF73" s="1391" t="s">
        <v>504</v>
      </c>
      <c r="EG73" s="1391"/>
      <c r="EH73" s="1391"/>
      <c r="EI73" s="1212" t="s">
        <v>504</v>
      </c>
      <c r="EJ73" s="1212"/>
      <c r="EK73" s="1391"/>
      <c r="EL73" s="1212" t="s">
        <v>5423</v>
      </c>
      <c r="EM73" s="1212" t="s">
        <v>5424</v>
      </c>
      <c r="EN73" s="1395">
        <v>170</v>
      </c>
      <c r="EO73" s="1396" t="s">
        <v>5425</v>
      </c>
      <c r="EP73" s="1212"/>
      <c r="EQ73" s="1397" t="s">
        <v>5426</v>
      </c>
      <c r="ER73" s="1212" t="s">
        <v>5605</v>
      </c>
      <c r="ES73" s="1387" t="s">
        <v>5427</v>
      </c>
      <c r="ET73" s="1398" t="s">
        <v>5606</v>
      </c>
      <c r="EU73" s="1399" t="s">
        <v>5607</v>
      </c>
      <c r="EV73" s="1396" t="s">
        <v>5428</v>
      </c>
      <c r="EW73" s="1212">
        <v>16</v>
      </c>
      <c r="EX73" s="1212">
        <v>620</v>
      </c>
    </row>
    <row r="74" spans="3:154" ht="81" customHeight="1" x14ac:dyDescent="0.2">
      <c r="C74" s="1156" t="s">
        <v>693</v>
      </c>
      <c r="D74" s="1156" t="s">
        <v>5278</v>
      </c>
      <c r="E74" s="1104" t="s">
        <v>319</v>
      </c>
      <c r="F74" s="1104" t="s">
        <v>404</v>
      </c>
      <c r="G74" s="1135" t="s">
        <v>5429</v>
      </c>
      <c r="H74" s="1135" t="s">
        <v>5430</v>
      </c>
      <c r="I74" s="1135" t="s">
        <v>1035</v>
      </c>
      <c r="J74" s="1213">
        <v>2018</v>
      </c>
      <c r="K74" s="1214">
        <v>43245</v>
      </c>
      <c r="L74" s="1214">
        <v>44196</v>
      </c>
      <c r="M74" s="1369">
        <f t="shared" si="5"/>
        <v>951</v>
      </c>
      <c r="N74" s="1214"/>
      <c r="O74" s="1214"/>
      <c r="P74" s="1214"/>
      <c r="Q74" s="1214"/>
      <c r="R74" s="1214"/>
      <c r="S74" s="1214"/>
      <c r="T74" s="1214"/>
      <c r="U74" s="1214"/>
      <c r="V74" s="1214"/>
      <c r="W74" s="1214"/>
      <c r="X74" s="1214"/>
      <c r="Y74" s="1214"/>
      <c r="Z74" s="1135" t="s">
        <v>5431</v>
      </c>
      <c r="AA74" s="1135" t="s">
        <v>5432</v>
      </c>
      <c r="AB74" s="1135" t="s">
        <v>5433</v>
      </c>
      <c r="AC74" s="1135" t="s">
        <v>5434</v>
      </c>
      <c r="AD74" s="1135" t="s">
        <v>5435</v>
      </c>
      <c r="AE74" s="1135" t="s">
        <v>5436</v>
      </c>
      <c r="AF74" s="1215">
        <v>16.71</v>
      </c>
      <c r="AG74" s="1215"/>
      <c r="AH74" s="1215"/>
      <c r="AI74" s="1215"/>
      <c r="AJ74" s="1215"/>
      <c r="AK74" s="1215"/>
      <c r="AL74" s="1215">
        <v>15.64</v>
      </c>
      <c r="AM74" s="1151">
        <v>0.93600000000000005</v>
      </c>
      <c r="AN74" s="1151">
        <v>4.0000000000000002E-4</v>
      </c>
      <c r="AO74" s="1215">
        <v>0.38</v>
      </c>
      <c r="AP74" s="1151">
        <v>2.2700000000000001E-2</v>
      </c>
      <c r="AQ74" s="1215">
        <v>0.69</v>
      </c>
      <c r="AR74" s="1151">
        <v>4.1300000000000003E-2</v>
      </c>
      <c r="AS74" s="1151"/>
      <c r="AT74" s="1151"/>
      <c r="AU74" s="1151"/>
      <c r="AV74" s="1151"/>
      <c r="AW74" s="1151"/>
      <c r="AX74" s="1151" t="s">
        <v>500</v>
      </c>
      <c r="AY74" s="1151" t="s">
        <v>5437</v>
      </c>
      <c r="AZ74" s="1151" t="s">
        <v>4101</v>
      </c>
      <c r="BA74" s="1151" t="s">
        <v>4101</v>
      </c>
      <c r="BB74" s="1215">
        <v>58.32</v>
      </c>
      <c r="BC74" s="1151">
        <v>1.5E-3</v>
      </c>
      <c r="BD74" s="1145">
        <v>75</v>
      </c>
      <c r="BE74" s="1145">
        <v>55</v>
      </c>
      <c r="BF74" s="1145">
        <v>9</v>
      </c>
      <c r="BG74" s="1145"/>
      <c r="BH74" s="1145"/>
      <c r="BI74" s="1145"/>
      <c r="BJ74" s="1145"/>
      <c r="BK74" s="1145"/>
      <c r="BL74" s="1145"/>
      <c r="BM74" s="1145"/>
      <c r="BN74" s="1145"/>
      <c r="BO74" s="1145">
        <v>1</v>
      </c>
      <c r="BP74" s="1145"/>
      <c r="BQ74" s="1145"/>
      <c r="BR74" s="1145">
        <v>3</v>
      </c>
      <c r="BS74" s="1145"/>
      <c r="BT74" s="1145"/>
      <c r="BU74" s="1145"/>
      <c r="BV74" s="1145"/>
      <c r="BW74" s="1145"/>
      <c r="BX74" s="1145"/>
      <c r="BY74" s="1145"/>
      <c r="BZ74" s="1145"/>
      <c r="CA74" s="1145"/>
      <c r="CB74" s="1216">
        <f>SUM(BG74:CA74)</f>
        <v>4</v>
      </c>
      <c r="CC74" s="1216"/>
      <c r="CD74" s="1216"/>
      <c r="CE74" s="1152" t="s">
        <v>5438</v>
      </c>
      <c r="CF74" s="1152"/>
      <c r="CG74" s="1152"/>
      <c r="CH74" s="1152"/>
      <c r="CI74" s="1152">
        <v>1093.771</v>
      </c>
      <c r="CJ74" s="1217" t="s">
        <v>5439</v>
      </c>
      <c r="CK74" s="1135" t="s">
        <v>504</v>
      </c>
      <c r="CL74" s="1135"/>
      <c r="CM74" s="1135"/>
      <c r="CN74" s="1145"/>
      <c r="CO74" s="1145"/>
      <c r="CP74" s="1145"/>
      <c r="CQ74" s="1135" t="s">
        <v>504</v>
      </c>
      <c r="CR74" s="1135"/>
      <c r="CS74" s="1145"/>
      <c r="CT74" s="1135" t="s">
        <v>500</v>
      </c>
      <c r="CU74" s="1135" t="s">
        <v>5440</v>
      </c>
      <c r="CV74" s="1145" t="s">
        <v>5441</v>
      </c>
      <c r="CW74" s="1145" t="s">
        <v>504</v>
      </c>
      <c r="CX74" s="1145"/>
      <c r="CY74" s="1145"/>
      <c r="CZ74" s="1145" t="s">
        <v>504</v>
      </c>
      <c r="DA74" s="1145"/>
      <c r="DB74" s="1145"/>
      <c r="DC74" s="1135" t="s">
        <v>504</v>
      </c>
      <c r="DD74" s="1135"/>
      <c r="DE74" s="1145"/>
      <c r="DF74" s="1135" t="s">
        <v>504</v>
      </c>
      <c r="DG74" s="1135"/>
      <c r="DH74" s="1145"/>
      <c r="DI74" s="1135" t="s">
        <v>504</v>
      </c>
      <c r="DJ74" s="1135"/>
      <c r="DK74" s="1145"/>
      <c r="DL74" s="1135" t="s">
        <v>500</v>
      </c>
      <c r="DM74" s="1135" t="s">
        <v>5442</v>
      </c>
      <c r="DN74" s="1145" t="s">
        <v>5441</v>
      </c>
      <c r="DO74" s="1135" t="s">
        <v>504</v>
      </c>
      <c r="DP74" s="1135"/>
      <c r="DQ74" s="1145"/>
      <c r="DR74" s="1135" t="s">
        <v>504</v>
      </c>
      <c r="DS74" s="1135"/>
      <c r="DT74" s="1145"/>
      <c r="DU74" s="1145" t="s">
        <v>504</v>
      </c>
      <c r="DV74" s="1145"/>
      <c r="DW74" s="1145"/>
      <c r="DX74" s="1135" t="s">
        <v>504</v>
      </c>
      <c r="DY74" s="1135"/>
      <c r="DZ74" s="1145"/>
      <c r="EA74" s="1135" t="s">
        <v>504</v>
      </c>
      <c r="EB74" s="1135"/>
      <c r="EC74" s="1145"/>
      <c r="ED74" s="1135" t="s">
        <v>504</v>
      </c>
      <c r="EE74" s="1135"/>
      <c r="EF74" s="1145"/>
      <c r="EG74" s="1623" t="s">
        <v>5443</v>
      </c>
      <c r="EH74" s="1623"/>
      <c r="EI74" s="1623"/>
      <c r="EJ74" s="1135" t="s">
        <v>504</v>
      </c>
      <c r="EK74" s="1135"/>
      <c r="EL74" s="1145"/>
      <c r="EM74" s="1145"/>
      <c r="EN74" s="1145"/>
      <c r="EO74" s="1145"/>
      <c r="EP74" s="1135" t="s">
        <v>504</v>
      </c>
      <c r="EQ74" s="1135"/>
      <c r="ER74" s="1127" t="s">
        <v>5444</v>
      </c>
      <c r="ES74" s="1135"/>
      <c r="ET74" s="1135"/>
      <c r="EU74" s="1135" t="s">
        <v>5445</v>
      </c>
      <c r="EV74" s="1135" t="s">
        <v>5446</v>
      </c>
      <c r="EW74" s="1624"/>
      <c r="EX74" s="1624"/>
    </row>
    <row r="75" spans="3:154" ht="90" customHeight="1" x14ac:dyDescent="0.2">
      <c r="C75" s="1156" t="s">
        <v>5479</v>
      </c>
      <c r="D75" s="1156" t="s">
        <v>5277</v>
      </c>
      <c r="E75" s="738" t="s">
        <v>320</v>
      </c>
      <c r="F75" s="738" t="s">
        <v>405</v>
      </c>
      <c r="G75" s="738"/>
      <c r="H75" s="738" t="s">
        <v>867</v>
      </c>
      <c r="I75" s="738" t="s">
        <v>868</v>
      </c>
      <c r="J75" s="637">
        <v>2017</v>
      </c>
      <c r="K75" s="377">
        <v>43831</v>
      </c>
      <c r="L75" s="377">
        <v>44196</v>
      </c>
      <c r="M75" s="1369">
        <f t="shared" si="5"/>
        <v>365</v>
      </c>
      <c r="N75" s="738" t="s">
        <v>868</v>
      </c>
      <c r="O75" s="738" t="s">
        <v>869</v>
      </c>
      <c r="P75" s="738" t="s">
        <v>870</v>
      </c>
      <c r="Q75" s="632"/>
      <c r="R75" s="632"/>
      <c r="S75" s="632"/>
      <c r="T75" s="632"/>
      <c r="U75" s="738" t="s">
        <v>869</v>
      </c>
      <c r="V75" s="738" t="s">
        <v>870</v>
      </c>
      <c r="W75" s="632"/>
      <c r="X75" s="632"/>
      <c r="Y75" s="632"/>
      <c r="Z75" s="632"/>
      <c r="AA75" s="738" t="s">
        <v>871</v>
      </c>
      <c r="AB75" s="738" t="s">
        <v>871</v>
      </c>
      <c r="AC75" s="632" t="s">
        <v>519</v>
      </c>
      <c r="AD75" s="632" t="s">
        <v>872</v>
      </c>
      <c r="AE75" s="702">
        <f>AH75+AK75+AN75+AP75+AR75</f>
        <v>648.61040000000003</v>
      </c>
      <c r="AF75" s="671">
        <f t="shared" ref="AF75:AF138" si="10">AH75+AK75+AN75+AP75+AR75</f>
        <v>648.61040000000003</v>
      </c>
      <c r="AG75" s="671">
        <f t="shared" ref="AG75:AG138" si="11">AF75-AE75</f>
        <v>0</v>
      </c>
      <c r="AH75" s="702">
        <v>153.92339999999999</v>
      </c>
      <c r="AI75" s="683">
        <f>AH75/AE75</f>
        <v>0.23731256853112437</v>
      </c>
      <c r="AJ75" s="683">
        <v>2.8E-3</v>
      </c>
      <c r="AK75" s="702">
        <v>53.506</v>
      </c>
      <c r="AL75" s="683">
        <f>AK75/AE75</f>
        <v>8.2493281020470835E-2</v>
      </c>
      <c r="AM75" s="683"/>
      <c r="AN75" s="702">
        <v>5.3929999999999998</v>
      </c>
      <c r="AO75" s="683">
        <f>AN75/AE75</f>
        <v>8.3146986233954921E-3</v>
      </c>
      <c r="AP75" s="702">
        <v>1.008</v>
      </c>
      <c r="AQ75" s="683">
        <f>AP75/AE75</f>
        <v>1.5540916396036819E-3</v>
      </c>
      <c r="AR75" s="702">
        <v>434.78</v>
      </c>
      <c r="AS75" s="683">
        <f>AR75/AE75</f>
        <v>0.67032536018540556</v>
      </c>
      <c r="AT75" s="738" t="s">
        <v>873</v>
      </c>
      <c r="AU75" s="632" t="s">
        <v>874</v>
      </c>
      <c r="AV75" s="632" t="s">
        <v>871</v>
      </c>
      <c r="AW75" s="632" t="s">
        <v>504</v>
      </c>
      <c r="AX75" s="632"/>
      <c r="AY75" s="632"/>
      <c r="AZ75" s="683"/>
      <c r="BA75" s="702">
        <v>4.4237000000000002</v>
      </c>
      <c r="BB75" s="683">
        <v>7.4999999999999993E-5</v>
      </c>
      <c r="BC75" s="710"/>
      <c r="BD75" s="710"/>
      <c r="BE75" s="706"/>
      <c r="BF75" s="710"/>
      <c r="BG75" s="710"/>
      <c r="BH75" s="710"/>
      <c r="BI75" s="710"/>
      <c r="BJ75" s="710"/>
      <c r="BK75" s="710"/>
      <c r="BL75" s="710"/>
      <c r="BM75" s="710"/>
      <c r="BN75" s="710"/>
      <c r="BO75" s="710">
        <v>104</v>
      </c>
      <c r="BP75" s="710">
        <v>30</v>
      </c>
      <c r="BQ75" s="710">
        <v>68</v>
      </c>
      <c r="BR75" s="710"/>
      <c r="BS75" s="710"/>
      <c r="BT75" s="710"/>
      <c r="BU75" s="710"/>
      <c r="BV75" s="710"/>
      <c r="BW75" s="710"/>
      <c r="BX75" s="710"/>
      <c r="BY75" s="710"/>
      <c r="BZ75" s="710">
        <v>104</v>
      </c>
      <c r="CA75" s="717">
        <f>SUM(BF75:BZ75)</f>
        <v>306</v>
      </c>
      <c r="CB75" s="717">
        <f t="shared" ref="CB75:CB138" si="12">SUM(BF75:BZ75)</f>
        <v>306</v>
      </c>
      <c r="CC75" s="717">
        <f t="shared" ref="CC75:CC138" si="13">CB75-CA75</f>
        <v>0</v>
      </c>
      <c r="CD75" s="697">
        <v>845.5</v>
      </c>
      <c r="CE75" s="738" t="s">
        <v>875</v>
      </c>
      <c r="CF75" s="632"/>
      <c r="CG75" s="683">
        <v>1</v>
      </c>
      <c r="CH75" s="671">
        <v>827.2</v>
      </c>
      <c r="CI75" s="683" t="s">
        <v>876</v>
      </c>
      <c r="CJ75" s="632" t="s">
        <v>504</v>
      </c>
      <c r="CK75" s="632"/>
      <c r="CL75" s="632"/>
      <c r="CM75" s="710"/>
      <c r="CN75" s="710"/>
      <c r="CO75" s="710"/>
      <c r="CP75" s="632" t="s">
        <v>500</v>
      </c>
      <c r="CQ75" s="632"/>
      <c r="CR75" s="710"/>
      <c r="CS75" s="632"/>
      <c r="CT75" s="632"/>
      <c r="CU75" s="710"/>
      <c r="CV75" s="710"/>
      <c r="CW75" s="710"/>
      <c r="CX75" s="710"/>
      <c r="CY75" s="710"/>
      <c r="CZ75" s="710"/>
      <c r="DA75" s="710"/>
      <c r="DB75" s="632"/>
      <c r="DC75" s="632"/>
      <c r="DD75" s="710"/>
      <c r="DE75" s="632" t="s">
        <v>500</v>
      </c>
      <c r="DF75" s="632"/>
      <c r="DG75" s="710"/>
      <c r="DH75" s="632"/>
      <c r="DI75" s="632"/>
      <c r="DJ75" s="710"/>
      <c r="DK75" s="632"/>
      <c r="DL75" s="632"/>
      <c r="DM75" s="710"/>
      <c r="DN75" s="738" t="s">
        <v>500</v>
      </c>
      <c r="DO75" s="653" t="s">
        <v>877</v>
      </c>
      <c r="DP75" s="822">
        <v>57000</v>
      </c>
      <c r="DQ75" s="738" t="s">
        <v>500</v>
      </c>
      <c r="DR75" s="653" t="s">
        <v>877</v>
      </c>
      <c r="DS75" s="822">
        <v>5000</v>
      </c>
      <c r="DT75" s="710"/>
      <c r="DU75" s="710"/>
      <c r="DV75" s="710"/>
      <c r="DW75" s="632"/>
      <c r="DX75" s="632"/>
      <c r="DY75" s="710"/>
      <c r="DZ75" s="632"/>
      <c r="EA75" s="632"/>
      <c r="EB75" s="710"/>
      <c r="EC75" s="738" t="s">
        <v>500</v>
      </c>
      <c r="ED75" s="653" t="s">
        <v>877</v>
      </c>
      <c r="EE75" s="822">
        <v>57000</v>
      </c>
      <c r="EF75" s="738"/>
      <c r="EG75" s="653"/>
      <c r="EH75" s="822"/>
      <c r="EI75" s="632"/>
      <c r="EJ75" s="632"/>
      <c r="EK75" s="710"/>
      <c r="EL75" s="632"/>
      <c r="EM75" s="738" t="s">
        <v>878</v>
      </c>
      <c r="EN75" s="670">
        <v>24</v>
      </c>
      <c r="EO75" s="632" t="s">
        <v>504</v>
      </c>
      <c r="EP75" s="632" t="s">
        <v>504</v>
      </c>
      <c r="EQ75" s="632"/>
      <c r="ER75" s="738" t="s">
        <v>879</v>
      </c>
      <c r="ES75" s="738" t="s">
        <v>880</v>
      </c>
      <c r="ET75" s="632"/>
      <c r="EU75" s="738" t="s">
        <v>881</v>
      </c>
      <c r="EV75" s="632"/>
      <c r="EW75" s="632"/>
      <c r="EX75" s="632"/>
    </row>
    <row r="76" spans="3:154" ht="71.099999999999994" customHeight="1" x14ac:dyDescent="0.2">
      <c r="C76" s="1156" t="s">
        <v>5478</v>
      </c>
      <c r="D76" s="1156" t="s">
        <v>5277</v>
      </c>
      <c r="E76" s="738" t="s">
        <v>320</v>
      </c>
      <c r="F76" s="738" t="s">
        <v>405</v>
      </c>
      <c r="G76" s="738"/>
      <c r="H76" s="1400" t="s">
        <v>730</v>
      </c>
      <c r="I76" s="1400" t="s">
        <v>504</v>
      </c>
      <c r="J76" s="1401">
        <v>2020</v>
      </c>
      <c r="K76" s="1402">
        <v>43617</v>
      </c>
      <c r="L76" s="1402">
        <v>44196</v>
      </c>
      <c r="M76" s="1369">
        <f t="shared" ref="M76:M139" si="14">L76-K76</f>
        <v>579</v>
      </c>
      <c r="N76" s="1400" t="s">
        <v>882</v>
      </c>
      <c r="O76" s="1400" t="s">
        <v>883</v>
      </c>
      <c r="P76" s="1400"/>
      <c r="Q76" s="1400"/>
      <c r="R76" s="1400"/>
      <c r="S76" s="1400"/>
      <c r="T76" s="1400"/>
      <c r="U76" s="1400" t="s">
        <v>884</v>
      </c>
      <c r="V76" s="1403" t="s">
        <v>885</v>
      </c>
      <c r="W76" s="1400"/>
      <c r="X76" s="1400"/>
      <c r="Y76" s="1400"/>
      <c r="Z76" s="1400"/>
      <c r="AA76" s="1400"/>
      <c r="AB76" s="1400" t="s">
        <v>886</v>
      </c>
      <c r="AC76" s="1400" t="s">
        <v>519</v>
      </c>
      <c r="AD76" s="1400" t="s">
        <v>872</v>
      </c>
      <c r="AE76" s="1404">
        <v>8.8989999999999991</v>
      </c>
      <c r="AF76" s="671">
        <f>AH76+AK76+AN76+AP76+AR76</f>
        <v>8.8989920199999997</v>
      </c>
      <c r="AG76" s="671">
        <f t="shared" si="11"/>
        <v>-7.9799999994634163E-6</v>
      </c>
      <c r="AH76" s="1404">
        <f>88.09792/1000</f>
        <v>8.8097919999999996E-2</v>
      </c>
      <c r="AI76" s="1405">
        <f>AH76/AE76</f>
        <v>9.8997550286549062E-3</v>
      </c>
      <c r="AJ76" s="1405">
        <v>2.3000000000000001E-4</v>
      </c>
      <c r="AK76" s="1404">
        <f>98/1000</f>
        <v>9.8000000000000004E-2</v>
      </c>
      <c r="AL76" s="1405">
        <f>AK76/AE76</f>
        <v>1.1012473311608047E-2</v>
      </c>
      <c r="AM76" s="1405"/>
      <c r="AN76" s="1404">
        <v>0</v>
      </c>
      <c r="AO76" s="1405">
        <f>AN76/AE76</f>
        <v>0</v>
      </c>
      <c r="AP76" s="1404">
        <v>0</v>
      </c>
      <c r="AQ76" s="1405">
        <v>0</v>
      </c>
      <c r="AR76" s="1404">
        <f>8712.8941/1000</f>
        <v>8.7128940999999998</v>
      </c>
      <c r="AS76" s="1405">
        <f>AR76/AE76</f>
        <v>0.97908687492976743</v>
      </c>
      <c r="AT76" s="1400" t="s">
        <v>887</v>
      </c>
      <c r="AU76" s="1400" t="s">
        <v>825</v>
      </c>
      <c r="AV76" s="1400" t="s">
        <v>886</v>
      </c>
      <c r="AW76" s="1400" t="s">
        <v>500</v>
      </c>
      <c r="AX76" s="1400" t="s">
        <v>888</v>
      </c>
      <c r="AY76" s="1406">
        <f>3975.9/1000</f>
        <v>3.9759000000000002</v>
      </c>
      <c r="AZ76" s="1405">
        <f>AY76/AE76</f>
        <v>0.44678053713900445</v>
      </c>
      <c r="BA76" s="1407">
        <f>142.963/1000</f>
        <v>0.14296300000000001</v>
      </c>
      <c r="BB76" s="1405">
        <v>1.9999999999999999E-6</v>
      </c>
      <c r="BC76" s="1408">
        <v>58</v>
      </c>
      <c r="BD76" s="1408">
        <v>58</v>
      </c>
      <c r="BE76" s="1407">
        <v>11</v>
      </c>
      <c r="BF76" s="1408">
        <v>0</v>
      </c>
      <c r="BG76" s="1408">
        <v>0</v>
      </c>
      <c r="BH76" s="1408">
        <v>0</v>
      </c>
      <c r="BI76" s="1408">
        <v>0</v>
      </c>
      <c r="BJ76" s="1408">
        <v>0</v>
      </c>
      <c r="BK76" s="1408">
        <v>0</v>
      </c>
      <c r="BL76" s="1408">
        <v>1</v>
      </c>
      <c r="BM76" s="1408">
        <v>0</v>
      </c>
      <c r="BN76" s="1408">
        <v>0</v>
      </c>
      <c r="BO76" s="1408">
        <v>0</v>
      </c>
      <c r="BP76" s="1408">
        <v>10</v>
      </c>
      <c r="BQ76" s="1408">
        <v>0</v>
      </c>
      <c r="BR76" s="1408">
        <v>0</v>
      </c>
      <c r="BS76" s="1408">
        <v>0</v>
      </c>
      <c r="BT76" s="1408">
        <v>0</v>
      </c>
      <c r="BU76" s="1408">
        <v>0</v>
      </c>
      <c r="BV76" s="1408">
        <v>0</v>
      </c>
      <c r="BW76" s="1408">
        <v>0</v>
      </c>
      <c r="BX76" s="1408">
        <v>0</v>
      </c>
      <c r="BY76" s="1408">
        <v>0</v>
      </c>
      <c r="BZ76" s="1408">
        <v>0</v>
      </c>
      <c r="CA76" s="1409">
        <f>SUM(BF76:BZ76)</f>
        <v>11</v>
      </c>
      <c r="CB76" s="717">
        <f t="shared" si="12"/>
        <v>11</v>
      </c>
      <c r="CC76" s="717">
        <f t="shared" si="13"/>
        <v>0</v>
      </c>
      <c r="CD76" s="1406">
        <v>16.099</v>
      </c>
      <c r="CE76" s="1400" t="s">
        <v>504</v>
      </c>
      <c r="CF76" s="1400"/>
      <c r="CG76" s="1405">
        <v>1.9E-2</v>
      </c>
      <c r="CH76" s="671">
        <v>827.2</v>
      </c>
      <c r="CI76" s="683" t="s">
        <v>876</v>
      </c>
      <c r="CJ76" s="1400" t="s">
        <v>504</v>
      </c>
      <c r="CK76" s="1400" t="s">
        <v>504</v>
      </c>
      <c r="CL76" s="1400" t="s">
        <v>504</v>
      </c>
      <c r="CM76" s="1408" t="s">
        <v>504</v>
      </c>
      <c r="CN76" s="1408" t="s">
        <v>504</v>
      </c>
      <c r="CO76" s="1408"/>
      <c r="CP76" s="1400"/>
      <c r="CQ76" s="1400"/>
      <c r="CR76" s="1408"/>
      <c r="CS76" s="1400" t="s">
        <v>500</v>
      </c>
      <c r="CT76" s="1400" t="s">
        <v>889</v>
      </c>
      <c r="CU76" s="1408">
        <v>2150</v>
      </c>
      <c r="CV76" s="1408" t="s">
        <v>504</v>
      </c>
      <c r="CW76" s="1408"/>
      <c r="CX76" s="1408"/>
      <c r="CY76" s="1408" t="s">
        <v>504</v>
      </c>
      <c r="CZ76" s="1408"/>
      <c r="DA76" s="1408"/>
      <c r="DB76" s="1400" t="s">
        <v>504</v>
      </c>
      <c r="DC76" s="1400"/>
      <c r="DD76" s="1408"/>
      <c r="DE76" s="1400" t="s">
        <v>504</v>
      </c>
      <c r="DF76" s="1400"/>
      <c r="DG76" s="1408"/>
      <c r="DH76" s="1400" t="s">
        <v>504</v>
      </c>
      <c r="DI76" s="1400"/>
      <c r="DJ76" s="1408"/>
      <c r="DK76" s="1400" t="s">
        <v>504</v>
      </c>
      <c r="DL76" s="1400"/>
      <c r="DM76" s="1408"/>
      <c r="DN76" s="1400" t="s">
        <v>504</v>
      </c>
      <c r="DO76" s="1400"/>
      <c r="DP76" s="1408"/>
      <c r="DQ76" s="1400" t="s">
        <v>500</v>
      </c>
      <c r="DR76" s="1400" t="s">
        <v>889</v>
      </c>
      <c r="DS76" s="1408">
        <v>2150</v>
      </c>
      <c r="DT76" s="1408" t="s">
        <v>504</v>
      </c>
      <c r="DU76" s="1408"/>
      <c r="DV76" s="1408"/>
      <c r="DW76" s="1400" t="s">
        <v>504</v>
      </c>
      <c r="DX76" s="1400"/>
      <c r="DY76" s="1408"/>
      <c r="DZ76" s="1400" t="s">
        <v>504</v>
      </c>
      <c r="EA76" s="1400"/>
      <c r="EB76" s="1408"/>
      <c r="EC76" s="1400" t="s">
        <v>504</v>
      </c>
      <c r="ED76" s="1400"/>
      <c r="EE76" s="1408"/>
      <c r="EF76" s="1408" t="s">
        <v>504</v>
      </c>
      <c r="EG76" s="1408"/>
      <c r="EH76" s="1408"/>
      <c r="EI76" s="1400" t="s">
        <v>504</v>
      </c>
      <c r="EJ76" s="1400"/>
      <c r="EK76" s="1408"/>
      <c r="EL76" s="1405">
        <v>1</v>
      </c>
      <c r="EM76" s="1400"/>
      <c r="EN76" s="1410">
        <v>20</v>
      </c>
      <c r="EO76" s="1400" t="s">
        <v>504</v>
      </c>
      <c r="EP76" s="1400"/>
      <c r="EQ76" s="1400" t="s">
        <v>504</v>
      </c>
      <c r="ER76" s="1400" t="s">
        <v>504</v>
      </c>
      <c r="ES76" s="1400" t="s">
        <v>504</v>
      </c>
      <c r="ET76" s="1400" t="s">
        <v>504</v>
      </c>
      <c r="EU76" s="1400" t="s">
        <v>504</v>
      </c>
      <c r="EV76" s="1400" t="s">
        <v>504</v>
      </c>
      <c r="EW76" s="1400" t="s">
        <v>504</v>
      </c>
      <c r="EX76" s="1400" t="s">
        <v>504</v>
      </c>
    </row>
    <row r="77" spans="3:154" ht="71.099999999999994" customHeight="1" x14ac:dyDescent="0.2">
      <c r="C77" s="1156" t="s">
        <v>1731</v>
      </c>
      <c r="D77" s="1156" t="s">
        <v>5278</v>
      </c>
      <c r="E77" s="1104" t="s">
        <v>320</v>
      </c>
      <c r="F77" s="1104" t="s">
        <v>405</v>
      </c>
      <c r="G77" s="1337" t="s">
        <v>2863</v>
      </c>
      <c r="H77" s="1319"/>
      <c r="I77" s="1337" t="s">
        <v>2864</v>
      </c>
      <c r="J77" s="1338">
        <v>2018</v>
      </c>
      <c r="K77" s="1446">
        <v>43101</v>
      </c>
      <c r="L77" s="1446">
        <v>44196</v>
      </c>
      <c r="M77" s="1369">
        <f t="shared" si="14"/>
        <v>1095</v>
      </c>
      <c r="N77" s="1446"/>
      <c r="O77" s="1446"/>
      <c r="P77" s="1446"/>
      <c r="Q77" s="1446"/>
      <c r="R77" s="1446"/>
      <c r="S77" s="1446"/>
      <c r="T77" s="1446"/>
      <c r="U77" s="1446"/>
      <c r="V77" s="1446"/>
      <c r="W77" s="1446"/>
      <c r="X77" s="1446"/>
      <c r="Y77" s="1337" t="s">
        <v>2866</v>
      </c>
      <c r="Z77" s="1447" t="s">
        <v>2867</v>
      </c>
      <c r="AA77" s="1319"/>
      <c r="AB77" s="1337" t="s">
        <v>2868</v>
      </c>
      <c r="AC77" s="1337" t="s">
        <v>2731</v>
      </c>
      <c r="AD77" s="1337" t="s">
        <v>2869</v>
      </c>
      <c r="AE77" s="1321">
        <v>5.8</v>
      </c>
      <c r="AF77" s="1113">
        <f>AH77+AK77+AN77+AP77+AR77</f>
        <v>5.8</v>
      </c>
      <c r="AG77" s="1113">
        <f t="shared" si="11"/>
        <v>0</v>
      </c>
      <c r="AH77" s="1321"/>
      <c r="AI77" s="1322"/>
      <c r="AJ77" s="1322"/>
      <c r="AK77" s="1321">
        <v>4.5</v>
      </c>
      <c r="AL77" s="1323">
        <v>2.7E-2</v>
      </c>
      <c r="AM77" s="1323">
        <v>2E-3</v>
      </c>
      <c r="AN77" s="1321">
        <v>1.1000000000000001</v>
      </c>
      <c r="AO77" s="1323">
        <v>7.0000000000000001E-3</v>
      </c>
      <c r="AP77" s="1321">
        <v>0.2</v>
      </c>
      <c r="AQ77" s="1323">
        <v>1E-3</v>
      </c>
      <c r="AR77" s="1321"/>
      <c r="AS77" s="1323"/>
      <c r="AT77" s="1323"/>
      <c r="AU77" s="1323"/>
      <c r="AV77" s="1323"/>
      <c r="AW77" s="1323"/>
      <c r="AX77" s="1323"/>
      <c r="AY77" s="1323"/>
      <c r="AZ77" s="1323"/>
      <c r="BA77" s="1322">
        <v>1.6</v>
      </c>
      <c r="BB77" s="1323">
        <v>8.0000000000000004E-4</v>
      </c>
      <c r="BC77" s="1324"/>
      <c r="BD77" s="1324"/>
      <c r="BE77" s="1325"/>
      <c r="BF77" s="1324"/>
      <c r="BG77" s="1324"/>
      <c r="BH77" s="1324"/>
      <c r="BI77" s="1324"/>
      <c r="BJ77" s="1324"/>
      <c r="BK77" s="1448">
        <v>1</v>
      </c>
      <c r="BL77" s="1324"/>
      <c r="BM77" s="1324"/>
      <c r="BN77" s="1324"/>
      <c r="BO77" s="1448">
        <v>1</v>
      </c>
      <c r="BP77" s="1324"/>
      <c r="BQ77" s="1324">
        <v>1</v>
      </c>
      <c r="BR77" s="1324"/>
      <c r="BS77" s="1324"/>
      <c r="BT77" s="1324"/>
      <c r="BU77" s="1324"/>
      <c r="BV77" s="1324"/>
      <c r="BW77" s="1324"/>
      <c r="BX77" s="1324"/>
      <c r="BY77" s="1324"/>
      <c r="BZ77" s="1324"/>
      <c r="CA77" s="1326">
        <f>SUM(BF77:BZ77)</f>
        <v>3</v>
      </c>
      <c r="CB77" s="1117">
        <f t="shared" si="12"/>
        <v>3</v>
      </c>
      <c r="CC77" s="1117">
        <f t="shared" si="13"/>
        <v>0</v>
      </c>
      <c r="CD77" s="1322"/>
      <c r="CE77" s="1319"/>
      <c r="CF77" s="1319"/>
      <c r="CG77" s="1319"/>
      <c r="CH77" s="1449">
        <v>74.652000000000001</v>
      </c>
      <c r="CI77" s="1450" t="s">
        <v>2870</v>
      </c>
      <c r="CJ77" s="1319" t="s">
        <v>504</v>
      </c>
      <c r="CK77" s="1319"/>
      <c r="CL77" s="1319"/>
      <c r="CM77" s="1324"/>
      <c r="CN77" s="1324"/>
      <c r="CO77" s="1324"/>
      <c r="CP77" s="1319" t="s">
        <v>500</v>
      </c>
      <c r="CQ77" s="1319"/>
      <c r="CR77" s="1324"/>
      <c r="CS77" s="1319"/>
      <c r="CT77" s="1319"/>
      <c r="CU77" s="1324"/>
      <c r="CV77" s="1324"/>
      <c r="CW77" s="1324"/>
      <c r="CX77" s="1324"/>
      <c r="CY77" s="1324"/>
      <c r="CZ77" s="1324"/>
      <c r="DA77" s="1324"/>
      <c r="DB77" s="1319"/>
      <c r="DC77" s="1319"/>
      <c r="DD77" s="1324"/>
      <c r="DE77" s="1319"/>
      <c r="DF77" s="1319"/>
      <c r="DG77" s="1324"/>
      <c r="DH77" s="1319"/>
      <c r="DI77" s="1319"/>
      <c r="DJ77" s="1324"/>
      <c r="DK77" s="1319"/>
      <c r="DL77" s="1319"/>
      <c r="DM77" s="1324"/>
      <c r="DN77" s="1319"/>
      <c r="DO77" s="1319"/>
      <c r="DP77" s="1324"/>
      <c r="DQ77" s="1319"/>
      <c r="DR77" s="1319"/>
      <c r="DS77" s="1324"/>
      <c r="DT77" s="1324"/>
      <c r="DU77" s="1324"/>
      <c r="DV77" s="1324"/>
      <c r="DW77" s="1319"/>
      <c r="DX77" s="1319"/>
      <c r="DY77" s="1324"/>
      <c r="DZ77" s="1319"/>
      <c r="EA77" s="1319"/>
      <c r="EB77" s="1324"/>
      <c r="EC77" s="1319"/>
      <c r="ED77" s="1319"/>
      <c r="EE77" s="1324"/>
      <c r="EF77" s="1324"/>
      <c r="EG77" s="1324"/>
      <c r="EH77" s="1324"/>
      <c r="EI77" s="1319"/>
      <c r="EJ77" s="1319"/>
      <c r="EK77" s="1324"/>
      <c r="EL77" s="1324"/>
      <c r="EM77" s="1324"/>
      <c r="EN77" s="1324"/>
      <c r="EO77" s="1319" t="s">
        <v>504</v>
      </c>
      <c r="EP77" s="1447"/>
      <c r="EQ77" s="1319"/>
      <c r="ER77" s="1319"/>
      <c r="ES77" s="1319"/>
      <c r="ET77" s="1319" t="s">
        <v>2871</v>
      </c>
      <c r="EU77" s="1319"/>
      <c r="EV77" s="1319"/>
      <c r="EW77" s="1319"/>
      <c r="EX77" s="1319"/>
    </row>
    <row r="78" spans="3:154" ht="53.1" customHeight="1" x14ac:dyDescent="0.2">
      <c r="C78" s="1156" t="s">
        <v>693</v>
      </c>
      <c r="D78" s="1156" t="s">
        <v>5277</v>
      </c>
      <c r="E78" s="738" t="s">
        <v>321</v>
      </c>
      <c r="F78" s="738" t="s">
        <v>406</v>
      </c>
      <c r="G78" s="738"/>
      <c r="H78" s="632" t="s">
        <v>1136</v>
      </c>
      <c r="I78" s="632" t="s">
        <v>1137</v>
      </c>
      <c r="J78" s="637">
        <v>2017</v>
      </c>
      <c r="K78" s="377">
        <v>43516</v>
      </c>
      <c r="L78" s="377">
        <v>44196</v>
      </c>
      <c r="M78" s="1369">
        <f t="shared" si="14"/>
        <v>680</v>
      </c>
      <c r="N78" s="632" t="s">
        <v>504</v>
      </c>
      <c r="O78" s="632" t="s">
        <v>504</v>
      </c>
      <c r="P78" s="632" t="s">
        <v>504</v>
      </c>
      <c r="Q78" s="632" t="s">
        <v>1139</v>
      </c>
      <c r="R78" s="653" t="s">
        <v>1140</v>
      </c>
      <c r="S78" s="632" t="s">
        <v>504</v>
      </c>
      <c r="T78" s="632" t="s">
        <v>504</v>
      </c>
      <c r="U78" s="632" t="s">
        <v>504</v>
      </c>
      <c r="V78" s="632" t="s">
        <v>504</v>
      </c>
      <c r="W78" s="632" t="s">
        <v>1141</v>
      </c>
      <c r="X78" s="653" t="s">
        <v>1142</v>
      </c>
      <c r="Y78" s="653"/>
      <c r="Z78" s="653"/>
      <c r="AA78" s="632" t="s">
        <v>1143</v>
      </c>
      <c r="AB78" s="632" t="s">
        <v>1144</v>
      </c>
      <c r="AC78" s="632" t="s">
        <v>519</v>
      </c>
      <c r="AD78" s="632" t="s">
        <v>1145</v>
      </c>
      <c r="AE78" s="702">
        <v>336.19200000000001</v>
      </c>
      <c r="AF78" s="671">
        <f>AH78+AK78+AN78+AP78+AR78</f>
        <v>336.19279999999998</v>
      </c>
      <c r="AG78" s="671">
        <f t="shared" si="11"/>
        <v>7.9999999996971383E-4</v>
      </c>
      <c r="AH78" s="702">
        <v>166.03540000000001</v>
      </c>
      <c r="AI78" s="683">
        <v>0.49390000000000001</v>
      </c>
      <c r="AJ78" s="683">
        <v>2.3E-3</v>
      </c>
      <c r="AK78" s="702">
        <v>154.75800000000001</v>
      </c>
      <c r="AL78" s="683">
        <v>0.46029999999999999</v>
      </c>
      <c r="AM78" s="683"/>
      <c r="AN78" s="702">
        <v>14.53</v>
      </c>
      <c r="AO78" s="683">
        <v>4.3200000000000002E-2</v>
      </c>
      <c r="AP78" s="702">
        <v>0.86939999999999995</v>
      </c>
      <c r="AQ78" s="683">
        <v>2.5999999999999999E-3</v>
      </c>
      <c r="AR78" s="702"/>
      <c r="AS78" s="683"/>
      <c r="AT78" s="632"/>
      <c r="AU78" s="632"/>
      <c r="AV78" s="632"/>
      <c r="AW78" s="632" t="s">
        <v>504</v>
      </c>
      <c r="AX78" s="632"/>
      <c r="AY78" s="632"/>
      <c r="AZ78" s="683"/>
      <c r="BA78" s="702">
        <v>278.09800000000001</v>
      </c>
      <c r="BB78" s="683">
        <v>4.0000000000000001E-3</v>
      </c>
      <c r="BC78" s="710">
        <v>199</v>
      </c>
      <c r="BD78" s="710">
        <v>199</v>
      </c>
      <c r="BE78" s="706">
        <v>191</v>
      </c>
      <c r="BF78" s="710">
        <v>3</v>
      </c>
      <c r="BG78" s="710">
        <v>51</v>
      </c>
      <c r="BH78" s="710">
        <v>2</v>
      </c>
      <c r="BI78" s="710">
        <v>0</v>
      </c>
      <c r="BJ78" s="710">
        <v>0</v>
      </c>
      <c r="BK78" s="710">
        <v>0</v>
      </c>
      <c r="BL78" s="710">
        <v>54</v>
      </c>
      <c r="BM78" s="710">
        <v>17</v>
      </c>
      <c r="BN78" s="710">
        <v>9</v>
      </c>
      <c r="BO78" s="710">
        <v>0</v>
      </c>
      <c r="BP78" s="710">
        <v>25</v>
      </c>
      <c r="BQ78" s="710">
        <v>9</v>
      </c>
      <c r="BR78" s="710">
        <v>17</v>
      </c>
      <c r="BS78" s="710">
        <v>0</v>
      </c>
      <c r="BT78" s="710">
        <v>0</v>
      </c>
      <c r="BU78" s="710">
        <v>0</v>
      </c>
      <c r="BV78" s="710">
        <v>0</v>
      </c>
      <c r="BW78" s="710">
        <v>0</v>
      </c>
      <c r="BX78" s="710">
        <v>0</v>
      </c>
      <c r="BY78" s="710">
        <v>0</v>
      </c>
      <c r="BZ78" s="710">
        <v>4</v>
      </c>
      <c r="CA78" s="717">
        <f>SUM(BF78:BZ78)</f>
        <v>191</v>
      </c>
      <c r="CB78" s="717">
        <f t="shared" si="12"/>
        <v>191</v>
      </c>
      <c r="CC78" s="717">
        <f t="shared" si="13"/>
        <v>0</v>
      </c>
      <c r="CD78" s="671">
        <v>320</v>
      </c>
      <c r="CE78" s="632" t="s">
        <v>1147</v>
      </c>
      <c r="CF78" s="632" t="s">
        <v>504</v>
      </c>
      <c r="CG78" s="683">
        <v>0.317</v>
      </c>
      <c r="CH78" s="671">
        <v>1104.008</v>
      </c>
      <c r="CI78" s="733" t="s">
        <v>1148</v>
      </c>
      <c r="CJ78" s="632" t="s">
        <v>504</v>
      </c>
      <c r="CK78" s="632"/>
      <c r="CL78" s="632"/>
      <c r="CM78" s="710"/>
      <c r="CN78" s="710"/>
      <c r="CO78" s="710">
        <v>8</v>
      </c>
      <c r="CP78" s="632" t="s">
        <v>504</v>
      </c>
      <c r="CQ78" s="632"/>
      <c r="CR78" s="710"/>
      <c r="CS78" s="632" t="s">
        <v>500</v>
      </c>
      <c r="CT78" s="632" t="s">
        <v>1149</v>
      </c>
      <c r="CU78" s="710">
        <v>11200</v>
      </c>
      <c r="CV78" s="710" t="s">
        <v>504</v>
      </c>
      <c r="CW78" s="710"/>
      <c r="CX78" s="710"/>
      <c r="CY78" s="710" t="s">
        <v>504</v>
      </c>
      <c r="CZ78" s="710"/>
      <c r="DA78" s="710"/>
      <c r="DB78" s="632" t="s">
        <v>504</v>
      </c>
      <c r="DC78" s="632"/>
      <c r="DD78" s="710"/>
      <c r="DE78" s="632" t="s">
        <v>504</v>
      </c>
      <c r="DF78" s="632"/>
      <c r="DG78" s="710"/>
      <c r="DH78" s="632" t="s">
        <v>504</v>
      </c>
      <c r="DI78" s="632"/>
      <c r="DJ78" s="710"/>
      <c r="DK78" s="632" t="s">
        <v>504</v>
      </c>
      <c r="DL78" s="632"/>
      <c r="DM78" s="710"/>
      <c r="DN78" s="632" t="s">
        <v>504</v>
      </c>
      <c r="DO78" s="632"/>
      <c r="DP78" s="710"/>
      <c r="DQ78" s="632" t="s">
        <v>504</v>
      </c>
      <c r="DR78" s="632"/>
      <c r="DS78" s="710"/>
      <c r="DT78" s="710" t="s">
        <v>504</v>
      </c>
      <c r="DU78" s="710"/>
      <c r="DV78" s="710"/>
      <c r="DW78" s="632" t="s">
        <v>504</v>
      </c>
      <c r="DX78" s="632"/>
      <c r="DY78" s="710"/>
      <c r="DZ78" s="632" t="s">
        <v>504</v>
      </c>
      <c r="EA78" s="632"/>
      <c r="EB78" s="710"/>
      <c r="EC78" s="632" t="s">
        <v>504</v>
      </c>
      <c r="ED78" s="632"/>
      <c r="EE78" s="710"/>
      <c r="EF78" s="710" t="s">
        <v>500</v>
      </c>
      <c r="EG78" s="710" t="s">
        <v>1150</v>
      </c>
      <c r="EH78" s="710" t="s">
        <v>1151</v>
      </c>
      <c r="EI78" s="632" t="s">
        <v>504</v>
      </c>
      <c r="EJ78" s="632"/>
      <c r="EK78" s="710"/>
      <c r="EL78" s="688">
        <v>1</v>
      </c>
      <c r="EM78" s="632"/>
      <c r="EN78" s="670">
        <v>69</v>
      </c>
      <c r="EO78" s="632" t="s">
        <v>504</v>
      </c>
      <c r="EP78" s="632"/>
      <c r="EQ78" s="632" t="s">
        <v>504</v>
      </c>
      <c r="ER78" s="653" t="s">
        <v>1152</v>
      </c>
      <c r="ES78" s="632" t="s">
        <v>504</v>
      </c>
      <c r="ET78" s="632" t="s">
        <v>1153</v>
      </c>
      <c r="EU78" s="632" t="s">
        <v>1154</v>
      </c>
      <c r="EV78" s="632" t="s">
        <v>1155</v>
      </c>
      <c r="EW78" s="632">
        <v>5</v>
      </c>
      <c r="EX78" s="632">
        <v>400</v>
      </c>
    </row>
    <row r="79" spans="3:154" x14ac:dyDescent="0.2">
      <c r="C79" s="1156"/>
      <c r="D79" s="1156"/>
      <c r="E79" s="1454" t="s">
        <v>322</v>
      </c>
      <c r="F79" s="1454" t="s">
        <v>407</v>
      </c>
      <c r="G79" s="1454"/>
      <c r="H79" s="1460"/>
      <c r="I79" s="1460"/>
      <c r="J79" s="1460"/>
      <c r="K79" s="1460"/>
      <c r="L79" s="1460"/>
      <c r="M79" s="1369">
        <f t="shared" si="14"/>
        <v>0</v>
      </c>
      <c r="N79" s="1460"/>
      <c r="O79" s="1460"/>
      <c r="P79" s="1460"/>
      <c r="Q79" s="1460"/>
      <c r="R79" s="1460"/>
      <c r="S79" s="1460"/>
      <c r="T79" s="1460"/>
      <c r="U79" s="1460"/>
      <c r="V79" s="1460"/>
      <c r="W79" s="1460"/>
      <c r="X79" s="1460"/>
      <c r="Y79" s="1460"/>
      <c r="Z79" s="1460"/>
      <c r="AA79" s="1460"/>
      <c r="AB79" s="1460"/>
      <c r="AC79" s="1460"/>
      <c r="AD79" s="1460"/>
      <c r="AE79" s="1461"/>
      <c r="AF79" s="1462">
        <f t="shared" si="10"/>
        <v>0</v>
      </c>
      <c r="AG79" s="1462">
        <f t="shared" si="11"/>
        <v>0</v>
      </c>
      <c r="AH79" s="1461"/>
      <c r="AI79" s="1460"/>
      <c r="AJ79" s="1460"/>
      <c r="AK79" s="1461"/>
      <c r="AL79" s="1460"/>
      <c r="AM79" s="1460"/>
      <c r="AN79" s="1461"/>
      <c r="AO79" s="1460"/>
      <c r="AP79" s="1461"/>
      <c r="AQ79" s="1460"/>
      <c r="AR79" s="1461"/>
      <c r="AS79" s="1460"/>
      <c r="AT79" s="1460"/>
      <c r="AU79" s="1460"/>
      <c r="AV79" s="1460"/>
      <c r="AW79" s="1460"/>
      <c r="AX79" s="1460"/>
      <c r="AY79" s="1460"/>
      <c r="AZ79" s="1460"/>
      <c r="BA79" s="1460"/>
      <c r="BB79" s="1460"/>
      <c r="BC79" s="1460"/>
      <c r="BD79" s="1460"/>
      <c r="BE79" s="1463"/>
      <c r="BF79" s="1460"/>
      <c r="BG79" s="1460"/>
      <c r="BH79" s="1460"/>
      <c r="BI79" s="1460"/>
      <c r="BJ79" s="1460"/>
      <c r="BK79" s="1460"/>
      <c r="BL79" s="1460"/>
      <c r="BM79" s="1460"/>
      <c r="BN79" s="1460"/>
      <c r="BO79" s="1460"/>
      <c r="BP79" s="1460"/>
      <c r="BQ79" s="1460"/>
      <c r="BR79" s="1460"/>
      <c r="BS79" s="1460"/>
      <c r="BT79" s="1460"/>
      <c r="BU79" s="1460"/>
      <c r="BV79" s="1460"/>
      <c r="BW79" s="1460"/>
      <c r="BX79" s="1460"/>
      <c r="BY79" s="1460"/>
      <c r="BZ79" s="1460"/>
      <c r="CA79" s="1460"/>
      <c r="CB79" s="1464">
        <f t="shared" si="12"/>
        <v>0</v>
      </c>
      <c r="CC79" s="1464">
        <f t="shared" si="13"/>
        <v>0</v>
      </c>
      <c r="CD79" s="1460"/>
      <c r="CE79" s="1460"/>
      <c r="CF79" s="1460"/>
      <c r="CG79" s="1460"/>
      <c r="CH79" s="1460"/>
      <c r="CI79" s="1460"/>
      <c r="CJ79" s="1460"/>
      <c r="CK79" s="1460"/>
      <c r="CL79" s="1460"/>
      <c r="CM79" s="1460"/>
      <c r="CN79" s="1460"/>
      <c r="CO79" s="1460"/>
      <c r="CP79" s="1460"/>
      <c r="CQ79" s="1460"/>
      <c r="CR79" s="1460"/>
      <c r="CS79" s="1460"/>
      <c r="CT79" s="1460"/>
      <c r="CU79" s="1460"/>
      <c r="CV79" s="1460"/>
      <c r="CW79" s="1460"/>
      <c r="CX79" s="1460"/>
      <c r="CY79" s="1460"/>
      <c r="CZ79" s="1460"/>
      <c r="DA79" s="1460"/>
      <c r="DB79" s="1460"/>
      <c r="DC79" s="1460"/>
      <c r="DD79" s="1460"/>
      <c r="DE79" s="1460"/>
      <c r="DF79" s="1460"/>
      <c r="DG79" s="1460"/>
      <c r="DH79" s="1460"/>
      <c r="DI79" s="1460"/>
      <c r="DJ79" s="1460"/>
      <c r="DK79" s="1460"/>
      <c r="DL79" s="1460"/>
      <c r="DM79" s="1460"/>
      <c r="DN79" s="1460"/>
      <c r="DO79" s="1460"/>
      <c r="DP79" s="1460"/>
      <c r="DQ79" s="1460"/>
      <c r="DR79" s="1460"/>
      <c r="DS79" s="1460"/>
      <c r="DT79" s="1460"/>
      <c r="DU79" s="1460"/>
      <c r="DV79" s="1460"/>
      <c r="DW79" s="1460"/>
      <c r="DX79" s="1460"/>
      <c r="DY79" s="1460"/>
      <c r="DZ79" s="1460"/>
      <c r="EA79" s="1460"/>
      <c r="EB79" s="1460"/>
      <c r="EC79" s="1460"/>
      <c r="ED79" s="1460"/>
      <c r="EE79" s="1460"/>
      <c r="EF79" s="1460"/>
      <c r="EG79" s="1460"/>
      <c r="EH79" s="1460"/>
      <c r="EI79" s="1460"/>
      <c r="EJ79" s="1460"/>
      <c r="EK79" s="1460"/>
      <c r="EL79" s="1460"/>
      <c r="EM79" s="1460"/>
      <c r="EN79" s="1460"/>
      <c r="EO79" s="1460"/>
      <c r="EP79" s="1460"/>
      <c r="EQ79" s="1460"/>
      <c r="ER79" s="1460"/>
      <c r="ES79" s="1460"/>
      <c r="ET79" s="1460"/>
      <c r="EU79" s="1460"/>
      <c r="EV79" s="1460"/>
      <c r="EW79" s="1460"/>
      <c r="EX79" s="1460"/>
    </row>
    <row r="80" spans="3:154" customFormat="1" ht="77.099999999999994" customHeight="1" x14ac:dyDescent="0.25">
      <c r="C80" s="1156" t="s">
        <v>5480</v>
      </c>
      <c r="D80" s="1156" t="s">
        <v>5278</v>
      </c>
      <c r="E80" s="1104" t="s">
        <v>322</v>
      </c>
      <c r="F80" s="1104" t="s">
        <v>407</v>
      </c>
      <c r="G80" s="1109" t="s">
        <v>2872</v>
      </c>
      <c r="H80" s="1109" t="s">
        <v>2873</v>
      </c>
      <c r="I80" s="1109" t="s">
        <v>504</v>
      </c>
      <c r="J80" s="1110">
        <v>2020</v>
      </c>
      <c r="K80" s="1105">
        <v>43805</v>
      </c>
      <c r="L80" s="1105">
        <v>44011</v>
      </c>
      <c r="M80" s="1369">
        <f t="shared" si="14"/>
        <v>206</v>
      </c>
      <c r="N80" s="1105"/>
      <c r="O80" s="1105"/>
      <c r="P80" s="1105"/>
      <c r="Q80" s="1105"/>
      <c r="R80" s="1105"/>
      <c r="S80" s="1105"/>
      <c r="T80" s="1105"/>
      <c r="U80" s="1105"/>
      <c r="V80" s="1105"/>
      <c r="W80" s="1105"/>
      <c r="X80" s="1105"/>
      <c r="Y80" s="1109" t="s">
        <v>2876</v>
      </c>
      <c r="Z80" s="1109" t="s">
        <v>2877</v>
      </c>
      <c r="AA80" s="1109" t="s">
        <v>2878</v>
      </c>
      <c r="AB80" s="1109" t="s">
        <v>2879</v>
      </c>
      <c r="AC80" s="1109" t="s">
        <v>2880</v>
      </c>
      <c r="AD80" s="1109" t="s">
        <v>2881</v>
      </c>
      <c r="AE80" s="1112">
        <v>1.33805679</v>
      </c>
      <c r="AF80" s="1113">
        <f t="shared" si="10"/>
        <v>1.3381419999999999</v>
      </c>
      <c r="AG80" s="1113">
        <f t="shared" si="11"/>
        <v>8.5209999999946717E-5</v>
      </c>
      <c r="AH80" s="1112"/>
      <c r="AI80" s="1113"/>
      <c r="AJ80" s="1113"/>
      <c r="AK80" s="1112">
        <v>1.298</v>
      </c>
      <c r="AL80" s="1114">
        <v>0.97</v>
      </c>
      <c r="AM80" s="1114"/>
      <c r="AN80" s="1112">
        <v>4.0141999999999997E-2</v>
      </c>
      <c r="AO80" s="1114">
        <v>0.03</v>
      </c>
      <c r="AP80" s="1112"/>
      <c r="AQ80" s="1114"/>
      <c r="AR80" s="1112"/>
      <c r="AS80" s="1114"/>
      <c r="AT80" s="1114"/>
      <c r="AU80" s="1114"/>
      <c r="AV80" s="1114"/>
      <c r="AW80" s="1114" t="s">
        <v>500</v>
      </c>
      <c r="AX80" s="1114" t="s">
        <v>2882</v>
      </c>
      <c r="AY80" s="1114">
        <v>0</v>
      </c>
      <c r="AZ80" s="1114" t="s">
        <v>2883</v>
      </c>
      <c r="BA80" s="1113">
        <v>2.0619999999999998</v>
      </c>
      <c r="BB80" s="1114">
        <v>2E-3</v>
      </c>
      <c r="BC80" s="1115">
        <v>2</v>
      </c>
      <c r="BD80" s="1115">
        <v>2</v>
      </c>
      <c r="BE80" s="1116">
        <v>1</v>
      </c>
      <c r="BF80" s="1115"/>
      <c r="BG80" s="1115"/>
      <c r="BH80" s="1115"/>
      <c r="BI80" s="1115"/>
      <c r="BJ80" s="1115"/>
      <c r="BK80" s="1115"/>
      <c r="BL80" s="1115"/>
      <c r="BM80" s="1115"/>
      <c r="BN80" s="1115"/>
      <c r="BO80" s="1115"/>
      <c r="BP80" s="1115"/>
      <c r="BQ80" s="1115">
        <v>1</v>
      </c>
      <c r="BR80" s="1115"/>
      <c r="BS80" s="1115"/>
      <c r="BT80" s="1115"/>
      <c r="BU80" s="1115"/>
      <c r="BV80" s="1115"/>
      <c r="BW80" s="1115"/>
      <c r="BX80" s="1115"/>
      <c r="BY80" s="1115"/>
      <c r="BZ80" s="1115"/>
      <c r="CA80" s="1117">
        <f>SUM(BF80:BZ80)</f>
        <v>1</v>
      </c>
      <c r="CB80" s="1117">
        <f t="shared" si="12"/>
        <v>1</v>
      </c>
      <c r="CC80" s="1117">
        <f t="shared" si="13"/>
        <v>0</v>
      </c>
      <c r="CD80" s="1113">
        <v>37.707999999999998</v>
      </c>
      <c r="CE80" s="1109"/>
      <c r="CF80" s="1109"/>
      <c r="CG80" s="1109"/>
      <c r="CH80" s="1113">
        <v>37.707999999999998</v>
      </c>
      <c r="CI80" s="1139" t="s">
        <v>2884</v>
      </c>
      <c r="CJ80" s="1109" t="s">
        <v>504</v>
      </c>
      <c r="CK80" s="1109"/>
      <c r="CL80" s="1109"/>
      <c r="CM80" s="1115"/>
      <c r="CN80" s="1115"/>
      <c r="CO80" s="1115">
        <v>10</v>
      </c>
      <c r="CP80" s="1109" t="s">
        <v>500</v>
      </c>
      <c r="CQ80" s="1109" t="s">
        <v>2885</v>
      </c>
      <c r="CR80" s="1115">
        <v>25</v>
      </c>
      <c r="CS80" s="1109" t="s">
        <v>500</v>
      </c>
      <c r="CT80" s="1109" t="s">
        <v>2886</v>
      </c>
      <c r="CU80" s="1115">
        <v>25</v>
      </c>
      <c r="CV80" s="1115"/>
      <c r="CW80" s="1115"/>
      <c r="CX80" s="1115"/>
      <c r="CY80" s="1115"/>
      <c r="CZ80" s="1115"/>
      <c r="DA80" s="1115"/>
      <c r="DB80" s="1109"/>
      <c r="DC80" s="1109"/>
      <c r="DD80" s="1115"/>
      <c r="DE80" s="1109"/>
      <c r="DF80" s="1109"/>
      <c r="DG80" s="1115"/>
      <c r="DH80" s="1109"/>
      <c r="DI80" s="1109"/>
      <c r="DJ80" s="1115"/>
      <c r="DK80" s="1109"/>
      <c r="DL80" s="1109"/>
      <c r="DM80" s="1115"/>
      <c r="DN80" s="1109"/>
      <c r="DO80" s="1109"/>
      <c r="DP80" s="1115"/>
      <c r="DQ80" s="1109"/>
      <c r="DR80" s="1109"/>
      <c r="DS80" s="1115"/>
      <c r="DT80" s="1115"/>
      <c r="DU80" s="1115"/>
      <c r="DV80" s="1115"/>
      <c r="DW80" s="1109"/>
      <c r="DX80" s="1109"/>
      <c r="DY80" s="1115"/>
      <c r="DZ80" s="1109"/>
      <c r="EA80" s="1109"/>
      <c r="EB80" s="1115"/>
      <c r="EC80" s="1109"/>
      <c r="ED80" s="1109"/>
      <c r="EE80" s="1115"/>
      <c r="EF80" s="1115" t="s">
        <v>500</v>
      </c>
      <c r="EG80" s="1218" t="s">
        <v>2887</v>
      </c>
      <c r="EH80" s="1115">
        <v>7</v>
      </c>
      <c r="EI80" s="1109"/>
      <c r="EJ80" s="1109"/>
      <c r="EK80" s="1115"/>
      <c r="EL80" s="1115"/>
      <c r="EM80" s="1115"/>
      <c r="EN80" s="1115"/>
      <c r="EO80" s="1109" t="s">
        <v>504</v>
      </c>
      <c r="EP80" s="1109"/>
      <c r="EQ80" s="1109" t="s">
        <v>2888</v>
      </c>
      <c r="ER80" s="1109"/>
      <c r="ES80" s="1181" t="s">
        <v>2889</v>
      </c>
      <c r="ET80" s="1109" t="s">
        <v>2890</v>
      </c>
      <c r="EU80" s="1181" t="s">
        <v>2891</v>
      </c>
      <c r="EV80" s="1109"/>
      <c r="EW80" s="1109"/>
      <c r="EX80" s="1109"/>
    </row>
    <row r="81" spans="3:154" ht="78" customHeight="1" x14ac:dyDescent="0.2">
      <c r="C81" s="1156" t="s">
        <v>5480</v>
      </c>
      <c r="D81" s="1156" t="s">
        <v>5278</v>
      </c>
      <c r="E81" s="1104" t="s">
        <v>322</v>
      </c>
      <c r="F81" s="1104" t="s">
        <v>407</v>
      </c>
      <c r="G81" s="1109" t="s">
        <v>2872</v>
      </c>
      <c r="H81" s="1109" t="s">
        <v>2892</v>
      </c>
      <c r="I81" s="1109" t="s">
        <v>504</v>
      </c>
      <c r="J81" s="1110">
        <v>2021</v>
      </c>
      <c r="K81" s="1105">
        <v>43709</v>
      </c>
      <c r="L81" s="1105">
        <v>43862</v>
      </c>
      <c r="M81" s="1369">
        <f t="shared" si="14"/>
        <v>153</v>
      </c>
      <c r="N81" s="1105"/>
      <c r="O81" s="1105"/>
      <c r="P81" s="1105"/>
      <c r="Q81" s="1105"/>
      <c r="R81" s="1105"/>
      <c r="S81" s="1105"/>
      <c r="T81" s="1105"/>
      <c r="U81" s="1105"/>
      <c r="V81" s="1105"/>
      <c r="W81" s="1105"/>
      <c r="X81" s="1105"/>
      <c r="Y81" s="1109" t="s">
        <v>2894</v>
      </c>
      <c r="Z81" s="1109" t="s">
        <v>2895</v>
      </c>
      <c r="AA81" s="1109" t="s">
        <v>2878</v>
      </c>
      <c r="AB81" s="1109" t="s">
        <v>2896</v>
      </c>
      <c r="AC81" s="1109" t="s">
        <v>2897</v>
      </c>
      <c r="AD81" s="1109" t="s">
        <v>2898</v>
      </c>
      <c r="AE81" s="1112"/>
      <c r="AF81" s="1113">
        <f t="shared" si="10"/>
        <v>0</v>
      </c>
      <c r="AG81" s="1113">
        <f t="shared" si="11"/>
        <v>0</v>
      </c>
      <c r="AH81" s="1112"/>
      <c r="AI81" s="1113"/>
      <c r="AJ81" s="1113"/>
      <c r="AK81" s="1112"/>
      <c r="AL81" s="1114"/>
      <c r="AM81" s="1114"/>
      <c r="AN81" s="1112"/>
      <c r="AO81" s="1114"/>
      <c r="AP81" s="1112"/>
      <c r="AQ81" s="1114"/>
      <c r="AR81" s="1112"/>
      <c r="AS81" s="1114"/>
      <c r="AT81" s="1114"/>
      <c r="AU81" s="1114"/>
      <c r="AV81" s="1114"/>
      <c r="AW81" s="1114"/>
      <c r="AX81" s="1114"/>
      <c r="AY81" s="1114"/>
      <c r="AZ81" s="1114"/>
      <c r="BA81" s="1113">
        <v>2</v>
      </c>
      <c r="BB81" s="1114">
        <v>2E-3</v>
      </c>
      <c r="BC81" s="1115">
        <v>28</v>
      </c>
      <c r="BD81" s="1115">
        <v>8</v>
      </c>
      <c r="BE81" s="1116">
        <v>8</v>
      </c>
      <c r="BF81" s="1115"/>
      <c r="BG81" s="1115"/>
      <c r="BH81" s="1115"/>
      <c r="BI81" s="1115"/>
      <c r="BJ81" s="1115"/>
      <c r="BK81" s="1115"/>
      <c r="BL81" s="1115"/>
      <c r="BM81" s="1115"/>
      <c r="BN81" s="1115"/>
      <c r="BO81" s="1115"/>
      <c r="BP81" s="1115"/>
      <c r="BQ81" s="1115"/>
      <c r="BR81" s="1115"/>
      <c r="BS81" s="1115"/>
      <c r="BT81" s="1115"/>
      <c r="BU81" s="1115"/>
      <c r="BV81" s="1115"/>
      <c r="BW81" s="1115"/>
      <c r="BX81" s="1115"/>
      <c r="BY81" s="1115">
        <v>8</v>
      </c>
      <c r="BZ81" s="1115"/>
      <c r="CA81" s="1117">
        <f>SUM(BF81:BZ81)</f>
        <v>8</v>
      </c>
      <c r="CB81" s="1117">
        <f t="shared" si="12"/>
        <v>8</v>
      </c>
      <c r="CC81" s="1117">
        <f t="shared" si="13"/>
        <v>0</v>
      </c>
      <c r="CD81" s="1113"/>
      <c r="CE81" s="1109"/>
      <c r="CF81" s="1109"/>
      <c r="CG81" s="1109"/>
      <c r="CH81" s="1113"/>
      <c r="CI81" s="1139"/>
      <c r="CJ81" s="1109" t="s">
        <v>504</v>
      </c>
      <c r="CK81" s="1109"/>
      <c r="CL81" s="1109"/>
      <c r="CM81" s="1115"/>
      <c r="CN81" s="1115"/>
      <c r="CO81" s="1115">
        <v>11</v>
      </c>
      <c r="CP81" s="1109"/>
      <c r="CQ81" s="1109"/>
      <c r="CR81" s="1115"/>
      <c r="CS81" s="1109" t="s">
        <v>500</v>
      </c>
      <c r="CT81" s="1109" t="s">
        <v>2899</v>
      </c>
      <c r="CU81" s="1115">
        <v>700</v>
      </c>
      <c r="CV81" s="1115"/>
      <c r="CW81" s="1115"/>
      <c r="CX81" s="1115"/>
      <c r="CY81" s="1115"/>
      <c r="CZ81" s="1115"/>
      <c r="DA81" s="1115"/>
      <c r="DB81" s="1109"/>
      <c r="DC81" s="1109"/>
      <c r="DD81" s="1115"/>
      <c r="DE81" s="1109"/>
      <c r="DF81" s="1109"/>
      <c r="DG81" s="1115"/>
      <c r="DH81" s="1109"/>
      <c r="DI81" s="1109"/>
      <c r="DJ81" s="1115"/>
      <c r="DK81" s="1109"/>
      <c r="DL81" s="1109"/>
      <c r="DM81" s="1115"/>
      <c r="DN81" s="1109"/>
      <c r="DO81" s="1109"/>
      <c r="DP81" s="1115"/>
      <c r="DQ81" s="1109"/>
      <c r="DR81" s="1109"/>
      <c r="DS81" s="1115"/>
      <c r="DT81" s="1115"/>
      <c r="DU81" s="1115"/>
      <c r="DV81" s="1115"/>
      <c r="DW81" s="1109"/>
      <c r="DX81" s="1109"/>
      <c r="DY81" s="1115"/>
      <c r="DZ81" s="1109"/>
      <c r="EA81" s="1109"/>
      <c r="EB81" s="1115"/>
      <c r="EC81" s="1109"/>
      <c r="ED81" s="1109"/>
      <c r="EE81" s="1115"/>
      <c r="EF81" s="1115" t="s">
        <v>500</v>
      </c>
      <c r="EG81" s="1219" t="s">
        <v>2900</v>
      </c>
      <c r="EH81" s="1115">
        <v>8</v>
      </c>
      <c r="EI81" s="1109"/>
      <c r="EJ81" s="1109"/>
      <c r="EK81" s="1115"/>
      <c r="EL81" s="1115"/>
      <c r="EM81" s="1115"/>
      <c r="EN81" s="1115"/>
      <c r="EO81" s="1109" t="s">
        <v>504</v>
      </c>
      <c r="EP81" s="1109"/>
      <c r="EQ81" s="1109"/>
      <c r="ER81" s="1109"/>
      <c r="ES81" s="1181" t="s">
        <v>2901</v>
      </c>
      <c r="ET81" s="1109" t="s">
        <v>2902</v>
      </c>
      <c r="EU81" s="1109" t="s">
        <v>2903</v>
      </c>
      <c r="EV81" s="1109"/>
      <c r="EW81" s="1109"/>
      <c r="EX81" s="1109"/>
    </row>
    <row r="82" spans="3:154" ht="69" customHeight="1" x14ac:dyDescent="0.2">
      <c r="C82" s="1156" t="s">
        <v>693</v>
      </c>
      <c r="D82" s="1156" t="s">
        <v>5277</v>
      </c>
      <c r="E82" s="738" t="s">
        <v>323</v>
      </c>
      <c r="F82" s="738" t="s">
        <v>408</v>
      </c>
      <c r="G82" s="738"/>
      <c r="H82" s="632" t="s">
        <v>1156</v>
      </c>
      <c r="I82" s="632" t="s">
        <v>1157</v>
      </c>
      <c r="J82" s="637">
        <v>2013</v>
      </c>
      <c r="K82" s="377">
        <v>43839</v>
      </c>
      <c r="L82" s="377">
        <v>44196</v>
      </c>
      <c r="M82" s="1369">
        <f t="shared" si="14"/>
        <v>357</v>
      </c>
      <c r="N82" s="632" t="s">
        <v>1158</v>
      </c>
      <c r="O82" s="632" t="s">
        <v>1159</v>
      </c>
      <c r="P82" s="748" t="s">
        <v>1160</v>
      </c>
      <c r="Q82" s="632" t="s">
        <v>465</v>
      </c>
      <c r="R82" s="632" t="s">
        <v>465</v>
      </c>
      <c r="S82" s="632" t="s">
        <v>465</v>
      </c>
      <c r="T82" s="632" t="s">
        <v>465</v>
      </c>
      <c r="U82" s="632" t="s">
        <v>504</v>
      </c>
      <c r="V82" s="632" t="s">
        <v>465</v>
      </c>
      <c r="W82" s="632" t="s">
        <v>1161</v>
      </c>
      <c r="X82" s="748" t="s">
        <v>1162</v>
      </c>
      <c r="Y82" s="748"/>
      <c r="Z82" s="748"/>
      <c r="AA82" s="748" t="s">
        <v>1160</v>
      </c>
      <c r="AB82" s="632" t="s">
        <v>1163</v>
      </c>
      <c r="AC82" s="632" t="s">
        <v>469</v>
      </c>
      <c r="AD82" s="632" t="s">
        <v>1164</v>
      </c>
      <c r="AE82" s="702">
        <v>253.96700000000001</v>
      </c>
      <c r="AF82" s="671">
        <f t="shared" si="10"/>
        <v>253.9675</v>
      </c>
      <c r="AG82" s="671">
        <f t="shared" si="11"/>
        <v>4.9999999998817657E-4</v>
      </c>
      <c r="AH82" s="702">
        <v>205.7414</v>
      </c>
      <c r="AI82" s="683">
        <v>0.81010000000000004</v>
      </c>
      <c r="AJ82" s="683">
        <v>1.1999999999999999E-3</v>
      </c>
      <c r="AK82" s="702">
        <v>47.898000000000003</v>
      </c>
      <c r="AL82" s="683">
        <v>0.18859999999999999</v>
      </c>
      <c r="AM82" s="683"/>
      <c r="AN82" s="702">
        <v>3.27E-2</v>
      </c>
      <c r="AO82" s="683">
        <v>8.2999999999999998E-5</v>
      </c>
      <c r="AP82" s="702">
        <v>0.2954</v>
      </c>
      <c r="AQ82" s="683">
        <v>1.1999999999999999E-3</v>
      </c>
      <c r="AR82" s="702"/>
      <c r="AS82" s="683" t="s">
        <v>465</v>
      </c>
      <c r="AT82" s="632" t="s">
        <v>465</v>
      </c>
      <c r="AU82" s="632" t="s">
        <v>465</v>
      </c>
      <c r="AV82" s="632" t="s">
        <v>465</v>
      </c>
      <c r="AW82" s="632" t="s">
        <v>500</v>
      </c>
      <c r="AX82" s="632" t="s">
        <v>1165</v>
      </c>
      <c r="AY82" s="632">
        <v>3.8519999999999999</v>
      </c>
      <c r="AZ82" s="683" t="s">
        <v>1166</v>
      </c>
      <c r="BA82" s="706">
        <v>209.107</v>
      </c>
      <c r="BB82" s="683">
        <v>1.1999999999999999E-3</v>
      </c>
      <c r="BC82" s="710">
        <v>328</v>
      </c>
      <c r="BD82" s="710">
        <v>328</v>
      </c>
      <c r="BE82" s="706">
        <v>328</v>
      </c>
      <c r="BF82" s="710">
        <v>12</v>
      </c>
      <c r="BG82" s="710">
        <v>117</v>
      </c>
      <c r="BH82" s="710">
        <v>55</v>
      </c>
      <c r="BI82" s="710">
        <v>32</v>
      </c>
      <c r="BJ82" s="710">
        <v>0</v>
      </c>
      <c r="BK82" s="710">
        <v>2</v>
      </c>
      <c r="BL82" s="710">
        <v>0</v>
      </c>
      <c r="BM82" s="710">
        <v>0</v>
      </c>
      <c r="BN82" s="710">
        <v>10</v>
      </c>
      <c r="BO82" s="710">
        <v>28</v>
      </c>
      <c r="BP82" s="710">
        <v>35</v>
      </c>
      <c r="BQ82" s="710">
        <v>5</v>
      </c>
      <c r="BR82" s="710">
        <v>8</v>
      </c>
      <c r="BS82" s="710">
        <v>17</v>
      </c>
      <c r="BT82" s="710">
        <v>0</v>
      </c>
      <c r="BU82" s="710">
        <v>3</v>
      </c>
      <c r="BV82" s="710">
        <v>2</v>
      </c>
      <c r="BW82" s="710">
        <v>2</v>
      </c>
      <c r="BX82" s="710">
        <v>0</v>
      </c>
      <c r="BY82" s="710">
        <v>0</v>
      </c>
      <c r="BZ82" s="710">
        <v>0</v>
      </c>
      <c r="CA82" s="717">
        <f>SUM(BF82:BZ82)</f>
        <v>328</v>
      </c>
      <c r="CB82" s="717">
        <f t="shared" si="12"/>
        <v>328</v>
      </c>
      <c r="CC82" s="717">
        <f t="shared" si="13"/>
        <v>0</v>
      </c>
      <c r="CD82" s="671">
        <v>124.872</v>
      </c>
      <c r="CE82" s="632" t="s">
        <v>1167</v>
      </c>
      <c r="CF82" s="1185" t="s">
        <v>465</v>
      </c>
      <c r="CG82" s="683">
        <v>6.7500000000000004E-2</v>
      </c>
      <c r="CH82" s="671">
        <v>1875.8720000000001</v>
      </c>
      <c r="CI82" s="729" t="s">
        <v>1168</v>
      </c>
      <c r="CJ82" s="632" t="s">
        <v>500</v>
      </c>
      <c r="CK82" s="632" t="s">
        <v>1169</v>
      </c>
      <c r="CL82" s="632" t="s">
        <v>1170</v>
      </c>
      <c r="CM82" s="710">
        <v>3</v>
      </c>
      <c r="CN82" s="710">
        <v>0</v>
      </c>
      <c r="CO82" s="710" t="s">
        <v>1171</v>
      </c>
      <c r="CP82" s="632" t="s">
        <v>500</v>
      </c>
      <c r="CQ82" s="632" t="s">
        <v>1172</v>
      </c>
      <c r="CR82" s="710">
        <v>8185</v>
      </c>
      <c r="CS82" s="632" t="s">
        <v>500</v>
      </c>
      <c r="CT82" s="632" t="s">
        <v>1173</v>
      </c>
      <c r="CU82" s="710">
        <v>8185</v>
      </c>
      <c r="CV82" s="710" t="s">
        <v>504</v>
      </c>
      <c r="CW82" s="710" t="s">
        <v>465</v>
      </c>
      <c r="CX82" s="710" t="s">
        <v>465</v>
      </c>
      <c r="CY82" s="710" t="s">
        <v>656</v>
      </c>
      <c r="CZ82" s="710" t="s">
        <v>1174</v>
      </c>
      <c r="DA82" s="710">
        <v>55</v>
      </c>
      <c r="DB82" s="632" t="s">
        <v>905</v>
      </c>
      <c r="DC82" s="632" t="s">
        <v>465</v>
      </c>
      <c r="DD82" s="710" t="s">
        <v>465</v>
      </c>
      <c r="DE82" s="632" t="s">
        <v>504</v>
      </c>
      <c r="DF82" s="632" t="s">
        <v>465</v>
      </c>
      <c r="DG82" s="710" t="s">
        <v>465</v>
      </c>
      <c r="DH82" s="632" t="s">
        <v>504</v>
      </c>
      <c r="DI82" s="632" t="s">
        <v>465</v>
      </c>
      <c r="DJ82" s="710" t="s">
        <v>465</v>
      </c>
      <c r="DK82" s="632" t="s">
        <v>504</v>
      </c>
      <c r="DL82" s="632" t="s">
        <v>465</v>
      </c>
      <c r="DM82" s="710" t="s">
        <v>465</v>
      </c>
      <c r="DN82" s="632" t="s">
        <v>504</v>
      </c>
      <c r="DO82" s="632" t="s">
        <v>465</v>
      </c>
      <c r="DP82" s="710" t="s">
        <v>465</v>
      </c>
      <c r="DQ82" s="632" t="s">
        <v>500</v>
      </c>
      <c r="DR82" s="632" t="s">
        <v>1175</v>
      </c>
      <c r="DS82" s="710">
        <v>8185</v>
      </c>
      <c r="DT82" s="632" t="s">
        <v>504</v>
      </c>
      <c r="DU82" s="632" t="s">
        <v>465</v>
      </c>
      <c r="DV82" s="710" t="s">
        <v>465</v>
      </c>
      <c r="DW82" s="632" t="s">
        <v>504</v>
      </c>
      <c r="DX82" s="632" t="s">
        <v>465</v>
      </c>
      <c r="DY82" s="710" t="s">
        <v>465</v>
      </c>
      <c r="DZ82" s="632" t="s">
        <v>504</v>
      </c>
      <c r="EA82" s="632" t="s">
        <v>465</v>
      </c>
      <c r="EB82" s="710" t="s">
        <v>465</v>
      </c>
      <c r="EC82" s="632" t="s">
        <v>500</v>
      </c>
      <c r="ED82" s="632" t="s">
        <v>1177</v>
      </c>
      <c r="EE82" s="710">
        <v>780</v>
      </c>
      <c r="EF82" s="632" t="s">
        <v>504</v>
      </c>
      <c r="EG82" s="632" t="s">
        <v>465</v>
      </c>
      <c r="EH82" s="710" t="s">
        <v>465</v>
      </c>
      <c r="EI82" s="632" t="s">
        <v>504</v>
      </c>
      <c r="EJ82" s="632" t="s">
        <v>465</v>
      </c>
      <c r="EK82" s="710" t="s">
        <v>465</v>
      </c>
      <c r="EL82" s="688" t="s">
        <v>1178</v>
      </c>
      <c r="EM82" s="710" t="s">
        <v>1179</v>
      </c>
      <c r="EN82" s="670">
        <v>156</v>
      </c>
      <c r="EO82" s="632" t="s">
        <v>504</v>
      </c>
      <c r="EP82" s="632" t="s">
        <v>465</v>
      </c>
      <c r="EQ82" s="632" t="s">
        <v>465</v>
      </c>
      <c r="ER82" s="632" t="s">
        <v>1180</v>
      </c>
      <c r="ES82" s="632"/>
      <c r="ET82" s="632" t="s">
        <v>1181</v>
      </c>
      <c r="EU82" s="748" t="s">
        <v>1182</v>
      </c>
      <c r="EV82" s="632" t="s">
        <v>1183</v>
      </c>
      <c r="EW82" s="632">
        <v>3</v>
      </c>
      <c r="EX82" s="632">
        <v>150</v>
      </c>
    </row>
    <row r="83" spans="3:154" ht="54.95" customHeight="1" x14ac:dyDescent="0.2">
      <c r="C83" s="1156" t="s">
        <v>693</v>
      </c>
      <c r="D83" s="1156" t="s">
        <v>5277</v>
      </c>
      <c r="E83" s="738" t="s">
        <v>323</v>
      </c>
      <c r="F83" s="738" t="s">
        <v>408</v>
      </c>
      <c r="G83" s="738"/>
      <c r="H83" s="632" t="s">
        <v>1156</v>
      </c>
      <c r="I83" s="632" t="s">
        <v>1157</v>
      </c>
      <c r="J83" s="637">
        <v>2016</v>
      </c>
      <c r="K83" s="377">
        <v>43839</v>
      </c>
      <c r="L83" s="377">
        <v>44196</v>
      </c>
      <c r="M83" s="1369">
        <f t="shared" si="14"/>
        <v>357</v>
      </c>
      <c r="N83" s="632" t="s">
        <v>1158</v>
      </c>
      <c r="O83" s="632" t="s">
        <v>1159</v>
      </c>
      <c r="P83" s="748" t="s">
        <v>1160</v>
      </c>
      <c r="Q83" s="632" t="s">
        <v>465</v>
      </c>
      <c r="R83" s="632" t="s">
        <v>465</v>
      </c>
      <c r="S83" s="632" t="s">
        <v>465</v>
      </c>
      <c r="T83" s="1185" t="s">
        <v>465</v>
      </c>
      <c r="U83" s="632" t="s">
        <v>504</v>
      </c>
      <c r="V83" s="632" t="s">
        <v>465</v>
      </c>
      <c r="W83" s="632" t="s">
        <v>1187</v>
      </c>
      <c r="X83" s="748" t="s">
        <v>1195</v>
      </c>
      <c r="Y83" s="748"/>
      <c r="Z83" s="748"/>
      <c r="AA83" s="632" t="s">
        <v>1163</v>
      </c>
      <c r="AB83" s="632" t="s">
        <v>1163</v>
      </c>
      <c r="AC83" s="632" t="s">
        <v>469</v>
      </c>
      <c r="AD83" s="632" t="s">
        <v>1188</v>
      </c>
      <c r="AE83" s="702">
        <v>310.42099999999999</v>
      </c>
      <c r="AF83" s="671">
        <f t="shared" si="10"/>
        <v>310.42182000000003</v>
      </c>
      <c r="AG83" s="671">
        <f t="shared" si="11"/>
        <v>8.2000000003290552E-4</v>
      </c>
      <c r="AH83" s="702">
        <v>243.37440000000001</v>
      </c>
      <c r="AI83" s="683">
        <v>0.78400000000000003</v>
      </c>
      <c r="AJ83" s="683">
        <v>1.42E-3</v>
      </c>
      <c r="AK83" s="702">
        <v>66.701999999999998</v>
      </c>
      <c r="AL83" s="683">
        <v>0.21479999999999999</v>
      </c>
      <c r="AM83" s="683"/>
      <c r="AN83" s="702">
        <v>2.6020000000000001E-2</v>
      </c>
      <c r="AO83" s="683">
        <v>8.2999999999999998E-5</v>
      </c>
      <c r="AP83" s="702">
        <v>0.31940000000000002</v>
      </c>
      <c r="AQ83" s="683">
        <v>1.0200000000000001E-3</v>
      </c>
      <c r="AR83" s="702"/>
      <c r="AS83" s="683" t="s">
        <v>465</v>
      </c>
      <c r="AT83" s="632" t="s">
        <v>465</v>
      </c>
      <c r="AU83" s="632" t="s">
        <v>465</v>
      </c>
      <c r="AV83" s="632" t="s">
        <v>465</v>
      </c>
      <c r="AW83" s="632" t="s">
        <v>500</v>
      </c>
      <c r="AX83" s="632" t="s">
        <v>1165</v>
      </c>
      <c r="AY83" s="632">
        <v>4.0730000000000004</v>
      </c>
      <c r="AZ83" s="683" t="s">
        <v>1166</v>
      </c>
      <c r="BA83" s="706">
        <v>250</v>
      </c>
      <c r="BB83" s="683">
        <v>1.4E-3</v>
      </c>
      <c r="BC83" s="710">
        <v>238</v>
      </c>
      <c r="BD83" s="710">
        <v>238</v>
      </c>
      <c r="BE83" s="706">
        <v>238</v>
      </c>
      <c r="BF83" s="710">
        <v>0</v>
      </c>
      <c r="BG83" s="710">
        <v>66</v>
      </c>
      <c r="BH83" s="710">
        <v>13</v>
      </c>
      <c r="BI83" s="710">
        <v>3</v>
      </c>
      <c r="BJ83" s="710">
        <v>8</v>
      </c>
      <c r="BK83" s="710">
        <v>0</v>
      </c>
      <c r="BL83" s="710">
        <v>0</v>
      </c>
      <c r="BM83" s="710">
        <v>0</v>
      </c>
      <c r="BN83" s="710">
        <v>12</v>
      </c>
      <c r="BO83" s="710">
        <v>0</v>
      </c>
      <c r="BP83" s="710">
        <v>24</v>
      </c>
      <c r="BQ83" s="710">
        <v>7</v>
      </c>
      <c r="BR83" s="710">
        <v>5</v>
      </c>
      <c r="BS83" s="710">
        <v>7</v>
      </c>
      <c r="BT83" s="710">
        <v>0</v>
      </c>
      <c r="BU83" s="710">
        <v>0</v>
      </c>
      <c r="BV83" s="710">
        <v>0</v>
      </c>
      <c r="BW83" s="710">
        <v>0</v>
      </c>
      <c r="BX83" s="710">
        <v>0</v>
      </c>
      <c r="BY83" s="710">
        <v>0</v>
      </c>
      <c r="BZ83" s="710">
        <v>92</v>
      </c>
      <c r="CA83" s="717">
        <f>SUM(BF83:BZ83)</f>
        <v>237</v>
      </c>
      <c r="CB83" s="717">
        <f t="shared" si="12"/>
        <v>237</v>
      </c>
      <c r="CC83" s="717">
        <f t="shared" si="13"/>
        <v>0</v>
      </c>
      <c r="CD83" s="671">
        <v>500.90199999999999</v>
      </c>
      <c r="CE83" s="632" t="s">
        <v>1189</v>
      </c>
      <c r="CF83" s="748" t="s">
        <v>1190</v>
      </c>
      <c r="CG83" s="683">
        <v>0.27100000000000002</v>
      </c>
      <c r="CH83" s="671">
        <v>1875.8720000000001</v>
      </c>
      <c r="CI83" s="729" t="s">
        <v>1168</v>
      </c>
      <c r="CJ83" s="632" t="s">
        <v>500</v>
      </c>
      <c r="CK83" s="632" t="s">
        <v>1169</v>
      </c>
      <c r="CL83" s="632" t="s">
        <v>1170</v>
      </c>
      <c r="CM83" s="710">
        <v>3</v>
      </c>
      <c r="CN83" s="710">
        <v>0</v>
      </c>
      <c r="CO83" s="710" t="s">
        <v>1171</v>
      </c>
      <c r="CP83" s="632" t="s">
        <v>500</v>
      </c>
      <c r="CQ83" s="632" t="s">
        <v>1172</v>
      </c>
      <c r="CR83" s="710">
        <v>5491</v>
      </c>
      <c r="CS83" s="632" t="s">
        <v>500</v>
      </c>
      <c r="CT83" s="632" t="s">
        <v>1191</v>
      </c>
      <c r="CU83" s="710">
        <v>5491</v>
      </c>
      <c r="CV83" s="710" t="s">
        <v>504</v>
      </c>
      <c r="CW83" s="710" t="s">
        <v>465</v>
      </c>
      <c r="CX83" s="710" t="s">
        <v>465</v>
      </c>
      <c r="CY83" s="710" t="s">
        <v>504</v>
      </c>
      <c r="CZ83" s="710" t="s">
        <v>465</v>
      </c>
      <c r="DA83" s="710" t="s">
        <v>465</v>
      </c>
      <c r="DB83" s="632" t="s">
        <v>905</v>
      </c>
      <c r="DC83" s="632" t="s">
        <v>465</v>
      </c>
      <c r="DD83" s="710" t="s">
        <v>465</v>
      </c>
      <c r="DE83" s="632" t="s">
        <v>504</v>
      </c>
      <c r="DF83" s="632" t="s">
        <v>465</v>
      </c>
      <c r="DG83" s="710" t="s">
        <v>465</v>
      </c>
      <c r="DH83" s="632" t="s">
        <v>504</v>
      </c>
      <c r="DI83" s="632" t="s">
        <v>465</v>
      </c>
      <c r="DJ83" s="710" t="s">
        <v>465</v>
      </c>
      <c r="DK83" s="632" t="s">
        <v>504</v>
      </c>
      <c r="DL83" s="632" t="s">
        <v>465</v>
      </c>
      <c r="DM83" s="710" t="s">
        <v>465</v>
      </c>
      <c r="DN83" s="632" t="s">
        <v>504</v>
      </c>
      <c r="DO83" s="632" t="s">
        <v>465</v>
      </c>
      <c r="DP83" s="710" t="s">
        <v>465</v>
      </c>
      <c r="DQ83" s="632" t="s">
        <v>500</v>
      </c>
      <c r="DR83" s="632" t="s">
        <v>1192</v>
      </c>
      <c r="DS83" s="710">
        <v>5491</v>
      </c>
      <c r="DT83" s="632" t="s">
        <v>504</v>
      </c>
      <c r="DU83" s="632" t="s">
        <v>465</v>
      </c>
      <c r="DV83" s="710" t="s">
        <v>465</v>
      </c>
      <c r="DW83" s="632" t="s">
        <v>504</v>
      </c>
      <c r="DX83" s="632" t="s">
        <v>465</v>
      </c>
      <c r="DY83" s="710" t="s">
        <v>465</v>
      </c>
      <c r="DZ83" s="632" t="s">
        <v>504</v>
      </c>
      <c r="EA83" s="632" t="s">
        <v>465</v>
      </c>
      <c r="EB83" s="710" t="s">
        <v>465</v>
      </c>
      <c r="EC83" s="632" t="s">
        <v>1176</v>
      </c>
      <c r="ED83" s="632" t="s">
        <v>1177</v>
      </c>
      <c r="EE83" s="710">
        <v>915</v>
      </c>
      <c r="EF83" s="632" t="s">
        <v>504</v>
      </c>
      <c r="EG83" s="632" t="s">
        <v>465</v>
      </c>
      <c r="EH83" s="710" t="s">
        <v>465</v>
      </c>
      <c r="EI83" s="632" t="s">
        <v>504</v>
      </c>
      <c r="EJ83" s="632" t="s">
        <v>465</v>
      </c>
      <c r="EK83" s="710" t="s">
        <v>465</v>
      </c>
      <c r="EL83" s="688" t="s">
        <v>1193</v>
      </c>
      <c r="EM83" s="632" t="s">
        <v>465</v>
      </c>
      <c r="EN83" s="670">
        <v>184</v>
      </c>
      <c r="EO83" s="632" t="s">
        <v>504</v>
      </c>
      <c r="EP83" s="632" t="s">
        <v>465</v>
      </c>
      <c r="EQ83" s="632" t="s">
        <v>465</v>
      </c>
      <c r="ER83" s="632" t="s">
        <v>1194</v>
      </c>
      <c r="ES83" s="632"/>
      <c r="ET83" s="632" t="s">
        <v>1181</v>
      </c>
      <c r="EU83" s="748" t="s">
        <v>1182</v>
      </c>
      <c r="EV83" s="632" t="s">
        <v>1183</v>
      </c>
      <c r="EW83" s="632">
        <v>3</v>
      </c>
      <c r="EX83" s="632">
        <v>150</v>
      </c>
    </row>
    <row r="84" spans="3:154" ht="66.95" customHeight="1" x14ac:dyDescent="0.2">
      <c r="C84" s="1156" t="s">
        <v>1423</v>
      </c>
      <c r="D84" s="1156" t="s">
        <v>5277</v>
      </c>
      <c r="E84" s="738" t="s">
        <v>324</v>
      </c>
      <c r="F84" s="738" t="s">
        <v>409</v>
      </c>
      <c r="G84" s="738"/>
      <c r="H84" s="632" t="s">
        <v>2520</v>
      </c>
      <c r="I84" s="632" t="s">
        <v>2521</v>
      </c>
      <c r="J84" s="637">
        <v>2018</v>
      </c>
      <c r="K84" s="377">
        <v>43831</v>
      </c>
      <c r="L84" s="377">
        <v>44196</v>
      </c>
      <c r="M84" s="1369">
        <f t="shared" si="14"/>
        <v>365</v>
      </c>
      <c r="N84" s="632" t="s">
        <v>2522</v>
      </c>
      <c r="O84" s="632" t="s">
        <v>2523</v>
      </c>
      <c r="P84" s="728" t="s">
        <v>2524</v>
      </c>
      <c r="Q84" s="632" t="s">
        <v>2525</v>
      </c>
      <c r="R84" s="738" t="s">
        <v>465</v>
      </c>
      <c r="S84" s="738" t="s">
        <v>465</v>
      </c>
      <c r="T84" s="738" t="s">
        <v>465</v>
      </c>
      <c r="U84" s="738" t="s">
        <v>465</v>
      </c>
      <c r="V84" s="738" t="s">
        <v>465</v>
      </c>
      <c r="W84" s="738" t="s">
        <v>465</v>
      </c>
      <c r="X84" s="632" t="s">
        <v>465</v>
      </c>
      <c r="Y84" s="632"/>
      <c r="Z84" s="632"/>
      <c r="AA84" s="632" t="s">
        <v>2526</v>
      </c>
      <c r="AB84" s="632" t="s">
        <v>2526</v>
      </c>
      <c r="AC84" s="738" t="s">
        <v>622</v>
      </c>
      <c r="AD84" s="738" t="s">
        <v>2527</v>
      </c>
      <c r="AE84" s="702">
        <v>81.727999999999994</v>
      </c>
      <c r="AF84" s="671">
        <f t="shared" si="10"/>
        <v>81.728399999999993</v>
      </c>
      <c r="AG84" s="671">
        <f t="shared" si="11"/>
        <v>3.9999999999906777E-4</v>
      </c>
      <c r="AH84" s="702">
        <v>65.206400000000002</v>
      </c>
      <c r="AI84" s="683">
        <v>0.8</v>
      </c>
      <c r="AJ84" s="683">
        <v>8.2700000000000004E-6</v>
      </c>
      <c r="AK84" s="702">
        <v>11.487</v>
      </c>
      <c r="AL84" s="683">
        <v>0.14000000000000001</v>
      </c>
      <c r="AM84" s="683"/>
      <c r="AN84" s="702">
        <v>5.0350000000000001</v>
      </c>
      <c r="AO84" s="683">
        <v>0.06</v>
      </c>
      <c r="AP84" s="702"/>
      <c r="AQ84" s="683" t="s">
        <v>465</v>
      </c>
      <c r="AR84" s="702"/>
      <c r="AS84" s="683" t="s">
        <v>465</v>
      </c>
      <c r="AT84" s="632" t="s">
        <v>465</v>
      </c>
      <c r="AU84" s="632" t="s">
        <v>465</v>
      </c>
      <c r="AV84" s="632" t="s">
        <v>465</v>
      </c>
      <c r="AW84" s="671" t="s">
        <v>465</v>
      </c>
      <c r="AX84" s="683" t="s">
        <v>465</v>
      </c>
      <c r="AY84" s="632" t="s">
        <v>465</v>
      </c>
      <c r="AZ84" s="671" t="s">
        <v>465</v>
      </c>
      <c r="BA84" s="706">
        <v>17.59</v>
      </c>
      <c r="BB84" s="683">
        <v>0</v>
      </c>
      <c r="BC84" s="710">
        <v>93</v>
      </c>
      <c r="BD84" s="710">
        <v>93</v>
      </c>
      <c r="BE84" s="706">
        <v>67</v>
      </c>
      <c r="BF84" s="822" t="s">
        <v>465</v>
      </c>
      <c r="BG84" s="822" t="s">
        <v>465</v>
      </c>
      <c r="BH84" s="822" t="s">
        <v>465</v>
      </c>
      <c r="BI84" s="822" t="s">
        <v>465</v>
      </c>
      <c r="BJ84" s="822" t="s">
        <v>465</v>
      </c>
      <c r="BK84" s="822" t="s">
        <v>465</v>
      </c>
      <c r="BL84" s="822" t="s">
        <v>465</v>
      </c>
      <c r="BM84" s="822" t="s">
        <v>465</v>
      </c>
      <c r="BN84" s="822" t="s">
        <v>465</v>
      </c>
      <c r="BO84" s="710">
        <v>19</v>
      </c>
      <c r="BP84" s="710">
        <v>24</v>
      </c>
      <c r="BQ84" s="710">
        <v>24</v>
      </c>
      <c r="BR84" s="710"/>
      <c r="BS84" s="822" t="s">
        <v>465</v>
      </c>
      <c r="BT84" s="822" t="s">
        <v>465</v>
      </c>
      <c r="BU84" s="822" t="s">
        <v>465</v>
      </c>
      <c r="BV84" s="822" t="s">
        <v>465</v>
      </c>
      <c r="BW84" s="822" t="s">
        <v>465</v>
      </c>
      <c r="BX84" s="822" t="s">
        <v>465</v>
      </c>
      <c r="BY84" s="822" t="s">
        <v>465</v>
      </c>
      <c r="BZ84" s="822" t="s">
        <v>465</v>
      </c>
      <c r="CA84" s="717">
        <f>SUM(BF84:BZ84)</f>
        <v>67</v>
      </c>
      <c r="CB84" s="717">
        <f t="shared" si="12"/>
        <v>67</v>
      </c>
      <c r="CC84" s="717">
        <f t="shared" si="13"/>
        <v>0</v>
      </c>
      <c r="CD84" s="671">
        <v>630.06299999999999</v>
      </c>
      <c r="CE84" s="632" t="s">
        <v>2528</v>
      </c>
      <c r="CF84" s="632" t="s">
        <v>465</v>
      </c>
      <c r="CG84" s="683">
        <v>0.55300000000000005</v>
      </c>
      <c r="CH84" s="671">
        <v>1139.3710000000001</v>
      </c>
      <c r="CI84" s="1220" t="s">
        <v>1757</v>
      </c>
      <c r="CJ84" s="738" t="s">
        <v>504</v>
      </c>
      <c r="CK84" s="738" t="s">
        <v>465</v>
      </c>
      <c r="CL84" s="738" t="s">
        <v>465</v>
      </c>
      <c r="CM84" s="822" t="s">
        <v>465</v>
      </c>
      <c r="CN84" s="710" t="s">
        <v>465</v>
      </c>
      <c r="CO84" s="710">
        <v>5</v>
      </c>
      <c r="CP84" s="738" t="s">
        <v>504</v>
      </c>
      <c r="CQ84" s="738" t="s">
        <v>465</v>
      </c>
      <c r="CR84" s="822" t="s">
        <v>465</v>
      </c>
      <c r="CS84" s="738" t="s">
        <v>465</v>
      </c>
      <c r="CT84" s="661" t="s">
        <v>465</v>
      </c>
      <c r="CU84" s="822" t="s">
        <v>465</v>
      </c>
      <c r="CV84" s="710" t="s">
        <v>500</v>
      </c>
      <c r="CW84" s="710" t="s">
        <v>2529</v>
      </c>
      <c r="CX84" s="710">
        <v>12207</v>
      </c>
      <c r="CY84" s="738" t="s">
        <v>504</v>
      </c>
      <c r="CZ84" s="738" t="s">
        <v>465</v>
      </c>
      <c r="DA84" s="822" t="s">
        <v>465</v>
      </c>
      <c r="DB84" s="738" t="s">
        <v>504</v>
      </c>
      <c r="DC84" s="738" t="s">
        <v>465</v>
      </c>
      <c r="DD84" s="822" t="s">
        <v>465</v>
      </c>
      <c r="DE84" s="738" t="s">
        <v>504</v>
      </c>
      <c r="DF84" s="738" t="s">
        <v>465</v>
      </c>
      <c r="DG84" s="822" t="s">
        <v>465</v>
      </c>
      <c r="DH84" s="738" t="s">
        <v>504</v>
      </c>
      <c r="DI84" s="738" t="s">
        <v>465</v>
      </c>
      <c r="DJ84" s="822" t="s">
        <v>465</v>
      </c>
      <c r="DK84" s="738" t="s">
        <v>504</v>
      </c>
      <c r="DL84" s="738" t="s">
        <v>465</v>
      </c>
      <c r="DM84" s="822" t="s">
        <v>465</v>
      </c>
      <c r="DN84" s="738" t="s">
        <v>504</v>
      </c>
      <c r="DO84" s="738" t="s">
        <v>465</v>
      </c>
      <c r="DP84" s="822" t="s">
        <v>465</v>
      </c>
      <c r="DQ84" s="738" t="s">
        <v>504</v>
      </c>
      <c r="DR84" s="738" t="s">
        <v>465</v>
      </c>
      <c r="DS84" s="822" t="s">
        <v>465</v>
      </c>
      <c r="DT84" s="738" t="s">
        <v>504</v>
      </c>
      <c r="DU84" s="738" t="s">
        <v>465</v>
      </c>
      <c r="DV84" s="822" t="s">
        <v>465</v>
      </c>
      <c r="DW84" s="738" t="s">
        <v>504</v>
      </c>
      <c r="DX84" s="738" t="s">
        <v>465</v>
      </c>
      <c r="DY84" s="822" t="s">
        <v>465</v>
      </c>
      <c r="DZ84" s="738" t="s">
        <v>504</v>
      </c>
      <c r="EA84" s="738" t="s">
        <v>465</v>
      </c>
      <c r="EB84" s="822" t="s">
        <v>465</v>
      </c>
      <c r="EC84" s="738" t="s">
        <v>500</v>
      </c>
      <c r="ED84" s="738" t="s">
        <v>2530</v>
      </c>
      <c r="EE84" s="710">
        <v>249</v>
      </c>
      <c r="EF84" s="738" t="s">
        <v>504</v>
      </c>
      <c r="EG84" s="738" t="s">
        <v>465</v>
      </c>
      <c r="EH84" s="822" t="s">
        <v>465</v>
      </c>
      <c r="EI84" s="738" t="s">
        <v>504</v>
      </c>
      <c r="EJ84" s="738" t="s">
        <v>465</v>
      </c>
      <c r="EK84" s="822" t="s">
        <v>465</v>
      </c>
      <c r="EL84" s="738" t="s">
        <v>2531</v>
      </c>
      <c r="EM84" s="738" t="s">
        <v>2532</v>
      </c>
      <c r="EN84" s="670">
        <v>45</v>
      </c>
      <c r="EO84" s="738" t="s">
        <v>504</v>
      </c>
      <c r="EP84" s="632" t="s">
        <v>465</v>
      </c>
      <c r="EQ84" s="728"/>
      <c r="ER84" s="1221" t="s">
        <v>2533</v>
      </c>
      <c r="ES84" s="632" t="s">
        <v>465</v>
      </c>
      <c r="ET84" s="632" t="s">
        <v>465</v>
      </c>
      <c r="EU84" s="632" t="s">
        <v>465</v>
      </c>
      <c r="EV84" s="632" t="s">
        <v>465</v>
      </c>
      <c r="EW84" s="632" t="s">
        <v>465</v>
      </c>
      <c r="EX84" s="632" t="s">
        <v>465</v>
      </c>
    </row>
    <row r="85" spans="3:154" ht="33" customHeight="1" x14ac:dyDescent="0.2">
      <c r="C85" s="1156"/>
      <c r="D85" s="1156"/>
      <c r="E85" s="1454" t="s">
        <v>325</v>
      </c>
      <c r="F85" s="1454" t="s">
        <v>410</v>
      </c>
      <c r="G85" s="1454"/>
      <c r="H85" s="1460"/>
      <c r="I85" s="1460"/>
      <c r="J85" s="1460"/>
      <c r="K85" s="1460"/>
      <c r="L85" s="1460"/>
      <c r="M85" s="1369">
        <f t="shared" si="14"/>
        <v>0</v>
      </c>
      <c r="N85" s="1460"/>
      <c r="O85" s="1460"/>
      <c r="P85" s="1460"/>
      <c r="Q85" s="1460"/>
      <c r="R85" s="1460"/>
      <c r="S85" s="1460"/>
      <c r="T85" s="1460"/>
      <c r="U85" s="1460"/>
      <c r="V85" s="1460"/>
      <c r="W85" s="1460"/>
      <c r="X85" s="1460"/>
      <c r="Y85" s="1460"/>
      <c r="Z85" s="1460"/>
      <c r="AA85" s="1460"/>
      <c r="AB85" s="1460"/>
      <c r="AC85" s="1460"/>
      <c r="AD85" s="1460"/>
      <c r="AE85" s="1461"/>
      <c r="AF85" s="1462">
        <f t="shared" si="10"/>
        <v>0</v>
      </c>
      <c r="AG85" s="1462">
        <f t="shared" si="11"/>
        <v>0</v>
      </c>
      <c r="AH85" s="1461"/>
      <c r="AI85" s="1460"/>
      <c r="AJ85" s="1460"/>
      <c r="AK85" s="1461"/>
      <c r="AL85" s="1460"/>
      <c r="AM85" s="1460"/>
      <c r="AN85" s="1461"/>
      <c r="AO85" s="1460"/>
      <c r="AP85" s="1461"/>
      <c r="AQ85" s="1460"/>
      <c r="AR85" s="1461"/>
      <c r="AS85" s="1460"/>
      <c r="AT85" s="1460"/>
      <c r="AU85" s="1460"/>
      <c r="AV85" s="1460"/>
      <c r="AW85" s="1460"/>
      <c r="AX85" s="1460"/>
      <c r="AY85" s="1460"/>
      <c r="AZ85" s="1460"/>
      <c r="BA85" s="1460"/>
      <c r="BB85" s="1460"/>
      <c r="BC85" s="1460"/>
      <c r="BD85" s="1460"/>
      <c r="BE85" s="1463"/>
      <c r="BF85" s="1460"/>
      <c r="BG85" s="1460"/>
      <c r="BH85" s="1460"/>
      <c r="BI85" s="1460"/>
      <c r="BJ85" s="1460"/>
      <c r="BK85" s="1460"/>
      <c r="BL85" s="1460"/>
      <c r="BM85" s="1460"/>
      <c r="BN85" s="1460"/>
      <c r="BO85" s="1460"/>
      <c r="BP85" s="1460"/>
      <c r="BQ85" s="1460"/>
      <c r="BR85" s="1460"/>
      <c r="BS85" s="1460"/>
      <c r="BT85" s="1460"/>
      <c r="BU85" s="1460"/>
      <c r="BV85" s="1460"/>
      <c r="BW85" s="1460"/>
      <c r="BX85" s="1460"/>
      <c r="BY85" s="1460"/>
      <c r="BZ85" s="1460"/>
      <c r="CA85" s="1460"/>
      <c r="CB85" s="1464">
        <f t="shared" si="12"/>
        <v>0</v>
      </c>
      <c r="CC85" s="1464">
        <f t="shared" si="13"/>
        <v>0</v>
      </c>
      <c r="CD85" s="1460"/>
      <c r="CE85" s="1460"/>
      <c r="CF85" s="1460"/>
      <c r="CG85" s="1460"/>
      <c r="CH85" s="1460"/>
      <c r="CI85" s="1460"/>
      <c r="CJ85" s="1460"/>
      <c r="CK85" s="1460"/>
      <c r="CL85" s="1460"/>
      <c r="CM85" s="1460"/>
      <c r="CN85" s="1460"/>
      <c r="CO85" s="1460"/>
      <c r="CP85" s="1460"/>
      <c r="CQ85" s="1460"/>
      <c r="CR85" s="1460"/>
      <c r="CS85" s="1460"/>
      <c r="CT85" s="1460"/>
      <c r="CU85" s="1460"/>
      <c r="CV85" s="1460"/>
      <c r="CW85" s="1460"/>
      <c r="CX85" s="1460"/>
      <c r="CY85" s="1460"/>
      <c r="CZ85" s="1460"/>
      <c r="DA85" s="1460"/>
      <c r="DB85" s="1460"/>
      <c r="DC85" s="1460"/>
      <c r="DD85" s="1460"/>
      <c r="DE85" s="1460"/>
      <c r="DF85" s="1460"/>
      <c r="DG85" s="1460"/>
      <c r="DH85" s="1460"/>
      <c r="DI85" s="1460"/>
      <c r="DJ85" s="1460"/>
      <c r="DK85" s="1460"/>
      <c r="DL85" s="1460"/>
      <c r="DM85" s="1460"/>
      <c r="DN85" s="1460"/>
      <c r="DO85" s="1460"/>
      <c r="DP85" s="1460"/>
      <c r="DQ85" s="1460"/>
      <c r="DR85" s="1460"/>
      <c r="DS85" s="1460"/>
      <c r="DT85" s="1460"/>
      <c r="DU85" s="1460"/>
      <c r="DV85" s="1460"/>
      <c r="DW85" s="1460"/>
      <c r="DX85" s="1460"/>
      <c r="DY85" s="1460"/>
      <c r="DZ85" s="1460"/>
      <c r="EA85" s="1460"/>
      <c r="EB85" s="1460"/>
      <c r="EC85" s="1460"/>
      <c r="ED85" s="1460"/>
      <c r="EE85" s="1460"/>
      <c r="EF85" s="1460"/>
      <c r="EG85" s="1460"/>
      <c r="EH85" s="1460"/>
      <c r="EI85" s="1460"/>
      <c r="EJ85" s="1460"/>
      <c r="EK85" s="1460"/>
      <c r="EL85" s="1460"/>
      <c r="EM85" s="1460"/>
      <c r="EN85" s="1460"/>
      <c r="EO85" s="1460"/>
      <c r="EP85" s="1460"/>
      <c r="EQ85" s="1460"/>
      <c r="ER85" s="1460"/>
      <c r="ES85" s="1460"/>
      <c r="ET85" s="1460"/>
      <c r="EU85" s="1460"/>
      <c r="EV85" s="1460"/>
      <c r="EW85" s="1460"/>
      <c r="EX85" s="1460"/>
    </row>
    <row r="86" spans="3:154" ht="45" customHeight="1" x14ac:dyDescent="0.2">
      <c r="C86" s="1156" t="s">
        <v>5478</v>
      </c>
      <c r="D86" s="1156" t="s">
        <v>5277</v>
      </c>
      <c r="E86" s="738" t="s">
        <v>326</v>
      </c>
      <c r="F86" s="738" t="s">
        <v>2578</v>
      </c>
      <c r="G86" s="738"/>
      <c r="H86" s="632" t="s">
        <v>2023</v>
      </c>
      <c r="I86" s="632" t="s">
        <v>797</v>
      </c>
      <c r="J86" s="637">
        <v>2020</v>
      </c>
      <c r="K86" s="377">
        <v>43630</v>
      </c>
      <c r="L86" s="377">
        <v>44196</v>
      </c>
      <c r="M86" s="1369">
        <f t="shared" si="14"/>
        <v>566</v>
      </c>
      <c r="N86" s="632" t="s">
        <v>2024</v>
      </c>
      <c r="O86" s="632" t="s">
        <v>2025</v>
      </c>
      <c r="P86" s="653" t="s">
        <v>2026</v>
      </c>
      <c r="Q86" s="632" t="s">
        <v>2027</v>
      </c>
      <c r="R86" s="632" t="s">
        <v>2028</v>
      </c>
      <c r="S86" s="632" t="s">
        <v>504</v>
      </c>
      <c r="T86" s="632" t="s">
        <v>504</v>
      </c>
      <c r="U86" s="632" t="s">
        <v>2029</v>
      </c>
      <c r="V86" s="653" t="s">
        <v>2030</v>
      </c>
      <c r="W86" s="632" t="s">
        <v>504</v>
      </c>
      <c r="X86" s="632" t="s">
        <v>504</v>
      </c>
      <c r="Y86" s="632"/>
      <c r="Z86" s="632"/>
      <c r="AA86" s="632" t="s">
        <v>2031</v>
      </c>
      <c r="AB86" s="632" t="s">
        <v>2031</v>
      </c>
      <c r="AC86" s="632" t="s">
        <v>519</v>
      </c>
      <c r="AD86" s="632" t="s">
        <v>2032</v>
      </c>
      <c r="AE86" s="1167">
        <v>14.577</v>
      </c>
      <c r="AF86" s="671">
        <f>AH86+AK86+AN86+AP86+AR86</f>
        <v>14.5774402</v>
      </c>
      <c r="AG86" s="671">
        <f t="shared" si="11"/>
        <v>4.4019999999989068E-4</v>
      </c>
      <c r="AH86" s="1222">
        <v>0.1</v>
      </c>
      <c r="AI86" s="682">
        <f>AH86/AE86</f>
        <v>6.8601221101735619E-3</v>
      </c>
      <c r="AJ86" s="683">
        <f>AH86/42815.1</f>
        <v>2.3356245810473409E-6</v>
      </c>
      <c r="AK86" s="702">
        <v>3.2669999999999999</v>
      </c>
      <c r="AL86" s="682">
        <f>AK86/AE86</f>
        <v>0.22412018933937022</v>
      </c>
      <c r="AM86" s="682"/>
      <c r="AN86" s="1222">
        <v>1.1212401999999999</v>
      </c>
      <c r="AO86" s="683">
        <f>AN86/AE86</f>
        <v>7.6918446868354251E-2</v>
      </c>
      <c r="AP86" s="1222"/>
      <c r="AQ86" s="1176"/>
      <c r="AR86" s="1167">
        <v>10.0892</v>
      </c>
      <c r="AS86" s="683">
        <f>AR86/AE86</f>
        <v>0.69213143993963089</v>
      </c>
      <c r="AT86" s="632" t="s">
        <v>2035</v>
      </c>
      <c r="AU86" s="632" t="s">
        <v>825</v>
      </c>
      <c r="AV86" s="632" t="s">
        <v>2031</v>
      </c>
      <c r="AW86" s="632" t="s">
        <v>500</v>
      </c>
      <c r="AX86" s="632" t="s">
        <v>2036</v>
      </c>
      <c r="AY86" s="670">
        <v>0</v>
      </c>
      <c r="AZ86" s="682">
        <v>0</v>
      </c>
      <c r="BA86" s="670">
        <f>13.8393+0.28243469</f>
        <v>14.12173469</v>
      </c>
      <c r="BB86" s="683">
        <f>BA86/39976.7*100</f>
        <v>3.5324913487106244E-2</v>
      </c>
      <c r="BC86" s="710">
        <v>117</v>
      </c>
      <c r="BD86" s="710">
        <v>117</v>
      </c>
      <c r="BE86" s="706">
        <v>25</v>
      </c>
      <c r="BF86" s="710">
        <v>0</v>
      </c>
      <c r="BG86" s="710">
        <v>1</v>
      </c>
      <c r="BH86" s="710">
        <v>5</v>
      </c>
      <c r="BI86" s="710">
        <v>0</v>
      </c>
      <c r="BJ86" s="710">
        <v>0</v>
      </c>
      <c r="BK86" s="710">
        <v>1</v>
      </c>
      <c r="BL86" s="710">
        <v>0</v>
      </c>
      <c r="BM86" s="710">
        <v>0</v>
      </c>
      <c r="BN86" s="710">
        <v>5</v>
      </c>
      <c r="BO86" s="710">
        <v>0</v>
      </c>
      <c r="BP86" s="710">
        <v>7</v>
      </c>
      <c r="BQ86" s="710">
        <v>1</v>
      </c>
      <c r="BR86" s="710">
        <v>0</v>
      </c>
      <c r="BS86" s="710">
        <v>5</v>
      </c>
      <c r="BT86" s="710">
        <v>0</v>
      </c>
      <c r="BU86" s="710">
        <v>0</v>
      </c>
      <c r="BV86" s="710">
        <v>0</v>
      </c>
      <c r="BW86" s="710">
        <v>0</v>
      </c>
      <c r="BX86" s="710">
        <v>0</v>
      </c>
      <c r="BY86" s="710">
        <v>0</v>
      </c>
      <c r="BZ86" s="710">
        <v>0</v>
      </c>
      <c r="CA86" s="717">
        <f>SUM(BF86:BZ86)</f>
        <v>25</v>
      </c>
      <c r="CB86" s="717">
        <f t="shared" si="12"/>
        <v>25</v>
      </c>
      <c r="CC86" s="717">
        <f t="shared" si="13"/>
        <v>0</v>
      </c>
      <c r="CD86" s="671">
        <v>30.600999999999999</v>
      </c>
      <c r="CE86" s="632"/>
      <c r="CF86" s="632"/>
      <c r="CG86" s="683">
        <f>CD86/CH86</f>
        <v>4.517586270529618E-2</v>
      </c>
      <c r="CH86" s="671">
        <v>677.375</v>
      </c>
      <c r="CI86" s="683" t="s">
        <v>2037</v>
      </c>
      <c r="CJ86" s="632" t="s">
        <v>504</v>
      </c>
      <c r="CK86" s="632" t="s">
        <v>504</v>
      </c>
      <c r="CL86" s="632" t="s">
        <v>504</v>
      </c>
      <c r="CM86" s="710" t="s">
        <v>504</v>
      </c>
      <c r="CN86" s="710" t="s">
        <v>504</v>
      </c>
      <c r="CO86" s="710">
        <v>4</v>
      </c>
      <c r="CP86" s="632" t="s">
        <v>504</v>
      </c>
      <c r="CQ86" s="632" t="s">
        <v>504</v>
      </c>
      <c r="CR86" s="710" t="s">
        <v>504</v>
      </c>
      <c r="CS86" s="632" t="s">
        <v>500</v>
      </c>
      <c r="CT86" s="632" t="s">
        <v>2038</v>
      </c>
      <c r="CU86" s="710">
        <v>17723</v>
      </c>
      <c r="CV86" s="710" t="s">
        <v>504</v>
      </c>
      <c r="CW86" s="710" t="s">
        <v>504</v>
      </c>
      <c r="CX86" s="710"/>
      <c r="CY86" s="710" t="s">
        <v>504</v>
      </c>
      <c r="CZ86" s="710" t="s">
        <v>504</v>
      </c>
      <c r="DA86" s="710" t="s">
        <v>504</v>
      </c>
      <c r="DB86" s="632" t="s">
        <v>504</v>
      </c>
      <c r="DC86" s="632" t="s">
        <v>504</v>
      </c>
      <c r="DD86" s="710" t="s">
        <v>504</v>
      </c>
      <c r="DE86" s="632" t="s">
        <v>504</v>
      </c>
      <c r="DF86" s="632" t="s">
        <v>504</v>
      </c>
      <c r="DG86" s="710" t="s">
        <v>504</v>
      </c>
      <c r="DH86" s="632" t="s">
        <v>504</v>
      </c>
      <c r="DI86" s="632" t="s">
        <v>504</v>
      </c>
      <c r="DJ86" s="710" t="s">
        <v>504</v>
      </c>
      <c r="DK86" s="632" t="s">
        <v>504</v>
      </c>
      <c r="DL86" s="632" t="s">
        <v>504</v>
      </c>
      <c r="DM86" s="710" t="s">
        <v>504</v>
      </c>
      <c r="DN86" s="632" t="s">
        <v>504</v>
      </c>
      <c r="DO86" s="632" t="s">
        <v>504</v>
      </c>
      <c r="DP86" s="710" t="s">
        <v>504</v>
      </c>
      <c r="DQ86" s="632" t="s">
        <v>504</v>
      </c>
      <c r="DR86" s="632" t="s">
        <v>504</v>
      </c>
      <c r="DS86" s="710" t="s">
        <v>504</v>
      </c>
      <c r="DT86" s="710" t="s">
        <v>504</v>
      </c>
      <c r="DU86" s="710" t="s">
        <v>504</v>
      </c>
      <c r="DV86" s="710" t="s">
        <v>504</v>
      </c>
      <c r="DW86" s="632" t="s">
        <v>504</v>
      </c>
      <c r="DX86" s="632" t="s">
        <v>504</v>
      </c>
      <c r="DY86" s="710" t="s">
        <v>504</v>
      </c>
      <c r="DZ86" s="632" t="s">
        <v>504</v>
      </c>
      <c r="EA86" s="632" t="s">
        <v>504</v>
      </c>
      <c r="EB86" s="710" t="s">
        <v>504</v>
      </c>
      <c r="EC86" s="632" t="s">
        <v>504</v>
      </c>
      <c r="ED86" s="632" t="s">
        <v>504</v>
      </c>
      <c r="EE86" s="710" t="s">
        <v>504</v>
      </c>
      <c r="EF86" s="710" t="s">
        <v>504</v>
      </c>
      <c r="EG86" s="710" t="s">
        <v>504</v>
      </c>
      <c r="EH86" s="710" t="s">
        <v>504</v>
      </c>
      <c r="EI86" s="632" t="s">
        <v>500</v>
      </c>
      <c r="EJ86" s="632" t="s">
        <v>2039</v>
      </c>
      <c r="EK86" s="710">
        <v>17723</v>
      </c>
      <c r="EL86" s="632" t="s">
        <v>2040</v>
      </c>
      <c r="EM86" s="632" t="s">
        <v>2041</v>
      </c>
      <c r="EN86" s="710">
        <v>21</v>
      </c>
      <c r="EO86" s="632" t="s">
        <v>504</v>
      </c>
      <c r="EP86" s="632"/>
      <c r="EQ86" s="632"/>
      <c r="ER86" s="653" t="s">
        <v>2042</v>
      </c>
      <c r="ES86" s="632" t="s">
        <v>504</v>
      </c>
      <c r="ET86" s="632" t="s">
        <v>2043</v>
      </c>
      <c r="EU86" s="632" t="s">
        <v>504</v>
      </c>
      <c r="EV86" s="632" t="s">
        <v>2044</v>
      </c>
      <c r="EW86" s="632">
        <v>4</v>
      </c>
      <c r="EX86" s="632">
        <f>15+33+40+192</f>
        <v>280</v>
      </c>
    </row>
    <row r="87" spans="3:154" ht="66" customHeight="1" x14ac:dyDescent="0.2">
      <c r="C87" s="1156" t="s">
        <v>693</v>
      </c>
      <c r="D87" s="1156" t="s">
        <v>5277</v>
      </c>
      <c r="E87" s="738" t="s">
        <v>326</v>
      </c>
      <c r="F87" s="738" t="s">
        <v>2578</v>
      </c>
      <c r="G87" s="738"/>
      <c r="H87" s="1411" t="s">
        <v>2045</v>
      </c>
      <c r="I87" s="1411" t="s">
        <v>2046</v>
      </c>
      <c r="J87" s="1412">
        <v>2014</v>
      </c>
      <c r="K87" s="1413">
        <v>43689</v>
      </c>
      <c r="L87" s="1413">
        <v>44151</v>
      </c>
      <c r="M87" s="1369">
        <f t="shared" si="14"/>
        <v>462</v>
      </c>
      <c r="N87" s="1411" t="s">
        <v>2049</v>
      </c>
      <c r="O87" s="1411" t="s">
        <v>2050</v>
      </c>
      <c r="P87" s="653" t="s">
        <v>2051</v>
      </c>
      <c r="Q87" s="632" t="s">
        <v>2027</v>
      </c>
      <c r="R87" s="632" t="s">
        <v>2028</v>
      </c>
      <c r="S87" s="632" t="s">
        <v>504</v>
      </c>
      <c r="T87" s="632" t="s">
        <v>504</v>
      </c>
      <c r="U87" s="1411" t="s">
        <v>2052</v>
      </c>
      <c r="V87" s="1185" t="s">
        <v>2053</v>
      </c>
      <c r="W87" s="632" t="s">
        <v>504</v>
      </c>
      <c r="X87" s="632" t="s">
        <v>504</v>
      </c>
      <c r="Y87" s="632"/>
      <c r="Z87" s="632"/>
      <c r="AA87" s="632" t="s">
        <v>2054</v>
      </c>
      <c r="AB87" s="1411" t="s">
        <v>2055</v>
      </c>
      <c r="AC87" s="1411" t="s">
        <v>519</v>
      </c>
      <c r="AD87" s="1411" t="s">
        <v>2056</v>
      </c>
      <c r="AE87" s="702">
        <v>28.12623</v>
      </c>
      <c r="AF87" s="671">
        <f t="shared" si="10"/>
        <v>28.127244000000001</v>
      </c>
      <c r="AG87" s="671">
        <f t="shared" si="11"/>
        <v>1.0140000000014027E-3</v>
      </c>
      <c r="AH87" s="702">
        <v>20.0474</v>
      </c>
      <c r="AI87" s="683">
        <v>0.71279999999999999</v>
      </c>
      <c r="AJ87" s="683">
        <f>20.04638989/42815.1</f>
        <v>4.6820840988342902E-4</v>
      </c>
      <c r="AK87" s="702">
        <v>3.7172399999999999</v>
      </c>
      <c r="AL87" s="683">
        <v>0.1321</v>
      </c>
      <c r="AM87" s="683"/>
      <c r="AN87" s="702">
        <v>4.3626040000000001</v>
      </c>
      <c r="AO87" s="683">
        <v>0.15509999999999999</v>
      </c>
      <c r="AP87" s="1414"/>
      <c r="AQ87" s="1415"/>
      <c r="AR87" s="1414"/>
      <c r="AS87" s="1415"/>
      <c r="AT87" s="1411"/>
      <c r="AU87" s="1411"/>
      <c r="AV87" s="1411" t="s">
        <v>504</v>
      </c>
      <c r="AW87" s="632" t="s">
        <v>500</v>
      </c>
      <c r="AX87" s="632" t="s">
        <v>2057</v>
      </c>
      <c r="AY87" s="671">
        <v>1.810427</v>
      </c>
      <c r="AZ87" s="683" t="s">
        <v>2058</v>
      </c>
      <c r="BA87" s="671">
        <v>25</v>
      </c>
      <c r="BB87" s="683">
        <f>25/39976.7*100</f>
        <v>6.2536427469000691E-2</v>
      </c>
      <c r="BC87" s="1416">
        <v>76</v>
      </c>
      <c r="BD87" s="710">
        <v>76</v>
      </c>
      <c r="BE87" s="1417">
        <v>43</v>
      </c>
      <c r="BF87" s="710">
        <v>0</v>
      </c>
      <c r="BG87" s="710">
        <v>11</v>
      </c>
      <c r="BH87" s="710">
        <v>4</v>
      </c>
      <c r="BI87" s="710">
        <v>0</v>
      </c>
      <c r="BJ87" s="710">
        <v>0</v>
      </c>
      <c r="BK87" s="710">
        <v>6</v>
      </c>
      <c r="BL87" s="710">
        <v>0</v>
      </c>
      <c r="BM87" s="710">
        <v>0</v>
      </c>
      <c r="BN87" s="710">
        <v>3</v>
      </c>
      <c r="BO87" s="710">
        <v>5</v>
      </c>
      <c r="BP87" s="710">
        <v>5</v>
      </c>
      <c r="BQ87" s="710">
        <v>4</v>
      </c>
      <c r="BR87" s="710">
        <v>2</v>
      </c>
      <c r="BS87" s="710">
        <v>1</v>
      </c>
      <c r="BT87" s="710">
        <v>0</v>
      </c>
      <c r="BU87" s="710">
        <v>0</v>
      </c>
      <c r="BV87" s="710">
        <v>0</v>
      </c>
      <c r="BW87" s="710">
        <v>0</v>
      </c>
      <c r="BX87" s="710">
        <v>0</v>
      </c>
      <c r="BY87" s="710">
        <v>0</v>
      </c>
      <c r="BZ87" s="710">
        <v>1</v>
      </c>
      <c r="CA87" s="717">
        <f>SUM(BF87:BZ87)</f>
        <v>42</v>
      </c>
      <c r="CB87" s="717">
        <f t="shared" si="12"/>
        <v>42</v>
      </c>
      <c r="CC87" s="717">
        <f t="shared" si="13"/>
        <v>0</v>
      </c>
      <c r="CD87" s="671">
        <v>100.46899999999999</v>
      </c>
      <c r="CE87" s="671" t="s">
        <v>2059</v>
      </c>
      <c r="CF87" s="1185" t="s">
        <v>2053</v>
      </c>
      <c r="CG87" s="683">
        <f>CD87/CH87</f>
        <v>0.14832109245248201</v>
      </c>
      <c r="CH87" s="671">
        <v>677.375</v>
      </c>
      <c r="CI87" s="1185" t="s">
        <v>2037</v>
      </c>
      <c r="CJ87" s="632" t="s">
        <v>504</v>
      </c>
      <c r="CK87" s="632" t="s">
        <v>504</v>
      </c>
      <c r="CL87" s="632" t="s">
        <v>504</v>
      </c>
      <c r="CM87" s="710" t="s">
        <v>504</v>
      </c>
      <c r="CN87" s="710" t="s">
        <v>504</v>
      </c>
      <c r="CO87" s="710">
        <v>8</v>
      </c>
      <c r="CP87" s="1411" t="s">
        <v>500</v>
      </c>
      <c r="CQ87" s="1411" t="s">
        <v>806</v>
      </c>
      <c r="CR87" s="1416" t="s">
        <v>806</v>
      </c>
      <c r="CS87" s="1411" t="s">
        <v>500</v>
      </c>
      <c r="CT87" s="1411" t="s">
        <v>806</v>
      </c>
      <c r="CU87" s="1416"/>
      <c r="CV87" s="1411" t="s">
        <v>500</v>
      </c>
      <c r="CW87" s="1411" t="s">
        <v>806</v>
      </c>
      <c r="CX87" s="1416"/>
      <c r="CY87" s="1411" t="s">
        <v>500</v>
      </c>
      <c r="CZ87" s="1411" t="s">
        <v>806</v>
      </c>
      <c r="DA87" s="1416" t="s">
        <v>806</v>
      </c>
      <c r="DB87" s="1411" t="s">
        <v>806</v>
      </c>
      <c r="DC87" s="1411" t="s">
        <v>806</v>
      </c>
      <c r="DD87" s="1416" t="s">
        <v>806</v>
      </c>
      <c r="DE87" s="1411" t="s">
        <v>500</v>
      </c>
      <c r="DF87" s="1411" t="s">
        <v>806</v>
      </c>
      <c r="DG87" s="1416" t="s">
        <v>806</v>
      </c>
      <c r="DH87" s="1411" t="s">
        <v>500</v>
      </c>
      <c r="DI87" s="1411" t="s">
        <v>2060</v>
      </c>
      <c r="DJ87" s="1416" t="s">
        <v>806</v>
      </c>
      <c r="DK87" s="1411" t="s">
        <v>500</v>
      </c>
      <c r="DL87" s="1411" t="s">
        <v>2061</v>
      </c>
      <c r="DM87" s="1416" t="s">
        <v>806</v>
      </c>
      <c r="DN87" s="1411" t="s">
        <v>500</v>
      </c>
      <c r="DO87" s="1411" t="s">
        <v>2062</v>
      </c>
      <c r="DP87" s="1416" t="s">
        <v>806</v>
      </c>
      <c r="DQ87" s="1411" t="s">
        <v>500</v>
      </c>
      <c r="DR87" s="1411" t="s">
        <v>2063</v>
      </c>
      <c r="DS87" s="1416">
        <v>10647</v>
      </c>
      <c r="DT87" s="1411" t="s">
        <v>504</v>
      </c>
      <c r="DU87" s="1411" t="s">
        <v>504</v>
      </c>
      <c r="DV87" s="1416" t="s">
        <v>504</v>
      </c>
      <c r="DW87" s="1411" t="s">
        <v>504</v>
      </c>
      <c r="DX87" s="1411" t="s">
        <v>504</v>
      </c>
      <c r="DY87" s="1416" t="s">
        <v>504</v>
      </c>
      <c r="DZ87" s="1411" t="s">
        <v>806</v>
      </c>
      <c r="EA87" s="1411" t="s">
        <v>806</v>
      </c>
      <c r="EB87" s="1416" t="s">
        <v>806</v>
      </c>
      <c r="EC87" s="1411" t="s">
        <v>500</v>
      </c>
      <c r="ED87" s="1411" t="s">
        <v>2064</v>
      </c>
      <c r="EE87" s="1416" t="s">
        <v>2065</v>
      </c>
      <c r="EF87" s="710" t="s">
        <v>806</v>
      </c>
      <c r="EG87" s="1411" t="s">
        <v>806</v>
      </c>
      <c r="EH87" s="1416" t="s">
        <v>806</v>
      </c>
      <c r="EI87" s="1411" t="s">
        <v>504</v>
      </c>
      <c r="EJ87" s="1411" t="s">
        <v>504</v>
      </c>
      <c r="EK87" s="1416" t="s">
        <v>504</v>
      </c>
      <c r="EL87" s="632" t="s">
        <v>2066</v>
      </c>
      <c r="EM87" s="1411" t="s">
        <v>2067</v>
      </c>
      <c r="EN87" s="710">
        <v>67</v>
      </c>
      <c r="EO87" s="1411" t="s">
        <v>500</v>
      </c>
      <c r="EP87" s="1411" t="s">
        <v>2068</v>
      </c>
      <c r="EQ87" s="1185" t="s">
        <v>2053</v>
      </c>
      <c r="ER87" s="1185" t="s">
        <v>2069</v>
      </c>
      <c r="ES87" s="1411" t="s">
        <v>504</v>
      </c>
      <c r="ET87" s="1411" t="s">
        <v>2070</v>
      </c>
      <c r="EU87" s="1411" t="s">
        <v>504</v>
      </c>
      <c r="EV87" s="1411" t="s">
        <v>2071</v>
      </c>
      <c r="EW87" s="1411" t="s">
        <v>2072</v>
      </c>
      <c r="EX87" s="1411">
        <v>42</v>
      </c>
    </row>
    <row r="88" spans="3:154" ht="25.5" x14ac:dyDescent="0.2">
      <c r="C88" s="1156"/>
      <c r="D88" s="1156"/>
      <c r="E88" s="1454" t="s">
        <v>327</v>
      </c>
      <c r="F88" s="1454" t="s">
        <v>412</v>
      </c>
      <c r="G88" s="1454"/>
      <c r="H88" s="1460"/>
      <c r="I88" s="1460"/>
      <c r="J88" s="1460"/>
      <c r="K88" s="1460"/>
      <c r="L88" s="1460"/>
      <c r="M88" s="1369">
        <f t="shared" si="14"/>
        <v>0</v>
      </c>
      <c r="N88" s="1460"/>
      <c r="O88" s="1460"/>
      <c r="P88" s="1460"/>
      <c r="Q88" s="1460"/>
      <c r="R88" s="1460"/>
      <c r="S88" s="1460"/>
      <c r="T88" s="1460"/>
      <c r="U88" s="1460"/>
      <c r="V88" s="1460"/>
      <c r="W88" s="1460"/>
      <c r="X88" s="1460"/>
      <c r="Y88" s="1460"/>
      <c r="Z88" s="1460"/>
      <c r="AA88" s="1460"/>
      <c r="AB88" s="1460"/>
      <c r="AC88" s="1460"/>
      <c r="AD88" s="1460"/>
      <c r="AE88" s="1461"/>
      <c r="AF88" s="1462">
        <f t="shared" si="10"/>
        <v>0</v>
      </c>
      <c r="AG88" s="1462">
        <f t="shared" si="11"/>
        <v>0</v>
      </c>
      <c r="AH88" s="1461"/>
      <c r="AI88" s="1460"/>
      <c r="AJ88" s="1460"/>
      <c r="AK88" s="1461"/>
      <c r="AL88" s="1460"/>
      <c r="AM88" s="1460"/>
      <c r="AN88" s="1461"/>
      <c r="AO88" s="1460"/>
      <c r="AP88" s="1461"/>
      <c r="AQ88" s="1460"/>
      <c r="AR88" s="1461"/>
      <c r="AS88" s="1460"/>
      <c r="AT88" s="1460"/>
      <c r="AU88" s="1460"/>
      <c r="AV88" s="1460"/>
      <c r="AW88" s="1460"/>
      <c r="AX88" s="1460"/>
      <c r="AY88" s="1460"/>
      <c r="AZ88" s="1460"/>
      <c r="BA88" s="1460"/>
      <c r="BB88" s="1460"/>
      <c r="BC88" s="1460"/>
      <c r="BD88" s="1460"/>
      <c r="BE88" s="1463"/>
      <c r="BF88" s="1460"/>
      <c r="BG88" s="1460"/>
      <c r="BH88" s="1460"/>
      <c r="BI88" s="1460"/>
      <c r="BJ88" s="1460"/>
      <c r="BK88" s="1460"/>
      <c r="BL88" s="1460"/>
      <c r="BM88" s="1460"/>
      <c r="BN88" s="1460"/>
      <c r="BO88" s="1460"/>
      <c r="BP88" s="1460"/>
      <c r="BQ88" s="1460"/>
      <c r="BR88" s="1460"/>
      <c r="BS88" s="1460"/>
      <c r="BT88" s="1460"/>
      <c r="BU88" s="1460"/>
      <c r="BV88" s="1460"/>
      <c r="BW88" s="1460"/>
      <c r="BX88" s="1460"/>
      <c r="BY88" s="1460"/>
      <c r="BZ88" s="1460"/>
      <c r="CA88" s="1460"/>
      <c r="CB88" s="1464">
        <f t="shared" si="12"/>
        <v>0</v>
      </c>
      <c r="CC88" s="1464">
        <f t="shared" si="13"/>
        <v>0</v>
      </c>
      <c r="CD88" s="1460"/>
      <c r="CE88" s="1460"/>
      <c r="CF88" s="1460"/>
      <c r="CG88" s="1460"/>
      <c r="CH88" s="1460"/>
      <c r="CI88" s="1460"/>
      <c r="CJ88" s="1460"/>
      <c r="CK88" s="1460"/>
      <c r="CL88" s="1460"/>
      <c r="CM88" s="1460"/>
      <c r="CN88" s="1460"/>
      <c r="CO88" s="1460"/>
      <c r="CP88" s="1460"/>
      <c r="CQ88" s="1460"/>
      <c r="CR88" s="1460"/>
      <c r="CS88" s="1460"/>
      <c r="CT88" s="1460"/>
      <c r="CU88" s="1460"/>
      <c r="CV88" s="1460"/>
      <c r="CW88" s="1460"/>
      <c r="CX88" s="1460"/>
      <c r="CY88" s="1460"/>
      <c r="CZ88" s="1460"/>
      <c r="DA88" s="1460"/>
      <c r="DB88" s="1460"/>
      <c r="DC88" s="1460"/>
      <c r="DD88" s="1460"/>
      <c r="DE88" s="1460"/>
      <c r="DF88" s="1460"/>
      <c r="DG88" s="1460"/>
      <c r="DH88" s="1460"/>
      <c r="DI88" s="1460"/>
      <c r="DJ88" s="1460"/>
      <c r="DK88" s="1460"/>
      <c r="DL88" s="1460"/>
      <c r="DM88" s="1460"/>
      <c r="DN88" s="1460"/>
      <c r="DO88" s="1460"/>
      <c r="DP88" s="1460"/>
      <c r="DQ88" s="1460"/>
      <c r="DR88" s="1460"/>
      <c r="DS88" s="1460"/>
      <c r="DT88" s="1460"/>
      <c r="DU88" s="1460"/>
      <c r="DV88" s="1460"/>
      <c r="DW88" s="1460"/>
      <c r="DX88" s="1460"/>
      <c r="DY88" s="1460"/>
      <c r="DZ88" s="1460"/>
      <c r="EA88" s="1460"/>
      <c r="EB88" s="1460"/>
      <c r="EC88" s="1460"/>
      <c r="ED88" s="1460"/>
      <c r="EE88" s="1460"/>
      <c r="EF88" s="1460"/>
      <c r="EG88" s="1460"/>
      <c r="EH88" s="1460"/>
      <c r="EI88" s="1460"/>
      <c r="EJ88" s="1460"/>
      <c r="EK88" s="1460"/>
      <c r="EL88" s="1460"/>
      <c r="EM88" s="1460"/>
      <c r="EN88" s="1460"/>
      <c r="EO88" s="1460"/>
      <c r="EP88" s="1460"/>
      <c r="EQ88" s="1460"/>
      <c r="ER88" s="1460"/>
      <c r="ES88" s="1460"/>
      <c r="ET88" s="1460"/>
      <c r="EU88" s="1460"/>
      <c r="EV88" s="1460"/>
      <c r="EW88" s="1460"/>
      <c r="EX88" s="1460"/>
    </row>
    <row r="89" spans="3:154" x14ac:dyDescent="0.2">
      <c r="C89" s="1156"/>
      <c r="D89" s="1156"/>
      <c r="E89" s="1454" t="s">
        <v>328</v>
      </c>
      <c r="F89" s="1454" t="s">
        <v>413</v>
      </c>
      <c r="G89" s="1454"/>
      <c r="H89" s="1460"/>
      <c r="I89" s="1460"/>
      <c r="J89" s="1460"/>
      <c r="K89" s="1460"/>
      <c r="L89" s="1460"/>
      <c r="M89" s="1369">
        <f t="shared" si="14"/>
        <v>0</v>
      </c>
      <c r="N89" s="1460"/>
      <c r="O89" s="1460"/>
      <c r="P89" s="1460"/>
      <c r="Q89" s="1460"/>
      <c r="R89" s="1460"/>
      <c r="S89" s="1460"/>
      <c r="T89" s="1460"/>
      <c r="U89" s="1460"/>
      <c r="V89" s="1460"/>
      <c r="W89" s="1460"/>
      <c r="X89" s="1460"/>
      <c r="Y89" s="1460"/>
      <c r="Z89" s="1460"/>
      <c r="AA89" s="1460"/>
      <c r="AB89" s="1460"/>
      <c r="AC89" s="1460"/>
      <c r="AD89" s="1460"/>
      <c r="AE89" s="1461"/>
      <c r="AF89" s="1462">
        <f t="shared" si="10"/>
        <v>0</v>
      </c>
      <c r="AG89" s="1462">
        <f t="shared" si="11"/>
        <v>0</v>
      </c>
      <c r="AH89" s="1461"/>
      <c r="AI89" s="1460"/>
      <c r="AJ89" s="1460"/>
      <c r="AK89" s="1461"/>
      <c r="AL89" s="1460"/>
      <c r="AM89" s="1460"/>
      <c r="AN89" s="1461"/>
      <c r="AO89" s="1460"/>
      <c r="AP89" s="1461"/>
      <c r="AQ89" s="1460"/>
      <c r="AR89" s="1461"/>
      <c r="AS89" s="1460"/>
      <c r="AT89" s="1460"/>
      <c r="AU89" s="1460"/>
      <c r="AV89" s="1460"/>
      <c r="AW89" s="1460"/>
      <c r="AX89" s="1460"/>
      <c r="AY89" s="1460"/>
      <c r="AZ89" s="1460"/>
      <c r="BA89" s="1460"/>
      <c r="BB89" s="1460"/>
      <c r="BC89" s="1460"/>
      <c r="BD89" s="1460"/>
      <c r="BE89" s="1463"/>
      <c r="BF89" s="1460"/>
      <c r="BG89" s="1460"/>
      <c r="BH89" s="1460"/>
      <c r="BI89" s="1460"/>
      <c r="BJ89" s="1460"/>
      <c r="BK89" s="1460"/>
      <c r="BL89" s="1460"/>
      <c r="BM89" s="1460"/>
      <c r="BN89" s="1460"/>
      <c r="BO89" s="1460"/>
      <c r="BP89" s="1460"/>
      <c r="BQ89" s="1460"/>
      <c r="BR89" s="1460"/>
      <c r="BS89" s="1460"/>
      <c r="BT89" s="1460"/>
      <c r="BU89" s="1460"/>
      <c r="BV89" s="1460"/>
      <c r="BW89" s="1460"/>
      <c r="BX89" s="1460"/>
      <c r="BY89" s="1460"/>
      <c r="BZ89" s="1460"/>
      <c r="CA89" s="1460"/>
      <c r="CB89" s="1464">
        <f t="shared" si="12"/>
        <v>0</v>
      </c>
      <c r="CC89" s="1464">
        <f t="shared" si="13"/>
        <v>0</v>
      </c>
      <c r="CD89" s="1460"/>
      <c r="CE89" s="1460"/>
      <c r="CF89" s="1460"/>
      <c r="CG89" s="1460"/>
      <c r="CH89" s="1460"/>
      <c r="CI89" s="1460"/>
      <c r="CJ89" s="1460"/>
      <c r="CK89" s="1460"/>
      <c r="CL89" s="1460"/>
      <c r="CM89" s="1460"/>
      <c r="CN89" s="1460"/>
      <c r="CO89" s="1460"/>
      <c r="CP89" s="1460"/>
      <c r="CQ89" s="1460"/>
      <c r="CR89" s="1460"/>
      <c r="CS89" s="1460"/>
      <c r="CT89" s="1460"/>
      <c r="CU89" s="1460"/>
      <c r="CV89" s="1460"/>
      <c r="CW89" s="1460"/>
      <c r="CX89" s="1460"/>
      <c r="CY89" s="1460"/>
      <c r="CZ89" s="1460"/>
      <c r="DA89" s="1460"/>
      <c r="DB89" s="1460"/>
      <c r="DC89" s="1460"/>
      <c r="DD89" s="1460"/>
      <c r="DE89" s="1460"/>
      <c r="DF89" s="1460"/>
      <c r="DG89" s="1460"/>
      <c r="DH89" s="1460"/>
      <c r="DI89" s="1460"/>
      <c r="DJ89" s="1460"/>
      <c r="DK89" s="1460"/>
      <c r="DL89" s="1460"/>
      <c r="DM89" s="1460"/>
      <c r="DN89" s="1460"/>
      <c r="DO89" s="1460"/>
      <c r="DP89" s="1460"/>
      <c r="DQ89" s="1460"/>
      <c r="DR89" s="1460"/>
      <c r="DS89" s="1460"/>
      <c r="DT89" s="1460"/>
      <c r="DU89" s="1460"/>
      <c r="DV89" s="1460"/>
      <c r="DW89" s="1460"/>
      <c r="DX89" s="1460"/>
      <c r="DY89" s="1460"/>
      <c r="DZ89" s="1460"/>
      <c r="EA89" s="1460"/>
      <c r="EB89" s="1460"/>
      <c r="EC89" s="1460"/>
      <c r="ED89" s="1460"/>
      <c r="EE89" s="1460"/>
      <c r="EF89" s="1460"/>
      <c r="EG89" s="1460"/>
      <c r="EH89" s="1460"/>
      <c r="EI89" s="1460"/>
      <c r="EJ89" s="1460"/>
      <c r="EK89" s="1460"/>
      <c r="EL89" s="1460"/>
      <c r="EM89" s="1460"/>
      <c r="EN89" s="1460"/>
      <c r="EO89" s="1460"/>
      <c r="EP89" s="1460"/>
      <c r="EQ89" s="1460"/>
      <c r="ER89" s="1460"/>
      <c r="ES89" s="1460"/>
      <c r="ET89" s="1460"/>
      <c r="EU89" s="1460"/>
      <c r="EV89" s="1460"/>
      <c r="EW89" s="1460"/>
      <c r="EX89" s="1460"/>
    </row>
    <row r="90" spans="3:154" ht="56.1" customHeight="1" x14ac:dyDescent="0.2">
      <c r="C90" s="1156" t="s">
        <v>693</v>
      </c>
      <c r="D90" s="1156" t="s">
        <v>5277</v>
      </c>
      <c r="E90" s="738" t="s">
        <v>329</v>
      </c>
      <c r="F90" s="738" t="s">
        <v>414</v>
      </c>
      <c r="G90" s="738"/>
      <c r="H90" s="632" t="s">
        <v>1035</v>
      </c>
      <c r="I90" s="632" t="s">
        <v>694</v>
      </c>
      <c r="J90" s="637">
        <v>2020</v>
      </c>
      <c r="K90" s="377">
        <v>43964</v>
      </c>
      <c r="L90" s="377">
        <v>44190</v>
      </c>
      <c r="M90" s="1369">
        <f t="shared" si="14"/>
        <v>226</v>
      </c>
      <c r="N90" s="632" t="s">
        <v>1424</v>
      </c>
      <c r="O90" s="632" t="s">
        <v>1425</v>
      </c>
      <c r="P90" s="653" t="s">
        <v>1426</v>
      </c>
      <c r="Q90" s="632" t="s">
        <v>504</v>
      </c>
      <c r="R90" s="632"/>
      <c r="S90" s="632" t="s">
        <v>1427</v>
      </c>
      <c r="T90" s="653" t="s">
        <v>1428</v>
      </c>
      <c r="U90" s="632" t="s">
        <v>504</v>
      </c>
      <c r="V90" s="632"/>
      <c r="W90" s="632" t="s">
        <v>1429</v>
      </c>
      <c r="X90" s="653" t="s">
        <v>1430</v>
      </c>
      <c r="Y90" s="653"/>
      <c r="Z90" s="653"/>
      <c r="AA90" s="632" t="s">
        <v>1431</v>
      </c>
      <c r="AB90" s="632" t="s">
        <v>1431</v>
      </c>
      <c r="AC90" s="632" t="s">
        <v>622</v>
      </c>
      <c r="AD90" s="632" t="s">
        <v>1432</v>
      </c>
      <c r="AE90" s="702">
        <v>654.87301061999995</v>
      </c>
      <c r="AF90" s="671">
        <f>AH90+AK90+AN90+AP90+AR90</f>
        <v>654.87302499999998</v>
      </c>
      <c r="AG90" s="671">
        <f t="shared" si="11"/>
        <v>1.4380000038727303E-5</v>
      </c>
      <c r="AH90" s="702">
        <v>498.76500499999997</v>
      </c>
      <c r="AI90" s="683" t="s">
        <v>1433</v>
      </c>
      <c r="AJ90" s="683">
        <v>6.6E-4</v>
      </c>
      <c r="AK90" s="702">
        <v>142.34092000000001</v>
      </c>
      <c r="AL90" s="683" t="s">
        <v>1434</v>
      </c>
      <c r="AM90" s="683"/>
      <c r="AN90" s="702">
        <v>13.767099999999999</v>
      </c>
      <c r="AO90" s="683" t="s">
        <v>1435</v>
      </c>
      <c r="AP90" s="702"/>
      <c r="AQ90" s="683">
        <v>0</v>
      </c>
      <c r="AR90" s="702"/>
      <c r="AS90" s="683"/>
      <c r="AT90" s="632"/>
      <c r="AU90" s="632"/>
      <c r="AV90" s="632"/>
      <c r="AW90" s="632" t="s">
        <v>504</v>
      </c>
      <c r="AX90" s="632"/>
      <c r="AY90" s="632"/>
      <c r="AZ90" s="683"/>
      <c r="BA90" s="706">
        <v>500</v>
      </c>
      <c r="BB90" s="683">
        <v>8.0000000000000004E-4</v>
      </c>
      <c r="BC90" s="710">
        <v>648</v>
      </c>
      <c r="BD90" s="710">
        <v>648</v>
      </c>
      <c r="BE90" s="706">
        <v>587</v>
      </c>
      <c r="BF90" s="710">
        <v>0</v>
      </c>
      <c r="BG90" s="710">
        <v>0</v>
      </c>
      <c r="BH90" s="710">
        <v>0</v>
      </c>
      <c r="BI90" s="710">
        <v>0</v>
      </c>
      <c r="BJ90" s="710"/>
      <c r="BK90" s="710">
        <v>12</v>
      </c>
      <c r="BL90" s="710">
        <v>234</v>
      </c>
      <c r="BM90" s="710">
        <v>72</v>
      </c>
      <c r="BN90" s="710">
        <v>77</v>
      </c>
      <c r="BO90" s="710">
        <v>0</v>
      </c>
      <c r="BP90" s="710">
        <v>0</v>
      </c>
      <c r="BQ90" s="710">
        <v>18</v>
      </c>
      <c r="BR90" s="710">
        <v>0</v>
      </c>
      <c r="BS90" s="710">
        <v>0</v>
      </c>
      <c r="BT90" s="710">
        <v>0</v>
      </c>
      <c r="BU90" s="710">
        <v>0</v>
      </c>
      <c r="BV90" s="710">
        <v>0</v>
      </c>
      <c r="BW90" s="710">
        <v>0</v>
      </c>
      <c r="BX90" s="710">
        <v>0</v>
      </c>
      <c r="BY90" s="710">
        <v>0</v>
      </c>
      <c r="BZ90" s="710">
        <v>174</v>
      </c>
      <c r="CA90" s="717">
        <f t="shared" ref="CA90:CA108" si="15">SUM(BF90:BZ90)</f>
        <v>587</v>
      </c>
      <c r="CB90" s="717">
        <f t="shared" si="12"/>
        <v>587</v>
      </c>
      <c r="CC90" s="717">
        <f t="shared" si="13"/>
        <v>0</v>
      </c>
      <c r="CD90" s="671" t="s">
        <v>541</v>
      </c>
      <c r="CE90" s="632"/>
      <c r="CF90" s="632"/>
      <c r="CG90" s="683"/>
      <c r="CH90" s="671"/>
      <c r="CI90" s="683"/>
      <c r="CJ90" s="632" t="s">
        <v>504</v>
      </c>
      <c r="CK90" s="632"/>
      <c r="CL90" s="632"/>
      <c r="CM90" s="710"/>
      <c r="CN90" s="710"/>
      <c r="CO90" s="710"/>
      <c r="CP90" s="632" t="s">
        <v>504</v>
      </c>
      <c r="CQ90" s="632"/>
      <c r="CR90" s="710"/>
      <c r="CS90" s="632" t="s">
        <v>504</v>
      </c>
      <c r="CT90" s="632"/>
      <c r="CU90" s="710"/>
      <c r="CV90" s="710" t="s">
        <v>504</v>
      </c>
      <c r="CW90" s="710"/>
      <c r="CX90" s="710"/>
      <c r="CY90" s="710" t="s">
        <v>504</v>
      </c>
      <c r="CZ90" s="710"/>
      <c r="DA90" s="710"/>
      <c r="DB90" s="632" t="s">
        <v>504</v>
      </c>
      <c r="DC90" s="632"/>
      <c r="DD90" s="710"/>
      <c r="DE90" s="632" t="s">
        <v>500</v>
      </c>
      <c r="DF90" s="632" t="s">
        <v>1436</v>
      </c>
      <c r="DG90" s="710">
        <v>648</v>
      </c>
      <c r="DH90" s="632" t="s">
        <v>504</v>
      </c>
      <c r="DI90" s="632"/>
      <c r="DJ90" s="710"/>
      <c r="DK90" s="632" t="s">
        <v>504</v>
      </c>
      <c r="DL90" s="632"/>
      <c r="DM90" s="710"/>
      <c r="DN90" s="632" t="s">
        <v>500</v>
      </c>
      <c r="DO90" s="632" t="s">
        <v>1437</v>
      </c>
      <c r="DP90" s="710">
        <v>216114</v>
      </c>
      <c r="DQ90" s="632" t="s">
        <v>504</v>
      </c>
      <c r="DR90" s="632"/>
      <c r="DS90" s="710"/>
      <c r="DT90" s="710" t="s">
        <v>504</v>
      </c>
      <c r="DU90" s="710"/>
      <c r="DV90" s="710"/>
      <c r="DW90" s="632" t="s">
        <v>504</v>
      </c>
      <c r="DX90" s="632"/>
      <c r="DY90" s="710"/>
      <c r="DZ90" s="632" t="s">
        <v>504</v>
      </c>
      <c r="EA90" s="632"/>
      <c r="EB90" s="710"/>
      <c r="EC90" s="632" t="s">
        <v>504</v>
      </c>
      <c r="ED90" s="632"/>
      <c r="EE90" s="710"/>
      <c r="EF90" s="710" t="s">
        <v>500</v>
      </c>
      <c r="EG90" s="710" t="s">
        <v>480</v>
      </c>
      <c r="EH90" s="710">
        <v>13</v>
      </c>
      <c r="EI90" s="632" t="s">
        <v>504</v>
      </c>
      <c r="EJ90" s="632"/>
      <c r="EK90" s="710"/>
      <c r="EL90" s="688">
        <v>1</v>
      </c>
      <c r="EM90" s="632"/>
      <c r="EN90" s="670">
        <v>62</v>
      </c>
      <c r="EO90" s="632" t="s">
        <v>504</v>
      </c>
      <c r="EP90" s="632"/>
      <c r="EQ90" s="632" t="s">
        <v>1437</v>
      </c>
      <c r="ER90" s="632" t="s">
        <v>504</v>
      </c>
      <c r="ES90" s="632" t="s">
        <v>504</v>
      </c>
      <c r="ET90" s="632" t="s">
        <v>504</v>
      </c>
      <c r="EU90" s="632" t="s">
        <v>504</v>
      </c>
      <c r="EV90" s="632" t="s">
        <v>504</v>
      </c>
      <c r="EW90" s="632"/>
      <c r="EX90" s="632"/>
    </row>
    <row r="91" spans="3:154" ht="68.099999999999994" customHeight="1" x14ac:dyDescent="0.2">
      <c r="C91" s="1156" t="s">
        <v>693</v>
      </c>
      <c r="D91" s="1156" t="s">
        <v>5277</v>
      </c>
      <c r="E91" s="738" t="s">
        <v>330</v>
      </c>
      <c r="F91" s="738" t="s">
        <v>415</v>
      </c>
      <c r="G91" s="738"/>
      <c r="H91" s="632" t="s">
        <v>1196</v>
      </c>
      <c r="I91" s="632" t="s">
        <v>1197</v>
      </c>
      <c r="J91" s="637">
        <v>2017</v>
      </c>
      <c r="K91" s="377">
        <v>43831</v>
      </c>
      <c r="L91" s="377">
        <v>44196</v>
      </c>
      <c r="M91" s="1369">
        <f t="shared" si="14"/>
        <v>365</v>
      </c>
      <c r="N91" s="632" t="s">
        <v>1198</v>
      </c>
      <c r="O91" s="738" t="s">
        <v>1199</v>
      </c>
      <c r="P91" s="632" t="s">
        <v>1200</v>
      </c>
      <c r="Q91" s="632" t="s">
        <v>504</v>
      </c>
      <c r="R91" s="632" t="s">
        <v>219</v>
      </c>
      <c r="S91" s="632" t="s">
        <v>504</v>
      </c>
      <c r="T91" s="632" t="s">
        <v>219</v>
      </c>
      <c r="U91" s="632" t="s">
        <v>504</v>
      </c>
      <c r="V91" s="632" t="s">
        <v>219</v>
      </c>
      <c r="W91" s="632" t="s">
        <v>504</v>
      </c>
      <c r="X91" s="632" t="s">
        <v>219</v>
      </c>
      <c r="Y91" s="632"/>
      <c r="Z91" s="632"/>
      <c r="AA91" s="632" t="s">
        <v>1201</v>
      </c>
      <c r="AB91" s="632" t="s">
        <v>1202</v>
      </c>
      <c r="AC91" s="632" t="s">
        <v>519</v>
      </c>
      <c r="AD91" s="632" t="s">
        <v>1203</v>
      </c>
      <c r="AE91" s="702">
        <v>68.153000000000006</v>
      </c>
      <c r="AF91" s="671">
        <f t="shared" si="10"/>
        <v>68.153800000000004</v>
      </c>
      <c r="AG91" s="671">
        <f t="shared" si="11"/>
        <v>7.9999999999813554E-4</v>
      </c>
      <c r="AH91" s="702">
        <v>32.627400000000002</v>
      </c>
      <c r="AI91" s="683">
        <v>0.47870000000000001</v>
      </c>
      <c r="AJ91" s="683">
        <f>AH91/86603.858741*100</f>
        <v>3.7674302824746458E-2</v>
      </c>
      <c r="AK91" s="702">
        <v>18.829999999999998</v>
      </c>
      <c r="AL91" s="683">
        <v>0.27629999999999999</v>
      </c>
      <c r="AM91" s="683"/>
      <c r="AN91" s="702">
        <v>5.2069999999999999</v>
      </c>
      <c r="AO91" s="683">
        <v>7.6399999999999996E-2</v>
      </c>
      <c r="AP91" s="702">
        <v>11.4894</v>
      </c>
      <c r="AQ91" s="683">
        <v>0.1686</v>
      </c>
      <c r="AR91" s="702">
        <v>0</v>
      </c>
      <c r="AS91" s="683">
        <v>0</v>
      </c>
      <c r="AT91" s="632" t="s">
        <v>504</v>
      </c>
      <c r="AU91" s="632" t="s">
        <v>504</v>
      </c>
      <c r="AV91" s="632" t="s">
        <v>504</v>
      </c>
      <c r="AW91" s="632" t="s">
        <v>504</v>
      </c>
      <c r="AX91" s="632" t="s">
        <v>504</v>
      </c>
      <c r="AY91" s="632" t="s">
        <v>504</v>
      </c>
      <c r="AZ91" s="683" t="s">
        <v>504</v>
      </c>
      <c r="BA91" s="1223">
        <v>38.5</v>
      </c>
      <c r="BB91" s="683">
        <f>BA91/88200.404377*100</f>
        <v>4.3650593522720445E-2</v>
      </c>
      <c r="BC91" s="710">
        <v>62</v>
      </c>
      <c r="BD91" s="710">
        <v>62</v>
      </c>
      <c r="BE91" s="706">
        <v>62</v>
      </c>
      <c r="BF91" s="710">
        <v>0</v>
      </c>
      <c r="BG91" s="710">
        <v>2</v>
      </c>
      <c r="BH91" s="710">
        <v>1</v>
      </c>
      <c r="BI91" s="710">
        <v>0</v>
      </c>
      <c r="BJ91" s="710">
        <v>0</v>
      </c>
      <c r="BK91" s="710">
        <v>2</v>
      </c>
      <c r="BL91" s="710">
        <v>6</v>
      </c>
      <c r="BM91" s="710">
        <v>7</v>
      </c>
      <c r="BN91" s="710">
        <v>7</v>
      </c>
      <c r="BO91" s="710">
        <v>0</v>
      </c>
      <c r="BP91" s="710">
        <v>3</v>
      </c>
      <c r="BQ91" s="710">
        <v>8</v>
      </c>
      <c r="BR91" s="710">
        <v>0</v>
      </c>
      <c r="BS91" s="710">
        <v>1</v>
      </c>
      <c r="BT91" s="710">
        <v>0</v>
      </c>
      <c r="BU91" s="710">
        <v>23</v>
      </c>
      <c r="BV91" s="710">
        <v>0</v>
      </c>
      <c r="BW91" s="710">
        <v>1</v>
      </c>
      <c r="BX91" s="710">
        <v>1</v>
      </c>
      <c r="BY91" s="710">
        <v>0</v>
      </c>
      <c r="BZ91" s="710">
        <v>0</v>
      </c>
      <c r="CA91" s="717">
        <f t="shared" si="15"/>
        <v>62</v>
      </c>
      <c r="CB91" s="717">
        <f t="shared" si="12"/>
        <v>62</v>
      </c>
      <c r="CC91" s="717">
        <f t="shared" si="13"/>
        <v>0</v>
      </c>
      <c r="CD91" s="671">
        <v>215.1</v>
      </c>
      <c r="CE91" s="632" t="s">
        <v>1204</v>
      </c>
      <c r="CF91" s="632"/>
      <c r="CG91" s="683">
        <v>0.29010000000000002</v>
      </c>
      <c r="CH91" s="671">
        <v>741.51099999999997</v>
      </c>
      <c r="CI91" s="683" t="s">
        <v>1205</v>
      </c>
      <c r="CJ91" s="632" t="s">
        <v>504</v>
      </c>
      <c r="CK91" s="632" t="s">
        <v>504</v>
      </c>
      <c r="CL91" s="632" t="s">
        <v>504</v>
      </c>
      <c r="CM91" s="710" t="s">
        <v>504</v>
      </c>
      <c r="CN91" s="710" t="s">
        <v>504</v>
      </c>
      <c r="CO91" s="710">
        <v>1</v>
      </c>
      <c r="CP91" s="632" t="s">
        <v>500</v>
      </c>
      <c r="CQ91" s="632" t="s">
        <v>1206</v>
      </c>
      <c r="CR91" s="710" t="s">
        <v>1207</v>
      </c>
      <c r="CS91" s="632" t="s">
        <v>500</v>
      </c>
      <c r="CT91" s="632" t="s">
        <v>1208</v>
      </c>
      <c r="CU91" s="710" t="s">
        <v>1209</v>
      </c>
      <c r="CV91" s="710" t="s">
        <v>504</v>
      </c>
      <c r="CW91" s="710" t="s">
        <v>504</v>
      </c>
      <c r="CX91" s="710"/>
      <c r="CY91" s="710" t="s">
        <v>504</v>
      </c>
      <c r="CZ91" s="710" t="s">
        <v>504</v>
      </c>
      <c r="DA91" s="710" t="s">
        <v>504</v>
      </c>
      <c r="DB91" s="632" t="s">
        <v>504</v>
      </c>
      <c r="DC91" s="632" t="s">
        <v>504</v>
      </c>
      <c r="DD91" s="710" t="s">
        <v>504</v>
      </c>
      <c r="DE91" s="632" t="s">
        <v>504</v>
      </c>
      <c r="DF91" s="632" t="s">
        <v>504</v>
      </c>
      <c r="DG91" s="710" t="s">
        <v>504</v>
      </c>
      <c r="DH91" s="632" t="s">
        <v>504</v>
      </c>
      <c r="DI91" s="632" t="s">
        <v>504</v>
      </c>
      <c r="DJ91" s="710" t="s">
        <v>504</v>
      </c>
      <c r="DK91" s="632" t="s">
        <v>504</v>
      </c>
      <c r="DL91" s="632" t="s">
        <v>504</v>
      </c>
      <c r="DM91" s="710" t="s">
        <v>504</v>
      </c>
      <c r="DN91" s="632" t="s">
        <v>500</v>
      </c>
      <c r="DO91" s="632" t="s">
        <v>1208</v>
      </c>
      <c r="DP91" s="710" t="s">
        <v>1210</v>
      </c>
      <c r="DQ91" s="632" t="s">
        <v>500</v>
      </c>
      <c r="DR91" s="632" t="s">
        <v>1211</v>
      </c>
      <c r="DS91" s="710" t="s">
        <v>1212</v>
      </c>
      <c r="DT91" s="710" t="s">
        <v>504</v>
      </c>
      <c r="DU91" s="710" t="s">
        <v>504</v>
      </c>
      <c r="DV91" s="710" t="s">
        <v>504</v>
      </c>
      <c r="DW91" s="632" t="s">
        <v>504</v>
      </c>
      <c r="DX91" s="632" t="s">
        <v>504</v>
      </c>
      <c r="DY91" s="710" t="s">
        <v>504</v>
      </c>
      <c r="DZ91" s="632" t="s">
        <v>504</v>
      </c>
      <c r="EA91" s="632" t="s">
        <v>504</v>
      </c>
      <c r="EB91" s="710" t="s">
        <v>504</v>
      </c>
      <c r="EC91" s="632" t="s">
        <v>504</v>
      </c>
      <c r="ED91" s="632" t="s">
        <v>504</v>
      </c>
      <c r="EE91" s="710" t="s">
        <v>504</v>
      </c>
      <c r="EF91" s="710" t="s">
        <v>500</v>
      </c>
      <c r="EG91" s="710" t="s">
        <v>1213</v>
      </c>
      <c r="EH91" s="710">
        <v>11</v>
      </c>
      <c r="EI91" s="632" t="s">
        <v>504</v>
      </c>
      <c r="EJ91" s="632" t="s">
        <v>504</v>
      </c>
      <c r="EK91" s="710" t="s">
        <v>504</v>
      </c>
      <c r="EL91" s="688">
        <v>1</v>
      </c>
      <c r="EM91" s="632"/>
      <c r="EN91" s="1224">
        <v>35</v>
      </c>
      <c r="EO91" s="632" t="s">
        <v>504</v>
      </c>
      <c r="EP91" s="632" t="s">
        <v>504</v>
      </c>
      <c r="EQ91" s="632" t="s">
        <v>504</v>
      </c>
      <c r="ER91" s="632" t="s">
        <v>504</v>
      </c>
      <c r="ES91" s="632" t="s">
        <v>504</v>
      </c>
      <c r="ET91" s="632" t="s">
        <v>1214</v>
      </c>
      <c r="EU91" s="632" t="s">
        <v>504</v>
      </c>
      <c r="EV91" s="632" t="s">
        <v>1215</v>
      </c>
      <c r="EW91" s="632">
        <v>35</v>
      </c>
      <c r="EX91" s="632">
        <v>70</v>
      </c>
    </row>
    <row r="92" spans="3:154" s="2" customFormat="1" ht="78.95" customHeight="1" x14ac:dyDescent="0.2">
      <c r="C92" s="1156" t="s">
        <v>693</v>
      </c>
      <c r="D92" s="1156" t="s">
        <v>5277</v>
      </c>
      <c r="E92" s="738" t="s">
        <v>331</v>
      </c>
      <c r="F92" s="738" t="s">
        <v>416</v>
      </c>
      <c r="G92" s="632"/>
      <c r="H92" s="632" t="s">
        <v>2579</v>
      </c>
      <c r="I92" s="632" t="s">
        <v>2046</v>
      </c>
      <c r="J92" s="637">
        <v>2017</v>
      </c>
      <c r="K92" s="377">
        <v>43854</v>
      </c>
      <c r="L92" s="377">
        <v>44190</v>
      </c>
      <c r="M92" s="1369">
        <f t="shared" si="14"/>
        <v>336</v>
      </c>
      <c r="N92" s="632" t="s">
        <v>2580</v>
      </c>
      <c r="O92" s="632" t="s">
        <v>2581</v>
      </c>
      <c r="P92" s="632"/>
      <c r="Q92" s="632" t="s">
        <v>2582</v>
      </c>
      <c r="R92" s="632"/>
      <c r="S92" s="632" t="s">
        <v>2583</v>
      </c>
      <c r="T92" s="632"/>
      <c r="U92" s="632" t="s">
        <v>2584</v>
      </c>
      <c r="V92" s="653" t="s">
        <v>2585</v>
      </c>
      <c r="W92" s="632" t="s">
        <v>2586</v>
      </c>
      <c r="X92" s="632"/>
      <c r="Y92" s="632"/>
      <c r="Z92" s="632"/>
      <c r="AA92" s="632" t="s">
        <v>2587</v>
      </c>
      <c r="AB92" s="632" t="s">
        <v>2587</v>
      </c>
      <c r="AC92" s="632" t="s">
        <v>519</v>
      </c>
      <c r="AD92" s="632" t="s">
        <v>2588</v>
      </c>
      <c r="AE92" s="702">
        <v>21.855</v>
      </c>
      <c r="AF92" s="671">
        <f>AH92+AK92+AN92+AP92+AR92</f>
        <v>21.855800000000002</v>
      </c>
      <c r="AG92" s="671">
        <f t="shared" si="11"/>
        <v>8.0000000000168825E-4</v>
      </c>
      <c r="AH92" s="702">
        <v>16.916399999999999</v>
      </c>
      <c r="AI92" s="683">
        <v>0.747</v>
      </c>
      <c r="AJ92" s="683">
        <v>6.9999999999999999E-4</v>
      </c>
      <c r="AK92" s="702">
        <v>4.7130000000000001</v>
      </c>
      <c r="AL92" s="683">
        <v>0.20799999999999999</v>
      </c>
      <c r="AM92" s="683"/>
      <c r="AN92" s="702">
        <v>0.128</v>
      </c>
      <c r="AO92" s="683">
        <v>5.7000000000000002E-3</v>
      </c>
      <c r="AP92" s="702">
        <v>9.8400000000000001E-2</v>
      </c>
      <c r="AQ92" s="683">
        <v>4.3E-3</v>
      </c>
      <c r="AR92" s="702"/>
      <c r="AS92" s="683" t="s">
        <v>504</v>
      </c>
      <c r="AT92" s="632" t="s">
        <v>504</v>
      </c>
      <c r="AU92" s="632" t="s">
        <v>504</v>
      </c>
      <c r="AV92" s="632" t="s">
        <v>504</v>
      </c>
      <c r="AW92" s="632" t="s">
        <v>500</v>
      </c>
      <c r="AX92" s="632" t="s">
        <v>2589</v>
      </c>
      <c r="AY92" s="632">
        <v>0.78800000000000003</v>
      </c>
      <c r="AZ92" s="683">
        <v>3.4799999999999998E-2</v>
      </c>
      <c r="BA92" s="706">
        <v>6</v>
      </c>
      <c r="BB92" s="683">
        <v>2.9999999999999997E-4</v>
      </c>
      <c r="BC92" s="710">
        <v>36</v>
      </c>
      <c r="BD92" s="710">
        <v>36</v>
      </c>
      <c r="BE92" s="706">
        <v>22</v>
      </c>
      <c r="BF92" s="710">
        <v>0</v>
      </c>
      <c r="BG92" s="710">
        <v>6</v>
      </c>
      <c r="BH92" s="710">
        <v>1</v>
      </c>
      <c r="BI92" s="710">
        <v>0</v>
      </c>
      <c r="BJ92" s="710">
        <v>0</v>
      </c>
      <c r="BK92" s="710">
        <v>1</v>
      </c>
      <c r="BL92" s="710">
        <v>0</v>
      </c>
      <c r="BM92" s="710">
        <v>1</v>
      </c>
      <c r="BN92" s="710">
        <v>1</v>
      </c>
      <c r="BO92" s="710">
        <v>1</v>
      </c>
      <c r="BP92" s="710">
        <v>2</v>
      </c>
      <c r="BQ92" s="710">
        <v>7</v>
      </c>
      <c r="BR92" s="710">
        <v>0</v>
      </c>
      <c r="BS92" s="710">
        <v>2</v>
      </c>
      <c r="BT92" s="710">
        <v>0</v>
      </c>
      <c r="BU92" s="710">
        <v>0</v>
      </c>
      <c r="BV92" s="710">
        <v>0</v>
      </c>
      <c r="BW92" s="710">
        <v>0</v>
      </c>
      <c r="BX92" s="710">
        <v>0</v>
      </c>
      <c r="BY92" s="710">
        <v>0</v>
      </c>
      <c r="BZ92" s="710">
        <v>0</v>
      </c>
      <c r="CA92" s="717">
        <f t="shared" si="15"/>
        <v>22</v>
      </c>
      <c r="CB92" s="717">
        <f t="shared" si="12"/>
        <v>22</v>
      </c>
      <c r="CC92" s="717">
        <f t="shared" si="13"/>
        <v>0</v>
      </c>
      <c r="CD92" s="671">
        <v>12.279</v>
      </c>
      <c r="CE92" s="632" t="s">
        <v>504</v>
      </c>
      <c r="CF92" s="632" t="s">
        <v>504</v>
      </c>
      <c r="CG92" s="683">
        <v>0.27800000000000002</v>
      </c>
      <c r="CH92" s="671">
        <v>44.1</v>
      </c>
      <c r="CI92" s="733" t="s">
        <v>2590</v>
      </c>
      <c r="CJ92" s="632" t="s">
        <v>504</v>
      </c>
      <c r="CK92" s="632" t="s">
        <v>504</v>
      </c>
      <c r="CL92" s="632" t="s">
        <v>504</v>
      </c>
      <c r="CM92" s="710" t="s">
        <v>504</v>
      </c>
      <c r="CN92" s="710" t="s">
        <v>504</v>
      </c>
      <c r="CO92" s="710" t="s">
        <v>504</v>
      </c>
      <c r="CP92" s="632" t="s">
        <v>500</v>
      </c>
      <c r="CQ92" s="632" t="s">
        <v>2591</v>
      </c>
      <c r="CR92" s="710">
        <v>493</v>
      </c>
      <c r="CS92" s="632" t="s">
        <v>504</v>
      </c>
      <c r="CT92" s="632" t="s">
        <v>504</v>
      </c>
      <c r="CU92" s="710" t="s">
        <v>504</v>
      </c>
      <c r="CV92" s="710" t="s">
        <v>504</v>
      </c>
      <c r="CW92" s="710" t="s">
        <v>504</v>
      </c>
      <c r="CX92" s="710"/>
      <c r="CY92" s="710" t="s">
        <v>504</v>
      </c>
      <c r="CZ92" s="710" t="s">
        <v>504</v>
      </c>
      <c r="DA92" s="710" t="s">
        <v>504</v>
      </c>
      <c r="DB92" s="632" t="s">
        <v>504</v>
      </c>
      <c r="DC92" s="632" t="s">
        <v>504</v>
      </c>
      <c r="DD92" s="710" t="s">
        <v>504</v>
      </c>
      <c r="DE92" s="632" t="s">
        <v>504</v>
      </c>
      <c r="DF92" s="632" t="s">
        <v>504</v>
      </c>
      <c r="DG92" s="710" t="s">
        <v>504</v>
      </c>
      <c r="DH92" s="632" t="s">
        <v>504</v>
      </c>
      <c r="DI92" s="632" t="s">
        <v>504</v>
      </c>
      <c r="DJ92" s="710" t="s">
        <v>504</v>
      </c>
      <c r="DK92" s="632" t="s">
        <v>504</v>
      </c>
      <c r="DL92" s="632" t="s">
        <v>504</v>
      </c>
      <c r="DM92" s="710" t="s">
        <v>504</v>
      </c>
      <c r="DN92" s="632" t="s">
        <v>504</v>
      </c>
      <c r="DO92" s="632" t="s">
        <v>504</v>
      </c>
      <c r="DP92" s="710" t="s">
        <v>504</v>
      </c>
      <c r="DQ92" s="632" t="s">
        <v>500</v>
      </c>
      <c r="DR92" s="632" t="s">
        <v>2592</v>
      </c>
      <c r="DS92" s="710">
        <v>493</v>
      </c>
      <c r="DT92" s="710" t="s">
        <v>504</v>
      </c>
      <c r="DU92" s="710" t="s">
        <v>504</v>
      </c>
      <c r="DV92" s="710" t="s">
        <v>504</v>
      </c>
      <c r="DW92" s="632" t="s">
        <v>504</v>
      </c>
      <c r="DX92" s="632" t="s">
        <v>504</v>
      </c>
      <c r="DY92" s="710" t="s">
        <v>504</v>
      </c>
      <c r="DZ92" s="632" t="s">
        <v>504</v>
      </c>
      <c r="EA92" s="632" t="s">
        <v>504</v>
      </c>
      <c r="EB92" s="710" t="s">
        <v>504</v>
      </c>
      <c r="EC92" s="632" t="s">
        <v>504</v>
      </c>
      <c r="ED92" s="632" t="s">
        <v>504</v>
      </c>
      <c r="EE92" s="710" t="s">
        <v>504</v>
      </c>
      <c r="EF92" s="710" t="s">
        <v>504</v>
      </c>
      <c r="EG92" s="710" t="s">
        <v>504</v>
      </c>
      <c r="EH92" s="710" t="s">
        <v>504</v>
      </c>
      <c r="EI92" s="632" t="s">
        <v>504</v>
      </c>
      <c r="EJ92" s="632" t="s">
        <v>504</v>
      </c>
      <c r="EK92" s="710" t="s">
        <v>504</v>
      </c>
      <c r="EL92" s="632" t="s">
        <v>2593</v>
      </c>
      <c r="EM92" s="632" t="s">
        <v>504</v>
      </c>
      <c r="EN92" s="670">
        <v>17</v>
      </c>
      <c r="EO92" s="632" t="s">
        <v>504</v>
      </c>
      <c r="EP92" s="632" t="s">
        <v>504</v>
      </c>
      <c r="EQ92" s="653" t="s">
        <v>2594</v>
      </c>
      <c r="ER92" s="632" t="s">
        <v>504</v>
      </c>
      <c r="ES92" s="632" t="s">
        <v>504</v>
      </c>
      <c r="ET92" s="632" t="s">
        <v>2596</v>
      </c>
      <c r="EU92" s="653" t="s">
        <v>2595</v>
      </c>
      <c r="EV92" s="632" t="s">
        <v>504</v>
      </c>
      <c r="EW92" s="632" t="s">
        <v>504</v>
      </c>
      <c r="EX92" s="632" t="s">
        <v>504</v>
      </c>
    </row>
    <row r="93" spans="3:154" ht="53.1" customHeight="1" x14ac:dyDescent="0.2">
      <c r="C93" s="1156" t="s">
        <v>693</v>
      </c>
      <c r="D93" s="1156" t="s">
        <v>5277</v>
      </c>
      <c r="E93" s="738" t="s">
        <v>332</v>
      </c>
      <c r="F93" s="738" t="s">
        <v>417</v>
      </c>
      <c r="G93" s="738"/>
      <c r="H93" s="632" t="s">
        <v>1439</v>
      </c>
      <c r="I93" s="632" t="s">
        <v>1440</v>
      </c>
      <c r="J93" s="637">
        <v>2020</v>
      </c>
      <c r="K93" s="1100">
        <v>43709</v>
      </c>
      <c r="L93" s="1100">
        <v>44196</v>
      </c>
      <c r="M93" s="1369">
        <f t="shared" si="14"/>
        <v>487</v>
      </c>
      <c r="N93" s="632" t="s">
        <v>1441</v>
      </c>
      <c r="O93" s="632" t="s">
        <v>1442</v>
      </c>
      <c r="P93" s="653" t="s">
        <v>1443</v>
      </c>
      <c r="Q93" s="632"/>
      <c r="R93" s="632"/>
      <c r="S93" s="632" t="s">
        <v>465</v>
      </c>
      <c r="T93" s="632" t="s">
        <v>465</v>
      </c>
      <c r="U93" s="632" t="s">
        <v>1444</v>
      </c>
      <c r="V93" s="653" t="s">
        <v>1443</v>
      </c>
      <c r="W93" s="632" t="s">
        <v>1445</v>
      </c>
      <c r="X93" s="653" t="s">
        <v>1446</v>
      </c>
      <c r="Y93" s="653"/>
      <c r="Z93" s="653"/>
      <c r="AA93" s="632" t="s">
        <v>1447</v>
      </c>
      <c r="AB93" s="632" t="s">
        <v>1447</v>
      </c>
      <c r="AC93" s="632" t="s">
        <v>1448</v>
      </c>
      <c r="AD93" s="632" t="s">
        <v>1449</v>
      </c>
      <c r="AE93" s="702">
        <v>899.00800000000004</v>
      </c>
      <c r="AF93" s="671">
        <f t="shared" si="10"/>
        <v>899.00840000000005</v>
      </c>
      <c r="AG93" s="671">
        <f t="shared" si="11"/>
        <v>4.0000000001327862E-4</v>
      </c>
      <c r="AH93" s="702">
        <v>899.00840000000005</v>
      </c>
      <c r="AI93" s="683">
        <v>1</v>
      </c>
      <c r="AJ93" s="683">
        <v>4.5999999999999999E-3</v>
      </c>
      <c r="AK93" s="1418"/>
      <c r="AL93" s="1419"/>
      <c r="AM93" s="1419"/>
      <c r="AN93" s="702"/>
      <c r="AO93" s="683"/>
      <c r="AP93" s="702"/>
      <c r="AQ93" s="683"/>
      <c r="AR93" s="702"/>
      <c r="AS93" s="683" t="s">
        <v>465</v>
      </c>
      <c r="AT93" s="632" t="s">
        <v>465</v>
      </c>
      <c r="AU93" s="632" t="s">
        <v>465</v>
      </c>
      <c r="AV93" s="632" t="s">
        <v>465</v>
      </c>
      <c r="AW93" s="632" t="s">
        <v>504</v>
      </c>
      <c r="AX93" s="632" t="s">
        <v>465</v>
      </c>
      <c r="AY93" s="632" t="s">
        <v>465</v>
      </c>
      <c r="AZ93" s="683" t="s">
        <v>465</v>
      </c>
      <c r="BA93" s="702"/>
      <c r="BB93" s="683" t="s">
        <v>465</v>
      </c>
      <c r="BC93" s="710">
        <v>205</v>
      </c>
      <c r="BD93" s="710" t="s">
        <v>465</v>
      </c>
      <c r="BE93" s="706">
        <v>103</v>
      </c>
      <c r="BF93" s="710">
        <f>9+2</f>
        <v>11</v>
      </c>
      <c r="BG93" s="710">
        <f>18+1</f>
        <v>19</v>
      </c>
      <c r="BH93" s="710">
        <v>1</v>
      </c>
      <c r="BI93" s="710"/>
      <c r="BJ93" s="710"/>
      <c r="BK93" s="710">
        <v>3</v>
      </c>
      <c r="BL93" s="710">
        <f>11+1</f>
        <v>12</v>
      </c>
      <c r="BM93" s="710">
        <v>8</v>
      </c>
      <c r="BN93" s="710">
        <f>7+1</f>
        <v>8</v>
      </c>
      <c r="BO93" s="710">
        <v>7</v>
      </c>
      <c r="BP93" s="710">
        <v>6</v>
      </c>
      <c r="BQ93" s="710">
        <f>20+1</f>
        <v>21</v>
      </c>
      <c r="BR93" s="710">
        <v>1</v>
      </c>
      <c r="BS93" s="710"/>
      <c r="BT93" s="710"/>
      <c r="BU93" s="710"/>
      <c r="BV93" s="710">
        <v>1</v>
      </c>
      <c r="BW93" s="710">
        <v>4</v>
      </c>
      <c r="BX93" s="710">
        <v>1</v>
      </c>
      <c r="BY93" s="710"/>
      <c r="BZ93" s="710"/>
      <c r="CA93" s="717">
        <f t="shared" si="15"/>
        <v>103</v>
      </c>
      <c r="CB93" s="717">
        <f t="shared" si="12"/>
        <v>103</v>
      </c>
      <c r="CC93" s="717">
        <f t="shared" si="13"/>
        <v>0</v>
      </c>
      <c r="CD93" s="671">
        <v>3202.9459999999999</v>
      </c>
      <c r="CE93" s="632" t="s">
        <v>465</v>
      </c>
      <c r="CF93" s="1177" t="s">
        <v>465</v>
      </c>
      <c r="CG93" s="683">
        <v>1</v>
      </c>
      <c r="CH93" s="671">
        <v>3202.9459999999999</v>
      </c>
      <c r="CI93" s="733" t="s">
        <v>1450</v>
      </c>
      <c r="CJ93" s="632" t="s">
        <v>504</v>
      </c>
      <c r="CK93" s="710" t="s">
        <v>465</v>
      </c>
      <c r="CL93" s="710" t="s">
        <v>465</v>
      </c>
      <c r="CM93" s="710" t="s">
        <v>465</v>
      </c>
      <c r="CN93" s="710" t="s">
        <v>465</v>
      </c>
      <c r="CO93" s="710">
        <v>5</v>
      </c>
      <c r="CP93" s="632" t="s">
        <v>504</v>
      </c>
      <c r="CQ93" s="632" t="s">
        <v>465</v>
      </c>
      <c r="CR93" s="710" t="s">
        <v>465</v>
      </c>
      <c r="CS93" s="632" t="s">
        <v>504</v>
      </c>
      <c r="CT93" s="632" t="s">
        <v>465</v>
      </c>
      <c r="CU93" s="710" t="s">
        <v>465</v>
      </c>
      <c r="CV93" s="710" t="s">
        <v>504</v>
      </c>
      <c r="CW93" s="710" t="s">
        <v>465</v>
      </c>
      <c r="CX93" s="710"/>
      <c r="CY93" s="710" t="s">
        <v>504</v>
      </c>
      <c r="CZ93" s="710" t="s">
        <v>465</v>
      </c>
      <c r="DA93" s="710" t="s">
        <v>465</v>
      </c>
      <c r="DB93" s="632" t="s">
        <v>504</v>
      </c>
      <c r="DC93" s="632" t="s">
        <v>465</v>
      </c>
      <c r="DD93" s="710" t="s">
        <v>465</v>
      </c>
      <c r="DE93" s="632" t="s">
        <v>504</v>
      </c>
      <c r="DF93" s="632" t="s">
        <v>465</v>
      </c>
      <c r="DG93" s="710" t="s">
        <v>465</v>
      </c>
      <c r="DH93" s="632" t="s">
        <v>504</v>
      </c>
      <c r="DI93" s="632" t="s">
        <v>465</v>
      </c>
      <c r="DJ93" s="710" t="s">
        <v>465</v>
      </c>
      <c r="DK93" s="632" t="s">
        <v>500</v>
      </c>
      <c r="DL93" s="632" t="s">
        <v>1451</v>
      </c>
      <c r="DM93" s="710">
        <v>52</v>
      </c>
      <c r="DN93" s="632" t="s">
        <v>500</v>
      </c>
      <c r="DO93" s="632" t="s">
        <v>1452</v>
      </c>
      <c r="DP93" s="710">
        <v>160951</v>
      </c>
      <c r="DQ93" s="632" t="s">
        <v>504</v>
      </c>
      <c r="DR93" s="632" t="s">
        <v>465</v>
      </c>
      <c r="DS93" s="710" t="s">
        <v>465</v>
      </c>
      <c r="DT93" s="710" t="s">
        <v>504</v>
      </c>
      <c r="DU93" s="710" t="s">
        <v>465</v>
      </c>
      <c r="DV93" s="710" t="s">
        <v>465</v>
      </c>
      <c r="DW93" s="632" t="s">
        <v>504</v>
      </c>
      <c r="DX93" s="632" t="s">
        <v>465</v>
      </c>
      <c r="DY93" s="710" t="s">
        <v>465</v>
      </c>
      <c r="DZ93" s="632" t="s">
        <v>504</v>
      </c>
      <c r="EA93" s="632" t="s">
        <v>465</v>
      </c>
      <c r="EB93" s="710" t="s">
        <v>465</v>
      </c>
      <c r="EC93" s="632" t="s">
        <v>504</v>
      </c>
      <c r="ED93" s="632" t="s">
        <v>465</v>
      </c>
      <c r="EE93" s="710" t="s">
        <v>465</v>
      </c>
      <c r="EF93" s="632" t="s">
        <v>504</v>
      </c>
      <c r="EG93" s="632" t="s">
        <v>465</v>
      </c>
      <c r="EH93" s="710" t="s">
        <v>465</v>
      </c>
      <c r="EI93" s="632" t="s">
        <v>504</v>
      </c>
      <c r="EJ93" s="632" t="s">
        <v>465</v>
      </c>
      <c r="EK93" s="710" t="s">
        <v>465</v>
      </c>
      <c r="EL93" s="632" t="s">
        <v>504</v>
      </c>
      <c r="EM93" s="632" t="s">
        <v>1453</v>
      </c>
      <c r="EN93" s="710">
        <v>52</v>
      </c>
      <c r="EO93" s="632" t="s">
        <v>500</v>
      </c>
      <c r="EP93" s="632" t="s">
        <v>1454</v>
      </c>
      <c r="EQ93" s="653" t="s">
        <v>1455</v>
      </c>
      <c r="ER93" s="632" t="s">
        <v>465</v>
      </c>
      <c r="ES93" s="653" t="s">
        <v>1456</v>
      </c>
      <c r="ET93" s="632" t="s">
        <v>1457</v>
      </c>
      <c r="EU93" s="653" t="s">
        <v>1456</v>
      </c>
      <c r="EV93" s="632" t="s">
        <v>1458</v>
      </c>
      <c r="EW93" s="632">
        <v>4</v>
      </c>
      <c r="EX93" s="632">
        <v>172</v>
      </c>
    </row>
    <row r="94" spans="3:154" ht="62.1" customHeight="1" x14ac:dyDescent="0.2">
      <c r="C94" s="1156" t="s">
        <v>693</v>
      </c>
      <c r="D94" s="1156" t="s">
        <v>5277</v>
      </c>
      <c r="E94" s="738" t="s">
        <v>332</v>
      </c>
      <c r="F94" s="738" t="s">
        <v>417</v>
      </c>
      <c r="G94" s="738"/>
      <c r="H94" s="632" t="s">
        <v>1459</v>
      </c>
      <c r="I94" s="632" t="s">
        <v>1459</v>
      </c>
      <c r="J94" s="637">
        <v>2013</v>
      </c>
      <c r="K94" s="1100">
        <v>43796</v>
      </c>
      <c r="L94" s="1100">
        <v>44190</v>
      </c>
      <c r="M94" s="1369">
        <f t="shared" si="14"/>
        <v>394</v>
      </c>
      <c r="N94" s="632" t="s">
        <v>465</v>
      </c>
      <c r="O94" s="632" t="s">
        <v>465</v>
      </c>
      <c r="P94" s="632" t="s">
        <v>465</v>
      </c>
      <c r="Q94" s="632" t="s">
        <v>1460</v>
      </c>
      <c r="R94" s="653" t="s">
        <v>1461</v>
      </c>
      <c r="S94" s="632" t="s">
        <v>1462</v>
      </c>
      <c r="T94" s="653" t="s">
        <v>1463</v>
      </c>
      <c r="U94" s="632" t="s">
        <v>465</v>
      </c>
      <c r="V94" s="632" t="s">
        <v>465</v>
      </c>
      <c r="W94" s="632" t="s">
        <v>1464</v>
      </c>
      <c r="X94" s="653" t="s">
        <v>1465</v>
      </c>
      <c r="Y94" s="653"/>
      <c r="Z94" s="653"/>
      <c r="AA94" s="632" t="s">
        <v>1466</v>
      </c>
      <c r="AB94" s="632" t="s">
        <v>1466</v>
      </c>
      <c r="AC94" s="632" t="s">
        <v>622</v>
      </c>
      <c r="AD94" s="632" t="s">
        <v>1467</v>
      </c>
      <c r="AE94" s="702">
        <v>530.60500000000002</v>
      </c>
      <c r="AF94" s="671">
        <f t="shared" si="10"/>
        <v>530.60579999999993</v>
      </c>
      <c r="AG94" s="671">
        <f t="shared" si="11"/>
        <v>7.9999999991287041E-4</v>
      </c>
      <c r="AH94" s="702">
        <v>316.4384</v>
      </c>
      <c r="AI94" s="683">
        <v>0.59640000000000004</v>
      </c>
      <c r="AJ94" s="683">
        <v>1.4E-3</v>
      </c>
      <c r="AK94" s="702">
        <v>167.59299999999999</v>
      </c>
      <c r="AL94" s="683">
        <v>0.31590000000000001</v>
      </c>
      <c r="AM94" s="683"/>
      <c r="AN94" s="702">
        <v>17.992000000000001</v>
      </c>
      <c r="AO94" s="683">
        <v>3.39E-2</v>
      </c>
      <c r="AP94" s="702">
        <v>28.5824</v>
      </c>
      <c r="AQ94" s="683">
        <v>5.3800000000000001E-2</v>
      </c>
      <c r="AR94" s="702"/>
      <c r="AS94" s="683" t="s">
        <v>465</v>
      </c>
      <c r="AT94" s="632" t="s">
        <v>465</v>
      </c>
      <c r="AU94" s="632" t="s">
        <v>465</v>
      </c>
      <c r="AV94" s="632" t="s">
        <v>465</v>
      </c>
      <c r="AW94" s="632" t="s">
        <v>500</v>
      </c>
      <c r="AX94" s="632" t="s">
        <v>1468</v>
      </c>
      <c r="AY94" s="632" t="s">
        <v>465</v>
      </c>
      <c r="AZ94" s="683" t="s">
        <v>465</v>
      </c>
      <c r="BA94" s="702">
        <v>730</v>
      </c>
      <c r="BB94" s="683">
        <v>3.3E-3</v>
      </c>
      <c r="BC94" s="710">
        <v>798</v>
      </c>
      <c r="BD94" s="710">
        <v>798</v>
      </c>
      <c r="BE94" s="706">
        <v>471</v>
      </c>
      <c r="BF94" s="710">
        <v>30</v>
      </c>
      <c r="BG94" s="710">
        <v>203</v>
      </c>
      <c r="BH94" s="710">
        <v>16</v>
      </c>
      <c r="BI94" s="710">
        <v>0</v>
      </c>
      <c r="BJ94" s="710">
        <v>0</v>
      </c>
      <c r="BK94" s="710">
        <v>96</v>
      </c>
      <c r="BL94" s="710">
        <v>0</v>
      </c>
      <c r="BM94" s="710">
        <v>6</v>
      </c>
      <c r="BN94" s="710">
        <v>16</v>
      </c>
      <c r="BO94" s="710">
        <v>0</v>
      </c>
      <c r="BP94" s="710">
        <v>38</v>
      </c>
      <c r="BQ94" s="710">
        <v>6</v>
      </c>
      <c r="BR94" s="710">
        <v>54</v>
      </c>
      <c r="BS94" s="710">
        <v>2</v>
      </c>
      <c r="BT94" s="710">
        <v>0</v>
      </c>
      <c r="BU94" s="710">
        <v>4</v>
      </c>
      <c r="BV94" s="710">
        <v>0</v>
      </c>
      <c r="BW94" s="710">
        <v>0</v>
      </c>
      <c r="BX94" s="710">
        <v>0</v>
      </c>
      <c r="BY94" s="710">
        <v>0</v>
      </c>
      <c r="BZ94" s="710">
        <v>0</v>
      </c>
      <c r="CA94" s="717">
        <f t="shared" si="15"/>
        <v>471</v>
      </c>
      <c r="CB94" s="717">
        <f t="shared" si="12"/>
        <v>471</v>
      </c>
      <c r="CC94" s="717">
        <f t="shared" si="13"/>
        <v>0</v>
      </c>
      <c r="CD94" s="671">
        <v>2420.3380000000002</v>
      </c>
      <c r="CE94" s="632" t="s">
        <v>1469</v>
      </c>
      <c r="CF94" s="1177" t="s">
        <v>465</v>
      </c>
      <c r="CG94" s="683">
        <v>0.75760000000000005</v>
      </c>
      <c r="CH94" s="671">
        <v>3202.9459999999999</v>
      </c>
      <c r="CI94" s="733" t="s">
        <v>1470</v>
      </c>
      <c r="CJ94" s="632" t="s">
        <v>504</v>
      </c>
      <c r="CK94" s="632" t="s">
        <v>504</v>
      </c>
      <c r="CL94" s="632" t="s">
        <v>504</v>
      </c>
      <c r="CM94" s="710" t="s">
        <v>465</v>
      </c>
      <c r="CN94" s="710" t="s">
        <v>465</v>
      </c>
      <c r="CO94" s="710">
        <v>4</v>
      </c>
      <c r="CP94" s="632" t="s">
        <v>504</v>
      </c>
      <c r="CQ94" s="632" t="s">
        <v>465</v>
      </c>
      <c r="CR94" s="710" t="s">
        <v>465</v>
      </c>
      <c r="CS94" s="632" t="s">
        <v>500</v>
      </c>
      <c r="CT94" s="632" t="s">
        <v>1471</v>
      </c>
      <c r="CU94" s="710">
        <v>139942</v>
      </c>
      <c r="CV94" s="710" t="s">
        <v>504</v>
      </c>
      <c r="CW94" s="710" t="s">
        <v>465</v>
      </c>
      <c r="CX94" s="710"/>
      <c r="CY94" s="710" t="s">
        <v>504</v>
      </c>
      <c r="CZ94" s="710" t="s">
        <v>465</v>
      </c>
      <c r="DA94" s="710" t="s">
        <v>465</v>
      </c>
      <c r="DB94" s="632" t="s">
        <v>504</v>
      </c>
      <c r="DC94" s="632" t="s">
        <v>465</v>
      </c>
      <c r="DD94" s="710" t="s">
        <v>465</v>
      </c>
      <c r="DE94" s="632" t="s">
        <v>504</v>
      </c>
      <c r="DF94" s="632" t="s">
        <v>465</v>
      </c>
      <c r="DG94" s="710" t="s">
        <v>465</v>
      </c>
      <c r="DH94" s="632" t="s">
        <v>504</v>
      </c>
      <c r="DI94" s="632" t="s">
        <v>465</v>
      </c>
      <c r="DJ94" s="710" t="s">
        <v>465</v>
      </c>
      <c r="DK94" s="632" t="s">
        <v>504</v>
      </c>
      <c r="DL94" s="632" t="s">
        <v>465</v>
      </c>
      <c r="DM94" s="710" t="s">
        <v>465</v>
      </c>
      <c r="DN94" s="632" t="s">
        <v>504</v>
      </c>
      <c r="DO94" s="632" t="s">
        <v>465</v>
      </c>
      <c r="DP94" s="710" t="s">
        <v>465</v>
      </c>
      <c r="DQ94" s="632" t="s">
        <v>504</v>
      </c>
      <c r="DR94" s="632" t="s">
        <v>465</v>
      </c>
      <c r="DS94" s="710" t="s">
        <v>465</v>
      </c>
      <c r="DT94" s="710" t="s">
        <v>504</v>
      </c>
      <c r="DU94" s="710" t="s">
        <v>465</v>
      </c>
      <c r="DV94" s="710" t="s">
        <v>465</v>
      </c>
      <c r="DW94" s="632" t="s">
        <v>504</v>
      </c>
      <c r="DX94" s="632" t="s">
        <v>465</v>
      </c>
      <c r="DY94" s="710" t="s">
        <v>465</v>
      </c>
      <c r="DZ94" s="632" t="s">
        <v>504</v>
      </c>
      <c r="EA94" s="632" t="s">
        <v>465</v>
      </c>
      <c r="EB94" s="710" t="s">
        <v>465</v>
      </c>
      <c r="EC94" s="632" t="s">
        <v>504</v>
      </c>
      <c r="ED94" s="632" t="s">
        <v>465</v>
      </c>
      <c r="EE94" s="710" t="s">
        <v>465</v>
      </c>
      <c r="EF94" s="710" t="s">
        <v>500</v>
      </c>
      <c r="EG94" s="710" t="s">
        <v>1472</v>
      </c>
      <c r="EH94" s="710">
        <v>10</v>
      </c>
      <c r="EI94" s="632" t="s">
        <v>504</v>
      </c>
      <c r="EJ94" s="632" t="s">
        <v>465</v>
      </c>
      <c r="EK94" s="710" t="s">
        <v>465</v>
      </c>
      <c r="EL94" s="632" t="s">
        <v>1473</v>
      </c>
      <c r="EM94" s="632" t="s">
        <v>1474</v>
      </c>
      <c r="EN94" s="710">
        <v>392</v>
      </c>
      <c r="EO94" s="632" t="s">
        <v>504</v>
      </c>
      <c r="EP94" s="632" t="s">
        <v>465</v>
      </c>
      <c r="EQ94" s="653" t="s">
        <v>1475</v>
      </c>
      <c r="ER94" s="632" t="s">
        <v>465</v>
      </c>
      <c r="ES94" s="632" t="s">
        <v>465</v>
      </c>
      <c r="ET94" s="632" t="s">
        <v>1476</v>
      </c>
      <c r="EU94" s="632" t="s">
        <v>465</v>
      </c>
      <c r="EV94" s="632" t="s">
        <v>465</v>
      </c>
      <c r="EW94" s="632" t="s">
        <v>465</v>
      </c>
      <c r="EX94" s="632" t="s">
        <v>465</v>
      </c>
    </row>
    <row r="95" spans="3:154" customFormat="1" ht="62.1" customHeight="1" x14ac:dyDescent="0.25">
      <c r="C95" s="1156" t="s">
        <v>693</v>
      </c>
      <c r="D95" s="1156" t="s">
        <v>5278</v>
      </c>
      <c r="E95" s="1104" t="s">
        <v>332</v>
      </c>
      <c r="F95" s="1104" t="s">
        <v>417</v>
      </c>
      <c r="G95" s="1109" t="s">
        <v>2904</v>
      </c>
      <c r="H95" s="1109" t="s">
        <v>2905</v>
      </c>
      <c r="I95" s="1109"/>
      <c r="J95" s="1110">
        <v>2019</v>
      </c>
      <c r="K95" s="1105">
        <v>43922</v>
      </c>
      <c r="L95" s="1105">
        <v>44092</v>
      </c>
      <c r="M95" s="1369">
        <f t="shared" si="14"/>
        <v>170</v>
      </c>
      <c r="N95" s="1105"/>
      <c r="O95" s="1105"/>
      <c r="P95" s="1105"/>
      <c r="Q95" s="1105"/>
      <c r="R95" s="1105"/>
      <c r="S95" s="1105"/>
      <c r="T95" s="1105"/>
      <c r="U95" s="1105"/>
      <c r="V95" s="1105"/>
      <c r="W95" s="1105"/>
      <c r="X95" s="1105"/>
      <c r="Y95" s="1109" t="s">
        <v>2906</v>
      </c>
      <c r="Z95" s="1127" t="s">
        <v>2907</v>
      </c>
      <c r="AA95" s="1109" t="s">
        <v>2908</v>
      </c>
      <c r="AB95" s="1109" t="s">
        <v>2908</v>
      </c>
      <c r="AC95" s="1109" t="s">
        <v>2909</v>
      </c>
      <c r="AD95" s="1109" t="s">
        <v>2910</v>
      </c>
      <c r="AE95" s="1112">
        <v>0.94</v>
      </c>
      <c r="AF95" s="1113">
        <f t="shared" si="10"/>
        <v>0.94</v>
      </c>
      <c r="AG95" s="1113">
        <f t="shared" si="11"/>
        <v>0</v>
      </c>
      <c r="AH95" s="1112"/>
      <c r="AI95" s="1113"/>
      <c r="AJ95" s="1113"/>
      <c r="AK95" s="1112">
        <v>0.44</v>
      </c>
      <c r="AL95" s="1114">
        <v>0.46810000000000002</v>
      </c>
      <c r="AM95" s="1114">
        <v>5.0000000000000001E-4</v>
      </c>
      <c r="AN95" s="1112">
        <v>0.5</v>
      </c>
      <c r="AO95" s="1114">
        <v>0.53190000000000004</v>
      </c>
      <c r="AP95" s="1112"/>
      <c r="AQ95" s="1114"/>
      <c r="AR95" s="1112"/>
      <c r="AS95" s="1114"/>
      <c r="AT95" s="1114"/>
      <c r="AU95" s="1114"/>
      <c r="AV95" s="1114"/>
      <c r="AW95" s="1114" t="s">
        <v>504</v>
      </c>
      <c r="AX95" s="1114"/>
      <c r="AY95" s="1114"/>
      <c r="AZ95" s="1114"/>
      <c r="BA95" s="1113">
        <v>0.5</v>
      </c>
      <c r="BB95" s="1114">
        <v>5.0000000000000001E-4</v>
      </c>
      <c r="BC95" s="1115">
        <v>2</v>
      </c>
      <c r="BD95" s="1115">
        <v>1</v>
      </c>
      <c r="BE95" s="1116">
        <v>1</v>
      </c>
      <c r="BF95" s="1115"/>
      <c r="BG95" s="1115"/>
      <c r="BH95" s="1115"/>
      <c r="BI95" s="1115"/>
      <c r="BJ95" s="1115"/>
      <c r="BK95" s="1115"/>
      <c r="BL95" s="1115"/>
      <c r="BM95" s="1115"/>
      <c r="BN95" s="1115"/>
      <c r="BO95" s="1115"/>
      <c r="BP95" s="1115"/>
      <c r="BQ95" s="1115"/>
      <c r="BR95" s="1115">
        <v>1</v>
      </c>
      <c r="BS95" s="1115"/>
      <c r="BT95" s="1115"/>
      <c r="BU95" s="1115"/>
      <c r="BV95" s="1115"/>
      <c r="BW95" s="1115"/>
      <c r="BX95" s="1115"/>
      <c r="BY95" s="1115"/>
      <c r="BZ95" s="1115"/>
      <c r="CA95" s="1117">
        <f t="shared" si="15"/>
        <v>1</v>
      </c>
      <c r="CB95" s="1117">
        <f t="shared" si="12"/>
        <v>1</v>
      </c>
      <c r="CC95" s="1117">
        <f t="shared" si="13"/>
        <v>0</v>
      </c>
      <c r="CD95" s="1113">
        <v>0.5</v>
      </c>
      <c r="CE95" s="1109" t="s">
        <v>2911</v>
      </c>
      <c r="CF95" s="1109"/>
      <c r="CG95" s="1109">
        <v>2.76</v>
      </c>
      <c r="CH95" s="1113">
        <v>18.125</v>
      </c>
      <c r="CI95" s="1139" t="s">
        <v>2912</v>
      </c>
      <c r="CJ95" s="1109" t="s">
        <v>504</v>
      </c>
      <c r="CK95" s="1109"/>
      <c r="CL95" s="1109"/>
      <c r="CM95" s="1115"/>
      <c r="CN95" s="1115"/>
      <c r="CO95" s="1115">
        <v>2</v>
      </c>
      <c r="CP95" s="1109" t="s">
        <v>504</v>
      </c>
      <c r="CQ95" s="1109"/>
      <c r="CR95" s="1115"/>
      <c r="CS95" s="1109" t="s">
        <v>500</v>
      </c>
      <c r="CT95" s="1109" t="s">
        <v>2913</v>
      </c>
      <c r="CU95" s="1115">
        <v>50</v>
      </c>
      <c r="CV95" s="1115"/>
      <c r="CW95" s="1115"/>
      <c r="CX95" s="1115"/>
      <c r="CY95" s="1115"/>
      <c r="CZ95" s="1115"/>
      <c r="DA95" s="1115"/>
      <c r="DB95" s="1109"/>
      <c r="DC95" s="1109"/>
      <c r="DD95" s="1115"/>
      <c r="DE95" s="1109"/>
      <c r="DF95" s="1109"/>
      <c r="DG95" s="1115"/>
      <c r="DH95" s="1109"/>
      <c r="DI95" s="1109"/>
      <c r="DJ95" s="1115"/>
      <c r="DK95" s="1109"/>
      <c r="DL95" s="1109"/>
      <c r="DM95" s="1115"/>
      <c r="DN95" s="1109"/>
      <c r="DO95" s="1109"/>
      <c r="DP95" s="1115"/>
      <c r="DQ95" s="1109"/>
      <c r="DR95" s="1109"/>
      <c r="DS95" s="1115"/>
      <c r="DT95" s="1115"/>
      <c r="DU95" s="1115"/>
      <c r="DV95" s="1115"/>
      <c r="DW95" s="1109"/>
      <c r="DX95" s="1109"/>
      <c r="DY95" s="1115"/>
      <c r="DZ95" s="1109"/>
      <c r="EA95" s="1109"/>
      <c r="EB95" s="1115"/>
      <c r="EC95" s="1109"/>
      <c r="ED95" s="1109"/>
      <c r="EE95" s="1115"/>
      <c r="EF95" s="1115" t="s">
        <v>500</v>
      </c>
      <c r="EG95" s="1115" t="s">
        <v>2915</v>
      </c>
      <c r="EH95" s="1115" t="s">
        <v>2916</v>
      </c>
      <c r="EI95" s="1109"/>
      <c r="EJ95" s="1109"/>
      <c r="EK95" s="1115"/>
      <c r="EL95" s="1115"/>
      <c r="EM95" s="1115"/>
      <c r="EN95" s="1115"/>
      <c r="EO95" s="1109" t="s">
        <v>504</v>
      </c>
      <c r="EP95" s="1109" t="s">
        <v>465</v>
      </c>
      <c r="EQ95" s="1127" t="s">
        <v>2917</v>
      </c>
      <c r="ER95" s="1109"/>
      <c r="ES95" s="1109"/>
      <c r="ET95" s="1109" t="s">
        <v>2918</v>
      </c>
      <c r="EU95" s="1109" t="s">
        <v>465</v>
      </c>
      <c r="EV95" s="1109" t="s">
        <v>2919</v>
      </c>
      <c r="EW95" s="1109">
        <v>2</v>
      </c>
      <c r="EX95" s="1109">
        <v>70</v>
      </c>
    </row>
    <row r="96" spans="3:154" ht="68.099999999999994" customHeight="1" x14ac:dyDescent="0.2">
      <c r="C96" s="1156" t="s">
        <v>5481</v>
      </c>
      <c r="D96" s="1156" t="s">
        <v>5277</v>
      </c>
      <c r="E96" s="738" t="s">
        <v>333</v>
      </c>
      <c r="F96" s="738" t="s">
        <v>418</v>
      </c>
      <c r="G96" s="738"/>
      <c r="H96" s="632" t="s">
        <v>1477</v>
      </c>
      <c r="I96" s="632" t="s">
        <v>1478</v>
      </c>
      <c r="J96" s="637">
        <v>2019</v>
      </c>
      <c r="K96" s="377">
        <v>43839</v>
      </c>
      <c r="L96" s="377">
        <v>44196</v>
      </c>
      <c r="M96" s="1369">
        <f t="shared" si="14"/>
        <v>357</v>
      </c>
      <c r="N96" s="738" t="s">
        <v>1480</v>
      </c>
      <c r="O96" s="738" t="s">
        <v>1481</v>
      </c>
      <c r="P96" s="653" t="s">
        <v>1482</v>
      </c>
      <c r="Q96" s="632" t="s">
        <v>504</v>
      </c>
      <c r="R96" s="632"/>
      <c r="S96" s="632"/>
      <c r="T96" s="632"/>
      <c r="U96" s="632"/>
      <c r="V96" s="653"/>
      <c r="W96" s="738" t="s">
        <v>1483</v>
      </c>
      <c r="X96" s="653" t="s">
        <v>1484</v>
      </c>
      <c r="Y96" s="653"/>
      <c r="Z96" s="653"/>
      <c r="AA96" s="738" t="s">
        <v>1485</v>
      </c>
      <c r="AB96" s="738" t="s">
        <v>1485</v>
      </c>
      <c r="AC96" s="632" t="s">
        <v>519</v>
      </c>
      <c r="AD96" s="738" t="s">
        <v>1486</v>
      </c>
      <c r="AE96" s="702">
        <v>185.53100000000001</v>
      </c>
      <c r="AF96" s="671">
        <f t="shared" si="10"/>
        <v>185.53139999999999</v>
      </c>
      <c r="AG96" s="671">
        <f t="shared" si="11"/>
        <v>3.9999999998485691E-4</v>
      </c>
      <c r="AH96" s="702">
        <v>185.00139999999999</v>
      </c>
      <c r="AI96" s="683">
        <v>0.997</v>
      </c>
      <c r="AJ96" s="683">
        <v>4.1000000000000003E-3</v>
      </c>
      <c r="AK96" s="702">
        <v>0.53</v>
      </c>
      <c r="AL96" s="683">
        <v>3.0000000000000001E-3</v>
      </c>
      <c r="AM96" s="683"/>
      <c r="AN96" s="702">
        <v>0</v>
      </c>
      <c r="AO96" s="683">
        <v>0</v>
      </c>
      <c r="AP96" s="702">
        <v>0</v>
      </c>
      <c r="AQ96" s="683">
        <v>0</v>
      </c>
      <c r="AR96" s="702">
        <v>0</v>
      </c>
      <c r="AS96" s="683">
        <v>0</v>
      </c>
      <c r="AT96" s="632" t="s">
        <v>465</v>
      </c>
      <c r="AU96" s="632" t="s">
        <v>465</v>
      </c>
      <c r="AV96" s="632" t="s">
        <v>465</v>
      </c>
      <c r="AW96" s="632" t="s">
        <v>504</v>
      </c>
      <c r="AX96" s="632" t="s">
        <v>465</v>
      </c>
      <c r="AY96" s="632" t="s">
        <v>465</v>
      </c>
      <c r="AZ96" s="683" t="s">
        <v>465</v>
      </c>
      <c r="BA96" s="671">
        <v>213.09</v>
      </c>
      <c r="BB96" s="683">
        <v>5.0000000000000001E-3</v>
      </c>
      <c r="BC96" s="710">
        <v>213</v>
      </c>
      <c r="BD96" s="710">
        <v>142</v>
      </c>
      <c r="BE96" s="706">
        <v>142</v>
      </c>
      <c r="BF96" s="710" t="s">
        <v>465</v>
      </c>
      <c r="BG96" s="710">
        <v>142</v>
      </c>
      <c r="BH96" s="710" t="s">
        <v>465</v>
      </c>
      <c r="BI96" s="710" t="s">
        <v>465</v>
      </c>
      <c r="BJ96" s="710" t="s">
        <v>465</v>
      </c>
      <c r="BK96" s="710" t="s">
        <v>465</v>
      </c>
      <c r="BL96" s="710" t="s">
        <v>465</v>
      </c>
      <c r="BM96" s="710" t="s">
        <v>465</v>
      </c>
      <c r="BN96" s="710" t="s">
        <v>465</v>
      </c>
      <c r="BO96" s="710" t="s">
        <v>465</v>
      </c>
      <c r="BP96" s="710" t="s">
        <v>465</v>
      </c>
      <c r="BQ96" s="710" t="s">
        <v>465</v>
      </c>
      <c r="BR96" s="710" t="s">
        <v>465</v>
      </c>
      <c r="BS96" s="710" t="s">
        <v>465</v>
      </c>
      <c r="BT96" s="710" t="s">
        <v>465</v>
      </c>
      <c r="BU96" s="710" t="s">
        <v>465</v>
      </c>
      <c r="BV96" s="710" t="s">
        <v>465</v>
      </c>
      <c r="BW96" s="710" t="s">
        <v>465</v>
      </c>
      <c r="BX96" s="710" t="s">
        <v>465</v>
      </c>
      <c r="BY96" s="710" t="s">
        <v>465</v>
      </c>
      <c r="BZ96" s="710" t="s">
        <v>465</v>
      </c>
      <c r="CA96" s="717">
        <f t="shared" si="15"/>
        <v>142</v>
      </c>
      <c r="CB96" s="717">
        <f t="shared" si="12"/>
        <v>142</v>
      </c>
      <c r="CC96" s="717">
        <f t="shared" si="13"/>
        <v>0</v>
      </c>
      <c r="CD96" s="671">
        <v>163.398</v>
      </c>
      <c r="CE96" s="632" t="s">
        <v>1487</v>
      </c>
      <c r="CF96" s="632"/>
      <c r="CG96" s="683">
        <v>0.27389999999999998</v>
      </c>
      <c r="CH96" s="671">
        <v>596.50800000000004</v>
      </c>
      <c r="CI96" s="733" t="s">
        <v>1488</v>
      </c>
      <c r="CJ96" s="632" t="s">
        <v>504</v>
      </c>
      <c r="CK96" s="632" t="s">
        <v>465</v>
      </c>
      <c r="CL96" s="632" t="s">
        <v>465</v>
      </c>
      <c r="CM96" s="710" t="s">
        <v>465</v>
      </c>
      <c r="CN96" s="710" t="s">
        <v>465</v>
      </c>
      <c r="CO96" s="710">
        <v>4</v>
      </c>
      <c r="CP96" s="632" t="s">
        <v>500</v>
      </c>
      <c r="CQ96" s="632" t="s">
        <v>1489</v>
      </c>
      <c r="CR96" s="710">
        <v>13079</v>
      </c>
      <c r="CS96" s="632" t="s">
        <v>500</v>
      </c>
      <c r="CT96" s="632" t="s">
        <v>1490</v>
      </c>
      <c r="CU96" s="710">
        <v>34081</v>
      </c>
      <c r="CV96" s="710" t="s">
        <v>504</v>
      </c>
      <c r="CW96" s="710"/>
      <c r="CX96" s="710"/>
      <c r="CY96" s="710" t="s">
        <v>504</v>
      </c>
      <c r="CZ96" s="710"/>
      <c r="DA96" s="710"/>
      <c r="DB96" s="632" t="s">
        <v>504</v>
      </c>
      <c r="DC96" s="632"/>
      <c r="DD96" s="710"/>
      <c r="DE96" s="632" t="s">
        <v>504</v>
      </c>
      <c r="DF96" s="632"/>
      <c r="DG96" s="710"/>
      <c r="DH96" s="632" t="s">
        <v>504</v>
      </c>
      <c r="DI96" s="632"/>
      <c r="DJ96" s="710"/>
      <c r="DK96" s="632" t="s">
        <v>504</v>
      </c>
      <c r="DL96" s="632"/>
      <c r="DM96" s="710"/>
      <c r="DN96" s="632" t="s">
        <v>504</v>
      </c>
      <c r="DO96" s="632"/>
      <c r="DP96" s="710"/>
      <c r="DQ96" s="632" t="s">
        <v>500</v>
      </c>
      <c r="DR96" s="632"/>
      <c r="DS96" s="710">
        <v>34081</v>
      </c>
      <c r="DT96" s="710" t="s">
        <v>504</v>
      </c>
      <c r="DU96" s="710"/>
      <c r="DV96" s="710"/>
      <c r="DW96" s="632" t="s">
        <v>504</v>
      </c>
      <c r="DX96" s="632"/>
      <c r="DY96" s="710"/>
      <c r="DZ96" s="632" t="s">
        <v>504</v>
      </c>
      <c r="EA96" s="632"/>
      <c r="EB96" s="710"/>
      <c r="EC96" s="632" t="s">
        <v>504</v>
      </c>
      <c r="ED96" s="632"/>
      <c r="EE96" s="710"/>
      <c r="EF96" s="710" t="s">
        <v>504</v>
      </c>
      <c r="EG96" s="710"/>
      <c r="EH96" s="710"/>
      <c r="EI96" s="632" t="s">
        <v>504</v>
      </c>
      <c r="EJ96" s="632"/>
      <c r="EK96" s="710"/>
      <c r="EL96" s="688">
        <v>1</v>
      </c>
      <c r="EM96" s="632" t="s">
        <v>465</v>
      </c>
      <c r="EN96" s="670">
        <v>142</v>
      </c>
      <c r="EO96" s="632" t="s">
        <v>504</v>
      </c>
      <c r="EP96" s="632" t="s">
        <v>465</v>
      </c>
      <c r="EQ96" s="653" t="s">
        <v>1491</v>
      </c>
      <c r="ER96" s="632" t="s">
        <v>1492</v>
      </c>
      <c r="ES96" s="653" t="s">
        <v>1493</v>
      </c>
      <c r="ET96" s="1198" t="s">
        <v>2567</v>
      </c>
      <c r="EU96" s="653" t="s">
        <v>2569</v>
      </c>
      <c r="EV96" s="632" t="s">
        <v>1494</v>
      </c>
      <c r="EW96" s="632">
        <v>5</v>
      </c>
      <c r="EX96" s="632" t="s">
        <v>1495</v>
      </c>
    </row>
    <row r="97" spans="3:154" ht="77.099999999999994" customHeight="1" x14ac:dyDescent="0.2">
      <c r="C97" s="1156" t="s">
        <v>5478</v>
      </c>
      <c r="D97" s="1156" t="s">
        <v>5277</v>
      </c>
      <c r="E97" s="738" t="s">
        <v>333</v>
      </c>
      <c r="F97" s="738" t="s">
        <v>418</v>
      </c>
      <c r="G97" s="738"/>
      <c r="H97" s="632" t="s">
        <v>1507</v>
      </c>
      <c r="I97" s="632"/>
      <c r="J97" s="637">
        <v>2020</v>
      </c>
      <c r="K97" s="377">
        <v>43466</v>
      </c>
      <c r="L97" s="377">
        <v>44196</v>
      </c>
      <c r="M97" s="1369">
        <f t="shared" si="14"/>
        <v>730</v>
      </c>
      <c r="N97" s="632" t="s">
        <v>1496</v>
      </c>
      <c r="O97" s="632" t="s">
        <v>1497</v>
      </c>
      <c r="P97" s="632" t="s">
        <v>1498</v>
      </c>
      <c r="Q97" s="738" t="s">
        <v>1499</v>
      </c>
      <c r="R97" s="632"/>
      <c r="S97" s="632"/>
      <c r="T97" s="632"/>
      <c r="U97" s="632"/>
      <c r="V97" s="632"/>
      <c r="W97" s="632"/>
      <c r="X97" s="632"/>
      <c r="Y97" s="632"/>
      <c r="Z97" s="632"/>
      <c r="AA97" s="738" t="s">
        <v>1500</v>
      </c>
      <c r="AB97" s="738" t="s">
        <v>1501</v>
      </c>
      <c r="AC97" s="738" t="s">
        <v>671</v>
      </c>
      <c r="AD97" s="738" t="s">
        <v>1502</v>
      </c>
      <c r="AE97" s="702">
        <v>19.899999999999999</v>
      </c>
      <c r="AF97" s="671">
        <f t="shared" si="10"/>
        <v>19.899999999999999</v>
      </c>
      <c r="AG97" s="671">
        <f t="shared" si="11"/>
        <v>0</v>
      </c>
      <c r="AH97" s="702">
        <v>4.2</v>
      </c>
      <c r="AI97" s="683">
        <v>0.21099999999999999</v>
      </c>
      <c r="AJ97" s="683">
        <f>AH97/45029.5</f>
        <v>9.3272188232158915E-5</v>
      </c>
      <c r="AK97" s="702">
        <v>4.2</v>
      </c>
      <c r="AL97" s="683">
        <v>0.21099999999999999</v>
      </c>
      <c r="AM97" s="683"/>
      <c r="AN97" s="702">
        <v>1.8</v>
      </c>
      <c r="AO97" s="683">
        <v>0.09</v>
      </c>
      <c r="AP97" s="702"/>
      <c r="AQ97" s="683"/>
      <c r="AR97" s="702">
        <v>9.6999999999999993</v>
      </c>
      <c r="AS97" s="683">
        <v>0.48799999999999999</v>
      </c>
      <c r="AT97" s="632" t="s">
        <v>1503</v>
      </c>
      <c r="AU97" s="738" t="s">
        <v>1504</v>
      </c>
      <c r="AV97" s="738" t="s">
        <v>1501</v>
      </c>
      <c r="AW97" s="697">
        <v>0</v>
      </c>
      <c r="AX97" s="632">
        <v>0</v>
      </c>
      <c r="AY97" s="632">
        <v>0</v>
      </c>
      <c r="AZ97" s="683">
        <v>0</v>
      </c>
      <c r="BA97" s="706">
        <v>24.745000000000001</v>
      </c>
      <c r="BB97" s="683">
        <f>BA97/42155.1</f>
        <v>5.8699896335200248E-4</v>
      </c>
      <c r="BC97" s="710">
        <v>53</v>
      </c>
      <c r="BD97" s="710">
        <v>53</v>
      </c>
      <c r="BE97" s="706">
        <v>53</v>
      </c>
      <c r="BF97" s="710">
        <v>0</v>
      </c>
      <c r="BG97" s="710">
        <v>4</v>
      </c>
      <c r="BH97" s="710">
        <v>5</v>
      </c>
      <c r="BI97" s="710">
        <v>0</v>
      </c>
      <c r="BJ97" s="710">
        <v>0</v>
      </c>
      <c r="BK97" s="710">
        <v>0</v>
      </c>
      <c r="BL97" s="710">
        <v>0</v>
      </c>
      <c r="BM97" s="710">
        <v>0</v>
      </c>
      <c r="BN97" s="710">
        <v>14</v>
      </c>
      <c r="BO97" s="710">
        <v>0</v>
      </c>
      <c r="BP97" s="710">
        <v>11</v>
      </c>
      <c r="BQ97" s="710">
        <v>12</v>
      </c>
      <c r="BR97" s="710">
        <v>0</v>
      </c>
      <c r="BS97" s="710">
        <v>7</v>
      </c>
      <c r="BT97" s="710">
        <v>0</v>
      </c>
      <c r="BU97" s="710">
        <v>0</v>
      </c>
      <c r="BV97" s="710">
        <v>0</v>
      </c>
      <c r="BW97" s="710">
        <v>0</v>
      </c>
      <c r="BX97" s="710">
        <v>0</v>
      </c>
      <c r="BY97" s="710">
        <v>0</v>
      </c>
      <c r="BZ97" s="710"/>
      <c r="CA97" s="717">
        <f t="shared" si="15"/>
        <v>53</v>
      </c>
      <c r="CB97" s="717">
        <f t="shared" si="12"/>
        <v>53</v>
      </c>
      <c r="CC97" s="717">
        <f t="shared" si="13"/>
        <v>0</v>
      </c>
      <c r="CD97" s="671">
        <v>16.8</v>
      </c>
      <c r="CE97" s="738" t="s">
        <v>1505</v>
      </c>
      <c r="CF97" s="632"/>
      <c r="CG97" s="683">
        <v>2.8199999999999999E-2</v>
      </c>
      <c r="CH97" s="671">
        <v>596.50800000000004</v>
      </c>
      <c r="CI97" s="1203" t="s">
        <v>1488</v>
      </c>
      <c r="CJ97" s="632" t="s">
        <v>504</v>
      </c>
      <c r="CK97" s="632" t="s">
        <v>504</v>
      </c>
      <c r="CL97" s="632" t="s">
        <v>504</v>
      </c>
      <c r="CM97" s="632" t="s">
        <v>504</v>
      </c>
      <c r="CN97" s="632" t="s">
        <v>504</v>
      </c>
      <c r="CO97" s="632" t="s">
        <v>504</v>
      </c>
      <c r="CP97" s="632" t="s">
        <v>504</v>
      </c>
      <c r="CQ97" s="632"/>
      <c r="CR97" s="710"/>
      <c r="CS97" s="632" t="s">
        <v>504</v>
      </c>
      <c r="CT97" s="632"/>
      <c r="CU97" s="710"/>
      <c r="CV97" s="710" t="s">
        <v>504</v>
      </c>
      <c r="CW97" s="710"/>
      <c r="CX97" s="710"/>
      <c r="CY97" s="710" t="s">
        <v>504</v>
      </c>
      <c r="CZ97" s="710"/>
      <c r="DA97" s="710"/>
      <c r="DB97" s="632" t="s">
        <v>504</v>
      </c>
      <c r="DC97" s="632"/>
      <c r="DD97" s="710"/>
      <c r="DE97" s="632" t="s">
        <v>504</v>
      </c>
      <c r="DF97" s="632"/>
      <c r="DG97" s="710"/>
      <c r="DH97" s="632" t="s">
        <v>504</v>
      </c>
      <c r="DI97" s="632"/>
      <c r="DJ97" s="710"/>
      <c r="DK97" s="632" t="s">
        <v>500</v>
      </c>
      <c r="DL97" s="632"/>
      <c r="DM97" s="710">
        <v>9.1</v>
      </c>
      <c r="DN97" s="632" t="s">
        <v>504</v>
      </c>
      <c r="DO97" s="632"/>
      <c r="DP97" s="710"/>
      <c r="DQ97" s="632" t="s">
        <v>504</v>
      </c>
      <c r="DR97" s="632"/>
      <c r="DS97" s="710"/>
      <c r="DT97" s="632" t="s">
        <v>500</v>
      </c>
      <c r="DU97" s="632" t="s">
        <v>935</v>
      </c>
      <c r="DV97" s="710">
        <v>9.1</v>
      </c>
      <c r="DW97" s="632" t="s">
        <v>504</v>
      </c>
      <c r="DX97" s="632"/>
      <c r="DY97" s="710"/>
      <c r="DZ97" s="632" t="s">
        <v>504</v>
      </c>
      <c r="EA97" s="632"/>
      <c r="EB97" s="710"/>
      <c r="EC97" s="632" t="s">
        <v>504</v>
      </c>
      <c r="ED97" s="632"/>
      <c r="EE97" s="710"/>
      <c r="EF97" s="710" t="s">
        <v>504</v>
      </c>
      <c r="EG97" s="710"/>
      <c r="EH97" s="710"/>
      <c r="EI97" s="632"/>
      <c r="EJ97" s="632"/>
      <c r="EK97" s="710"/>
      <c r="EL97" s="632" t="s">
        <v>1506</v>
      </c>
      <c r="EM97" s="632"/>
      <c r="EN97" s="670">
        <v>39</v>
      </c>
      <c r="EO97" s="632" t="s">
        <v>504</v>
      </c>
      <c r="EP97" s="632" t="s">
        <v>504</v>
      </c>
      <c r="EQ97" s="632" t="s">
        <v>504</v>
      </c>
      <c r="ER97" s="632" t="s">
        <v>504</v>
      </c>
      <c r="ES97" s="632" t="s">
        <v>504</v>
      </c>
      <c r="ET97" s="632" t="s">
        <v>504</v>
      </c>
      <c r="EU97" s="632" t="s">
        <v>504</v>
      </c>
      <c r="EV97" s="632" t="s">
        <v>504</v>
      </c>
      <c r="EW97" s="632" t="s">
        <v>504</v>
      </c>
      <c r="EX97" s="632" t="s">
        <v>504</v>
      </c>
    </row>
    <row r="98" spans="3:154" ht="78.95" customHeight="1" x14ac:dyDescent="0.2">
      <c r="C98" s="1156" t="s">
        <v>5478</v>
      </c>
      <c r="D98" s="1156" t="s">
        <v>5277</v>
      </c>
      <c r="E98" s="738" t="s">
        <v>333</v>
      </c>
      <c r="F98" s="738" t="s">
        <v>418</v>
      </c>
      <c r="G98" s="738"/>
      <c r="H98" s="632" t="s">
        <v>1508</v>
      </c>
      <c r="I98" s="632"/>
      <c r="J98" s="637">
        <v>2020</v>
      </c>
      <c r="K98" s="377">
        <v>43466</v>
      </c>
      <c r="L98" s="377">
        <v>44196</v>
      </c>
      <c r="M98" s="1369">
        <f t="shared" si="14"/>
        <v>730</v>
      </c>
      <c r="N98" s="632" t="s">
        <v>1496</v>
      </c>
      <c r="O98" s="632" t="s">
        <v>1497</v>
      </c>
      <c r="P98" s="632" t="s">
        <v>1498</v>
      </c>
      <c r="Q98" s="738" t="s">
        <v>1499</v>
      </c>
      <c r="R98" s="632"/>
      <c r="S98" s="632"/>
      <c r="T98" s="632"/>
      <c r="U98" s="632"/>
      <c r="V98" s="632"/>
      <c r="W98" s="632"/>
      <c r="X98" s="632"/>
      <c r="Y98" s="632"/>
      <c r="Z98" s="632"/>
      <c r="AA98" s="738" t="s">
        <v>1500</v>
      </c>
      <c r="AB98" s="738" t="s">
        <v>1501</v>
      </c>
      <c r="AC98" s="738" t="s">
        <v>671</v>
      </c>
      <c r="AD98" s="738" t="s">
        <v>1502</v>
      </c>
      <c r="AE98" s="702">
        <v>324.39999999999998</v>
      </c>
      <c r="AF98" s="671">
        <f t="shared" si="10"/>
        <v>324.39999999999998</v>
      </c>
      <c r="AG98" s="671">
        <f t="shared" si="11"/>
        <v>0</v>
      </c>
      <c r="AH98" s="702">
        <v>82.1</v>
      </c>
      <c r="AI98" s="683">
        <v>0.253</v>
      </c>
      <c r="AJ98" s="683">
        <f>AE98/45029.489</f>
        <v>7.2041679176061708E-3</v>
      </c>
      <c r="AK98" s="702">
        <v>9.1</v>
      </c>
      <c r="AL98" s="683">
        <v>2.8000000000000001E-2</v>
      </c>
      <c r="AM98" s="683"/>
      <c r="AN98" s="702"/>
      <c r="AO98" s="683"/>
      <c r="AP98" s="702">
        <v>10.1</v>
      </c>
      <c r="AQ98" s="683">
        <v>3.1E-2</v>
      </c>
      <c r="AR98" s="702">
        <v>223.1</v>
      </c>
      <c r="AS98" s="683">
        <v>0.68799999999999994</v>
      </c>
      <c r="AT98" s="632" t="s">
        <v>1503</v>
      </c>
      <c r="AU98" s="738" t="s">
        <v>1504</v>
      </c>
      <c r="AV98" s="738" t="s">
        <v>1501</v>
      </c>
      <c r="AW98" s="697" t="s">
        <v>504</v>
      </c>
      <c r="AX98" s="632">
        <v>0</v>
      </c>
      <c r="AY98" s="632">
        <v>0</v>
      </c>
      <c r="AZ98" s="683">
        <v>0</v>
      </c>
      <c r="BA98" s="706">
        <v>56.895600000000002</v>
      </c>
      <c r="BB98" s="683">
        <v>1.2999999999999999E-3</v>
      </c>
      <c r="BC98" s="710">
        <v>5</v>
      </c>
      <c r="BD98" s="710">
        <v>5</v>
      </c>
      <c r="BE98" s="706">
        <v>2</v>
      </c>
      <c r="BF98" s="710">
        <v>2</v>
      </c>
      <c r="BG98" s="710">
        <v>0</v>
      </c>
      <c r="BH98" s="710">
        <v>0</v>
      </c>
      <c r="BI98" s="710">
        <v>0</v>
      </c>
      <c r="BJ98" s="710">
        <v>0</v>
      </c>
      <c r="BK98" s="710">
        <v>0</v>
      </c>
      <c r="BL98" s="710">
        <v>4</v>
      </c>
      <c r="BM98" s="710">
        <v>0</v>
      </c>
      <c r="BN98" s="710">
        <v>1</v>
      </c>
      <c r="BO98" s="710">
        <v>0</v>
      </c>
      <c r="BP98" s="710">
        <v>0</v>
      </c>
      <c r="BQ98" s="710">
        <v>0</v>
      </c>
      <c r="BR98" s="710">
        <v>0</v>
      </c>
      <c r="BS98" s="710">
        <v>0</v>
      </c>
      <c r="BT98" s="710">
        <v>0</v>
      </c>
      <c r="BU98" s="710">
        <v>0</v>
      </c>
      <c r="BV98" s="710">
        <v>0</v>
      </c>
      <c r="BW98" s="710">
        <v>0</v>
      </c>
      <c r="BX98" s="710">
        <v>0</v>
      </c>
      <c r="BY98" s="710">
        <v>0</v>
      </c>
      <c r="BZ98" s="710"/>
      <c r="CA98" s="717">
        <f t="shared" si="15"/>
        <v>7</v>
      </c>
      <c r="CB98" s="717">
        <f t="shared" si="12"/>
        <v>7</v>
      </c>
      <c r="CC98" s="717">
        <f t="shared" si="13"/>
        <v>0</v>
      </c>
      <c r="CD98" s="671">
        <v>17.959</v>
      </c>
      <c r="CE98" s="738" t="s">
        <v>1505</v>
      </c>
      <c r="CF98" s="632"/>
      <c r="CG98" s="683">
        <v>3.0099999999999998E-2</v>
      </c>
      <c r="CH98" s="671">
        <v>596.50800000000004</v>
      </c>
      <c r="CI98" s="1203" t="s">
        <v>1488</v>
      </c>
      <c r="CJ98" s="632" t="s">
        <v>504</v>
      </c>
      <c r="CK98" s="632" t="s">
        <v>504</v>
      </c>
      <c r="CL98" s="632" t="s">
        <v>504</v>
      </c>
      <c r="CM98" s="632" t="s">
        <v>504</v>
      </c>
      <c r="CN98" s="632" t="s">
        <v>504</v>
      </c>
      <c r="CO98" s="632" t="s">
        <v>504</v>
      </c>
      <c r="CP98" s="632" t="s">
        <v>504</v>
      </c>
      <c r="CQ98" s="632"/>
      <c r="CR98" s="710"/>
      <c r="CS98" s="632" t="s">
        <v>504</v>
      </c>
      <c r="CT98" s="632"/>
      <c r="CU98" s="710"/>
      <c r="CV98" s="710" t="s">
        <v>504</v>
      </c>
      <c r="CW98" s="710"/>
      <c r="CX98" s="710"/>
      <c r="CY98" s="710" t="s">
        <v>504</v>
      </c>
      <c r="CZ98" s="710"/>
      <c r="DA98" s="710"/>
      <c r="DB98" s="632" t="s">
        <v>504</v>
      </c>
      <c r="DC98" s="632"/>
      <c r="DD98" s="710"/>
      <c r="DE98" s="632" t="s">
        <v>504</v>
      </c>
      <c r="DF98" s="632"/>
      <c r="DG98" s="710"/>
      <c r="DH98" s="632" t="s">
        <v>504</v>
      </c>
      <c r="DI98" s="632"/>
      <c r="DJ98" s="710"/>
      <c r="DK98" s="632" t="s">
        <v>500</v>
      </c>
      <c r="DL98" s="632"/>
      <c r="DM98" s="710" t="s">
        <v>1664</v>
      </c>
      <c r="DN98" s="632" t="s">
        <v>504</v>
      </c>
      <c r="DO98" s="632"/>
      <c r="DP98" s="710"/>
      <c r="DQ98" s="632" t="s">
        <v>504</v>
      </c>
      <c r="DR98" s="632"/>
      <c r="DS98" s="710"/>
      <c r="DT98" s="710" t="s">
        <v>500</v>
      </c>
      <c r="DU98" s="710" t="s">
        <v>935</v>
      </c>
      <c r="DV98" s="710" t="s">
        <v>1664</v>
      </c>
      <c r="DW98" s="632" t="s">
        <v>504</v>
      </c>
      <c r="DX98" s="632"/>
      <c r="DY98" s="710"/>
      <c r="DZ98" s="632" t="s">
        <v>504</v>
      </c>
      <c r="EA98" s="632"/>
      <c r="EB98" s="710"/>
      <c r="EC98" s="632" t="s">
        <v>504</v>
      </c>
      <c r="ED98" s="632"/>
      <c r="EE98" s="710"/>
      <c r="EF98" s="710" t="s">
        <v>504</v>
      </c>
      <c r="EG98" s="710"/>
      <c r="EH98" s="710"/>
      <c r="EI98" s="632"/>
      <c r="EJ98" s="632"/>
      <c r="EK98" s="710"/>
      <c r="EL98" s="632" t="s">
        <v>1510</v>
      </c>
      <c r="EM98" s="632" t="s">
        <v>1511</v>
      </c>
      <c r="EN98" s="670">
        <v>2</v>
      </c>
      <c r="EO98" s="632" t="s">
        <v>504</v>
      </c>
      <c r="EP98" s="632" t="s">
        <v>504</v>
      </c>
      <c r="EQ98" s="632" t="s">
        <v>1512</v>
      </c>
      <c r="ER98" s="632" t="s">
        <v>504</v>
      </c>
      <c r="ES98" s="632" t="s">
        <v>504</v>
      </c>
      <c r="ET98" s="728" t="s">
        <v>1513</v>
      </c>
      <c r="EU98" s="632" t="s">
        <v>504</v>
      </c>
      <c r="EV98" s="632" t="s">
        <v>1514</v>
      </c>
      <c r="EW98" s="632">
        <v>4</v>
      </c>
      <c r="EX98" s="632">
        <v>300</v>
      </c>
    </row>
    <row r="99" spans="3:154" ht="72.95" customHeight="1" x14ac:dyDescent="0.2">
      <c r="C99" s="1156" t="s">
        <v>693</v>
      </c>
      <c r="D99" s="1156" t="s">
        <v>5277</v>
      </c>
      <c r="E99" s="738" t="s">
        <v>333</v>
      </c>
      <c r="F99" s="738" t="s">
        <v>418</v>
      </c>
      <c r="G99" s="738"/>
      <c r="H99" s="632" t="s">
        <v>1515</v>
      </c>
      <c r="I99" s="632" t="s">
        <v>1316</v>
      </c>
      <c r="J99" s="637">
        <v>2019</v>
      </c>
      <c r="K99" s="377">
        <v>43631</v>
      </c>
      <c r="L99" s="377">
        <v>44190</v>
      </c>
      <c r="M99" s="1369">
        <f t="shared" si="14"/>
        <v>559</v>
      </c>
      <c r="N99" s="632" t="s">
        <v>1516</v>
      </c>
      <c r="O99" s="632" t="s">
        <v>1517</v>
      </c>
      <c r="P99" s="653" t="s">
        <v>1518</v>
      </c>
      <c r="Q99" s="632"/>
      <c r="R99" s="632"/>
      <c r="S99" s="632"/>
      <c r="T99" s="632"/>
      <c r="U99" s="632" t="s">
        <v>1519</v>
      </c>
      <c r="V99" s="653" t="s">
        <v>1520</v>
      </c>
      <c r="W99" s="738" t="s">
        <v>1483</v>
      </c>
      <c r="X99" s="653" t="s">
        <v>1484</v>
      </c>
      <c r="Y99" s="653"/>
      <c r="Z99" s="653"/>
      <c r="AA99" s="632" t="s">
        <v>1521</v>
      </c>
      <c r="AB99" s="632" t="s">
        <v>1521</v>
      </c>
      <c r="AC99" s="632" t="s">
        <v>790</v>
      </c>
      <c r="AD99" s="632" t="s">
        <v>1522</v>
      </c>
      <c r="AE99" s="702">
        <v>12.52</v>
      </c>
      <c r="AF99" s="671">
        <f t="shared" si="10"/>
        <v>12.52</v>
      </c>
      <c r="AG99" s="671">
        <f t="shared" si="11"/>
        <v>0</v>
      </c>
      <c r="AH99" s="702">
        <v>5</v>
      </c>
      <c r="AI99" s="683">
        <v>0.39900000000000002</v>
      </c>
      <c r="AJ99" s="683">
        <v>1E-4</v>
      </c>
      <c r="AK99" s="702">
        <v>7.52</v>
      </c>
      <c r="AL99" s="683">
        <v>0.60099999999999998</v>
      </c>
      <c r="AM99" s="683"/>
      <c r="AN99" s="702">
        <v>0</v>
      </c>
      <c r="AO99" s="683">
        <v>0</v>
      </c>
      <c r="AP99" s="702">
        <v>0</v>
      </c>
      <c r="AQ99" s="683">
        <v>0</v>
      </c>
      <c r="AR99" s="702">
        <v>0</v>
      </c>
      <c r="AS99" s="683">
        <v>0</v>
      </c>
      <c r="AT99" s="632" t="s">
        <v>465</v>
      </c>
      <c r="AU99" s="632" t="s">
        <v>465</v>
      </c>
      <c r="AV99" s="632" t="s">
        <v>465</v>
      </c>
      <c r="AW99" s="632" t="s">
        <v>504</v>
      </c>
      <c r="AX99" s="632" t="s">
        <v>465</v>
      </c>
      <c r="AY99" s="632">
        <v>0</v>
      </c>
      <c r="AZ99" s="683">
        <v>0</v>
      </c>
      <c r="BA99" s="671">
        <v>8</v>
      </c>
      <c r="BB99" s="683">
        <v>1.9000000000000001E-4</v>
      </c>
      <c r="BC99" s="710">
        <v>95</v>
      </c>
      <c r="BD99" s="710">
        <v>41</v>
      </c>
      <c r="BE99" s="706">
        <v>9</v>
      </c>
      <c r="BF99" s="710" t="s">
        <v>465</v>
      </c>
      <c r="BG99" s="710">
        <v>2</v>
      </c>
      <c r="BH99" s="710">
        <v>1</v>
      </c>
      <c r="BI99" s="710" t="s">
        <v>465</v>
      </c>
      <c r="BJ99" s="710" t="s">
        <v>465</v>
      </c>
      <c r="BK99" s="710" t="s">
        <v>465</v>
      </c>
      <c r="BL99" s="710" t="s">
        <v>465</v>
      </c>
      <c r="BM99" s="710" t="s">
        <v>465</v>
      </c>
      <c r="BN99" s="710">
        <v>1</v>
      </c>
      <c r="BO99" s="710" t="s">
        <v>465</v>
      </c>
      <c r="BP99" s="710" t="s">
        <v>465</v>
      </c>
      <c r="BQ99" s="710">
        <v>5</v>
      </c>
      <c r="BR99" s="710" t="s">
        <v>465</v>
      </c>
      <c r="BS99" s="710" t="s">
        <v>465</v>
      </c>
      <c r="BT99" s="710" t="s">
        <v>465</v>
      </c>
      <c r="BU99" s="710" t="s">
        <v>465</v>
      </c>
      <c r="BV99" s="710" t="s">
        <v>465</v>
      </c>
      <c r="BW99" s="710" t="s">
        <v>465</v>
      </c>
      <c r="BX99" s="710" t="s">
        <v>465</v>
      </c>
      <c r="BY99" s="710" t="s">
        <v>465</v>
      </c>
      <c r="BZ99" s="710" t="s">
        <v>465</v>
      </c>
      <c r="CA99" s="717">
        <f t="shared" si="15"/>
        <v>9</v>
      </c>
      <c r="CB99" s="717">
        <f t="shared" si="12"/>
        <v>9</v>
      </c>
      <c r="CC99" s="717">
        <f t="shared" si="13"/>
        <v>0</v>
      </c>
      <c r="CD99" s="671">
        <v>21.616</v>
      </c>
      <c r="CE99" s="632" t="s">
        <v>1523</v>
      </c>
      <c r="CF99" s="653" t="s">
        <v>1518</v>
      </c>
      <c r="CG99" s="683">
        <v>3.6200000000000003E-2</v>
      </c>
      <c r="CH99" s="671">
        <v>596.50800000000004</v>
      </c>
      <c r="CI99" s="733" t="s">
        <v>1488</v>
      </c>
      <c r="CJ99" s="632" t="s">
        <v>500</v>
      </c>
      <c r="CK99" s="632" t="s">
        <v>1524</v>
      </c>
      <c r="CL99" s="738" t="s">
        <v>1525</v>
      </c>
      <c r="CM99" s="710">
        <v>5</v>
      </c>
      <c r="CN99" s="710">
        <v>0</v>
      </c>
      <c r="CO99" s="710" t="s">
        <v>465</v>
      </c>
      <c r="CP99" s="632" t="s">
        <v>500</v>
      </c>
      <c r="CQ99" s="632" t="s">
        <v>1526</v>
      </c>
      <c r="CR99" s="710">
        <v>150</v>
      </c>
      <c r="CS99" s="632" t="s">
        <v>500</v>
      </c>
      <c r="CT99" s="653" t="s">
        <v>1527</v>
      </c>
      <c r="CU99" s="710">
        <v>560</v>
      </c>
      <c r="CV99" s="710" t="s">
        <v>504</v>
      </c>
      <c r="CW99" s="738" t="s">
        <v>465</v>
      </c>
      <c r="CX99" s="710" t="s">
        <v>465</v>
      </c>
      <c r="CY99" s="710" t="s">
        <v>504</v>
      </c>
      <c r="CZ99" s="710" t="s">
        <v>465</v>
      </c>
      <c r="DA99" s="710" t="s">
        <v>465</v>
      </c>
      <c r="DB99" s="632" t="s">
        <v>500</v>
      </c>
      <c r="DC99" s="738" t="s">
        <v>1527</v>
      </c>
      <c r="DD99" s="710">
        <v>95</v>
      </c>
      <c r="DE99" s="632" t="s">
        <v>500</v>
      </c>
      <c r="DF99" s="632" t="s">
        <v>1528</v>
      </c>
      <c r="DG99" s="710">
        <v>0</v>
      </c>
      <c r="DH99" s="632" t="s">
        <v>504</v>
      </c>
      <c r="DI99" s="632" t="s">
        <v>465</v>
      </c>
      <c r="DJ99" s="710" t="s">
        <v>465</v>
      </c>
      <c r="DK99" s="632" t="s">
        <v>504</v>
      </c>
      <c r="DL99" s="632" t="s">
        <v>465</v>
      </c>
      <c r="DM99" s="710" t="s">
        <v>465</v>
      </c>
      <c r="DN99" s="632" t="s">
        <v>504</v>
      </c>
      <c r="DO99" s="632" t="s">
        <v>465</v>
      </c>
      <c r="DP99" s="710" t="s">
        <v>465</v>
      </c>
      <c r="DQ99" s="632" t="s">
        <v>504</v>
      </c>
      <c r="DR99" s="632" t="s">
        <v>465</v>
      </c>
      <c r="DS99" s="710" t="s">
        <v>465</v>
      </c>
      <c r="DT99" s="710" t="s">
        <v>504</v>
      </c>
      <c r="DU99" s="710" t="s">
        <v>465</v>
      </c>
      <c r="DV99" s="710" t="s">
        <v>465</v>
      </c>
      <c r="DW99" s="632" t="s">
        <v>504</v>
      </c>
      <c r="DX99" s="632" t="s">
        <v>465</v>
      </c>
      <c r="DY99" s="710" t="s">
        <v>465</v>
      </c>
      <c r="DZ99" s="632" t="s">
        <v>500</v>
      </c>
      <c r="EA99" s="632" t="s">
        <v>1529</v>
      </c>
      <c r="EB99" s="710">
        <v>95</v>
      </c>
      <c r="EC99" s="632" t="s">
        <v>504</v>
      </c>
      <c r="ED99" s="632" t="s">
        <v>465</v>
      </c>
      <c r="EE99" s="710" t="s">
        <v>465</v>
      </c>
      <c r="EF99" s="710" t="s">
        <v>504</v>
      </c>
      <c r="EG99" s="710" t="s">
        <v>465</v>
      </c>
      <c r="EH99" s="710" t="s">
        <v>465</v>
      </c>
      <c r="EI99" s="632" t="s">
        <v>504</v>
      </c>
      <c r="EJ99" s="632" t="s">
        <v>465</v>
      </c>
      <c r="EK99" s="710" t="s">
        <v>465</v>
      </c>
      <c r="EL99" s="637">
        <v>120</v>
      </c>
      <c r="EM99" s="632"/>
      <c r="EN99" s="670">
        <v>14</v>
      </c>
      <c r="EO99" s="632" t="s">
        <v>504</v>
      </c>
      <c r="EP99" s="632" t="s">
        <v>465</v>
      </c>
      <c r="EQ99" s="632" t="s">
        <v>1530</v>
      </c>
      <c r="ER99" s="653" t="s">
        <v>1531</v>
      </c>
      <c r="ES99" s="653" t="s">
        <v>1532</v>
      </c>
      <c r="ET99" s="632" t="s">
        <v>1533</v>
      </c>
      <c r="EU99" s="632" t="s">
        <v>1534</v>
      </c>
      <c r="EV99" s="738" t="s">
        <v>1535</v>
      </c>
      <c r="EW99" s="632">
        <v>2</v>
      </c>
      <c r="EX99" s="632">
        <v>31</v>
      </c>
    </row>
    <row r="100" spans="3:154" ht="72" customHeight="1" x14ac:dyDescent="0.2">
      <c r="C100" s="1156" t="s">
        <v>693</v>
      </c>
      <c r="D100" s="1156" t="s">
        <v>5277</v>
      </c>
      <c r="E100" s="738" t="s">
        <v>333</v>
      </c>
      <c r="F100" s="738" t="s">
        <v>418</v>
      </c>
      <c r="G100" s="738"/>
      <c r="H100" s="632" t="s">
        <v>1536</v>
      </c>
      <c r="I100" s="632" t="s">
        <v>1537</v>
      </c>
      <c r="J100" s="637">
        <v>2018</v>
      </c>
      <c r="K100" s="377">
        <v>43684</v>
      </c>
      <c r="L100" s="377">
        <v>44190</v>
      </c>
      <c r="M100" s="1369">
        <f t="shared" si="14"/>
        <v>506</v>
      </c>
      <c r="N100" s="632" t="s">
        <v>1538</v>
      </c>
      <c r="O100" s="632" t="s">
        <v>1539</v>
      </c>
      <c r="P100" s="653" t="s">
        <v>1540</v>
      </c>
      <c r="Q100" s="632" t="s">
        <v>465</v>
      </c>
      <c r="R100" s="632" t="s">
        <v>465</v>
      </c>
      <c r="S100" s="632" t="s">
        <v>465</v>
      </c>
      <c r="T100" s="632" t="s">
        <v>465</v>
      </c>
      <c r="U100" s="632" t="s">
        <v>1541</v>
      </c>
      <c r="V100" s="653" t="s">
        <v>1520</v>
      </c>
      <c r="W100" s="632" t="s">
        <v>1483</v>
      </c>
      <c r="X100" s="653" t="s">
        <v>1542</v>
      </c>
      <c r="Y100" s="653"/>
      <c r="Z100" s="653"/>
      <c r="AA100" s="632" t="s">
        <v>1543</v>
      </c>
      <c r="AB100" s="632" t="s">
        <v>1543</v>
      </c>
      <c r="AC100" s="632" t="s">
        <v>1544</v>
      </c>
      <c r="AD100" s="632" t="s">
        <v>1545</v>
      </c>
      <c r="AE100" s="702">
        <v>57.246000000000002</v>
      </c>
      <c r="AF100" s="671">
        <f t="shared" si="10"/>
        <v>57.246399999999994</v>
      </c>
      <c r="AG100" s="671">
        <f t="shared" si="11"/>
        <v>3.9999999999196234E-4</v>
      </c>
      <c r="AH100" s="702">
        <v>35.119999999999997</v>
      </c>
      <c r="AI100" s="683">
        <v>0.5292</v>
      </c>
      <c r="AJ100" s="683">
        <v>1.5E-3</v>
      </c>
      <c r="AK100" s="702">
        <v>12.941000000000001</v>
      </c>
      <c r="AL100" s="683">
        <v>0.19500000000000001</v>
      </c>
      <c r="AM100" s="683"/>
      <c r="AN100" s="702">
        <v>4.5529999999999999</v>
      </c>
      <c r="AO100" s="683">
        <v>6.8599999999999994E-2</v>
      </c>
      <c r="AP100" s="702">
        <v>4.6323999999999996</v>
      </c>
      <c r="AQ100" s="683">
        <v>6.9800000000000001E-2</v>
      </c>
      <c r="AR100" s="702">
        <v>0</v>
      </c>
      <c r="AS100" s="683">
        <v>0</v>
      </c>
      <c r="AT100" s="632" t="s">
        <v>465</v>
      </c>
      <c r="AU100" s="632" t="s">
        <v>465</v>
      </c>
      <c r="AV100" s="632" t="s">
        <v>465</v>
      </c>
      <c r="AW100" s="632" t="s">
        <v>500</v>
      </c>
      <c r="AX100" s="632" t="s">
        <v>1546</v>
      </c>
      <c r="AY100" s="632">
        <v>9.1159999999999997</v>
      </c>
      <c r="AZ100" s="683">
        <v>0.13739999999999999</v>
      </c>
      <c r="BA100" s="632">
        <v>35.200000000000003</v>
      </c>
      <c r="BB100" s="683">
        <v>8.0000000000000004E-4</v>
      </c>
      <c r="BC100" s="710">
        <v>128</v>
      </c>
      <c r="BD100" s="710">
        <v>63</v>
      </c>
      <c r="BE100" s="706">
        <v>50</v>
      </c>
      <c r="BF100" s="710">
        <v>0</v>
      </c>
      <c r="BG100" s="710">
        <v>2</v>
      </c>
      <c r="BH100" s="710">
        <v>1</v>
      </c>
      <c r="BI100" s="710">
        <v>1</v>
      </c>
      <c r="BJ100" s="710">
        <v>1</v>
      </c>
      <c r="BK100" s="710">
        <v>0</v>
      </c>
      <c r="BL100" s="710">
        <v>0</v>
      </c>
      <c r="BM100" s="710">
        <v>12</v>
      </c>
      <c r="BN100" s="710">
        <v>14</v>
      </c>
      <c r="BO100" s="710">
        <v>0</v>
      </c>
      <c r="BP100" s="710">
        <v>2</v>
      </c>
      <c r="BQ100" s="710">
        <v>14</v>
      </c>
      <c r="BR100" s="710">
        <v>3</v>
      </c>
      <c r="BS100" s="710">
        <v>0</v>
      </c>
      <c r="BT100" s="710">
        <v>0</v>
      </c>
      <c r="BU100" s="710">
        <v>0</v>
      </c>
      <c r="BV100" s="710">
        <v>0</v>
      </c>
      <c r="BW100" s="710">
        <v>0</v>
      </c>
      <c r="BX100" s="710">
        <v>0</v>
      </c>
      <c r="BY100" s="710">
        <v>0</v>
      </c>
      <c r="BZ100" s="710">
        <v>0</v>
      </c>
      <c r="CA100" s="717">
        <f t="shared" si="15"/>
        <v>50</v>
      </c>
      <c r="CB100" s="717">
        <f t="shared" si="12"/>
        <v>50</v>
      </c>
      <c r="CC100" s="717">
        <f t="shared" si="13"/>
        <v>0</v>
      </c>
      <c r="CD100" s="671">
        <v>94.602000000000004</v>
      </c>
      <c r="CE100" s="632" t="s">
        <v>1547</v>
      </c>
      <c r="CF100" s="653" t="s">
        <v>1548</v>
      </c>
      <c r="CG100" s="683">
        <v>0.15859999999999999</v>
      </c>
      <c r="CH100" s="671">
        <v>596.50800000000004</v>
      </c>
      <c r="CI100" s="733" t="s">
        <v>1488</v>
      </c>
      <c r="CJ100" s="632" t="s">
        <v>500</v>
      </c>
      <c r="CK100" s="632" t="s">
        <v>1549</v>
      </c>
      <c r="CL100" s="632" t="s">
        <v>1525</v>
      </c>
      <c r="CM100" s="710">
        <v>5</v>
      </c>
      <c r="CN100" s="710">
        <v>347</v>
      </c>
      <c r="CO100" s="710" t="s">
        <v>465</v>
      </c>
      <c r="CP100" s="632" t="s">
        <v>500</v>
      </c>
      <c r="CQ100" s="632" t="s">
        <v>1550</v>
      </c>
      <c r="CR100" s="710">
        <v>21126</v>
      </c>
      <c r="CS100" s="632" t="s">
        <v>500</v>
      </c>
      <c r="CT100" s="632" t="s">
        <v>1551</v>
      </c>
      <c r="CU100" s="710">
        <v>18959</v>
      </c>
      <c r="CV100" s="710" t="s">
        <v>504</v>
      </c>
      <c r="CW100" s="710" t="s">
        <v>465</v>
      </c>
      <c r="CX100" s="710" t="s">
        <v>465</v>
      </c>
      <c r="CY100" s="710" t="s">
        <v>504</v>
      </c>
      <c r="CZ100" s="710" t="s">
        <v>465</v>
      </c>
      <c r="DA100" s="710" t="s">
        <v>465</v>
      </c>
      <c r="DB100" s="632" t="s">
        <v>504</v>
      </c>
      <c r="DC100" s="632" t="s">
        <v>465</v>
      </c>
      <c r="DD100" s="710" t="s">
        <v>465</v>
      </c>
      <c r="DE100" s="632" t="s">
        <v>500</v>
      </c>
      <c r="DF100" s="632" t="s">
        <v>1552</v>
      </c>
      <c r="DG100" s="710">
        <v>8193</v>
      </c>
      <c r="DH100" s="632" t="s">
        <v>504</v>
      </c>
      <c r="DI100" s="632" t="s">
        <v>465</v>
      </c>
      <c r="DJ100" s="710" t="s">
        <v>465</v>
      </c>
      <c r="DK100" s="632" t="s">
        <v>504</v>
      </c>
      <c r="DL100" s="632" t="s">
        <v>465</v>
      </c>
      <c r="DM100" s="710" t="s">
        <v>465</v>
      </c>
      <c r="DN100" s="632" t="s">
        <v>504</v>
      </c>
      <c r="DO100" s="632" t="s">
        <v>465</v>
      </c>
      <c r="DP100" s="710" t="s">
        <v>465</v>
      </c>
      <c r="DQ100" s="632" t="s">
        <v>504</v>
      </c>
      <c r="DR100" s="632" t="s">
        <v>465</v>
      </c>
      <c r="DS100" s="710" t="s">
        <v>465</v>
      </c>
      <c r="DT100" s="710" t="s">
        <v>504</v>
      </c>
      <c r="DU100" s="710" t="s">
        <v>465</v>
      </c>
      <c r="DV100" s="710" t="s">
        <v>465</v>
      </c>
      <c r="DW100" s="632" t="s">
        <v>504</v>
      </c>
      <c r="DX100" s="632" t="s">
        <v>465</v>
      </c>
      <c r="DY100" s="710" t="s">
        <v>465</v>
      </c>
      <c r="DZ100" s="632" t="s">
        <v>504</v>
      </c>
      <c r="EA100" s="632" t="s">
        <v>465</v>
      </c>
      <c r="EB100" s="710" t="s">
        <v>465</v>
      </c>
      <c r="EC100" s="632" t="s">
        <v>500</v>
      </c>
      <c r="ED100" s="632" t="s">
        <v>1553</v>
      </c>
      <c r="EE100" s="710">
        <v>13</v>
      </c>
      <c r="EF100" s="710" t="s">
        <v>504</v>
      </c>
      <c r="EG100" s="710" t="s">
        <v>465</v>
      </c>
      <c r="EH100" s="710" t="s">
        <v>465</v>
      </c>
      <c r="EI100" s="632" t="s">
        <v>504</v>
      </c>
      <c r="EJ100" s="632" t="s">
        <v>465</v>
      </c>
      <c r="EK100" s="710" t="s">
        <v>465</v>
      </c>
      <c r="EL100" s="637">
        <v>120</v>
      </c>
      <c r="EM100" s="632" t="s">
        <v>1554</v>
      </c>
      <c r="EN100" s="670">
        <v>63</v>
      </c>
      <c r="EO100" s="632" t="s">
        <v>500</v>
      </c>
      <c r="EP100" s="632" t="s">
        <v>1555</v>
      </c>
      <c r="EQ100" s="632" t="s">
        <v>1556</v>
      </c>
      <c r="ER100" s="738" t="s">
        <v>1492</v>
      </c>
      <c r="ES100" s="653" t="s">
        <v>1557</v>
      </c>
      <c r="ET100" s="632" t="s">
        <v>1558</v>
      </c>
      <c r="EU100" s="632" t="s">
        <v>1559</v>
      </c>
      <c r="EV100" s="632" t="s">
        <v>1560</v>
      </c>
      <c r="EW100" s="632">
        <v>14</v>
      </c>
      <c r="EX100" s="632">
        <v>591</v>
      </c>
    </row>
    <row r="101" spans="3:154" ht="68.099999999999994" customHeight="1" x14ac:dyDescent="0.2">
      <c r="C101" s="1156" t="s">
        <v>1423</v>
      </c>
      <c r="D101" s="1156" t="s">
        <v>5277</v>
      </c>
      <c r="E101" s="738" t="s">
        <v>333</v>
      </c>
      <c r="F101" s="738" t="s">
        <v>418</v>
      </c>
      <c r="G101" s="738"/>
      <c r="H101" s="738" t="s">
        <v>1561</v>
      </c>
      <c r="I101" s="738" t="s">
        <v>1562</v>
      </c>
      <c r="J101" s="1165">
        <v>2016</v>
      </c>
      <c r="K101" s="377">
        <v>43839</v>
      </c>
      <c r="L101" s="377">
        <v>44195</v>
      </c>
      <c r="M101" s="1369">
        <f t="shared" si="14"/>
        <v>356</v>
      </c>
      <c r="N101" s="632" t="s">
        <v>1564</v>
      </c>
      <c r="O101" s="738" t="s">
        <v>2558</v>
      </c>
      <c r="P101" s="653" t="s">
        <v>1565</v>
      </c>
      <c r="Q101" s="632"/>
      <c r="R101" s="632"/>
      <c r="S101" s="632"/>
      <c r="T101" s="632"/>
      <c r="U101" s="738" t="s">
        <v>1541</v>
      </c>
      <c r="V101" s="653" t="s">
        <v>1566</v>
      </c>
      <c r="W101" s="738" t="s">
        <v>1567</v>
      </c>
      <c r="X101" s="653" t="s">
        <v>1542</v>
      </c>
      <c r="Y101" s="653"/>
      <c r="Z101" s="653"/>
      <c r="AA101" s="632" t="s">
        <v>1543</v>
      </c>
      <c r="AB101" s="632" t="s">
        <v>1543</v>
      </c>
      <c r="AC101" s="738" t="s">
        <v>1568</v>
      </c>
      <c r="AD101" s="632" t="s">
        <v>1569</v>
      </c>
      <c r="AE101" s="702">
        <v>9.8610000000000007</v>
      </c>
      <c r="AF101" s="671">
        <f t="shared" si="10"/>
        <v>9.8610000000000007</v>
      </c>
      <c r="AG101" s="671">
        <f t="shared" si="11"/>
        <v>0</v>
      </c>
      <c r="AH101" s="702">
        <v>7</v>
      </c>
      <c r="AI101" s="683">
        <v>0.70989999999999998</v>
      </c>
      <c r="AJ101" s="683">
        <f>AH101/45029.4894</f>
        <v>1.5545368364758763E-4</v>
      </c>
      <c r="AK101" s="702">
        <v>2.8610000000000002</v>
      </c>
      <c r="AL101" s="683">
        <v>0.29010000000000002</v>
      </c>
      <c r="AM101" s="683"/>
      <c r="AN101" s="702"/>
      <c r="AO101" s="683"/>
      <c r="AP101" s="702"/>
      <c r="AQ101" s="683"/>
      <c r="AR101" s="702"/>
      <c r="AS101" s="683"/>
      <c r="AT101" s="632"/>
      <c r="AU101" s="632"/>
      <c r="AV101" s="632"/>
      <c r="AW101" s="632"/>
      <c r="AX101" s="632"/>
      <c r="AY101" s="632"/>
      <c r="AZ101" s="683"/>
      <c r="BA101" s="671">
        <v>7</v>
      </c>
      <c r="BB101" s="683">
        <f>BA101/42155.1169</f>
        <v>1.6605338840846624E-4</v>
      </c>
      <c r="BC101" s="710">
        <v>257</v>
      </c>
      <c r="BD101" s="710">
        <v>111</v>
      </c>
      <c r="BE101" s="706">
        <v>102</v>
      </c>
      <c r="BF101" s="710">
        <v>0</v>
      </c>
      <c r="BG101" s="710">
        <v>4</v>
      </c>
      <c r="BH101" s="710">
        <v>5</v>
      </c>
      <c r="BI101" s="710">
        <v>2</v>
      </c>
      <c r="BJ101" s="710"/>
      <c r="BK101" s="710"/>
      <c r="BL101" s="710"/>
      <c r="BM101" s="710">
        <v>2</v>
      </c>
      <c r="BN101" s="710">
        <v>9</v>
      </c>
      <c r="BO101" s="710">
        <v>6</v>
      </c>
      <c r="BP101" s="710">
        <v>30</v>
      </c>
      <c r="BQ101" s="710">
        <v>17</v>
      </c>
      <c r="BR101" s="710">
        <v>14</v>
      </c>
      <c r="BS101" s="710">
        <v>3</v>
      </c>
      <c r="BT101" s="710"/>
      <c r="BU101" s="710">
        <v>1</v>
      </c>
      <c r="BV101" s="710"/>
      <c r="BW101" s="710"/>
      <c r="BX101" s="710"/>
      <c r="BY101" s="710"/>
      <c r="BZ101" s="710">
        <v>9</v>
      </c>
      <c r="CA101" s="717">
        <f t="shared" si="15"/>
        <v>102</v>
      </c>
      <c r="CB101" s="717">
        <f t="shared" si="12"/>
        <v>102</v>
      </c>
      <c r="CC101" s="717">
        <f t="shared" si="13"/>
        <v>0</v>
      </c>
      <c r="CD101" s="671">
        <v>22.087</v>
      </c>
      <c r="CE101" s="738" t="s">
        <v>1570</v>
      </c>
      <c r="CF101" s="632"/>
      <c r="CG101" s="683">
        <v>3.6999999999999998E-2</v>
      </c>
      <c r="CH101" s="671">
        <v>596.50800000000004</v>
      </c>
      <c r="CI101" s="733" t="s">
        <v>1488</v>
      </c>
      <c r="CJ101" s="738" t="s">
        <v>500</v>
      </c>
      <c r="CK101" s="738" t="s">
        <v>1571</v>
      </c>
      <c r="CL101" s="738" t="s">
        <v>1525</v>
      </c>
      <c r="CM101" s="822">
        <v>5</v>
      </c>
      <c r="CN101" s="710"/>
      <c r="CO101" s="710"/>
      <c r="CP101" s="632" t="s">
        <v>504</v>
      </c>
      <c r="CQ101" s="632"/>
      <c r="CR101" s="710"/>
      <c r="CS101" s="632" t="s">
        <v>500</v>
      </c>
      <c r="CT101" s="632" t="s">
        <v>1572</v>
      </c>
      <c r="CU101" s="710">
        <v>4976</v>
      </c>
      <c r="CV101" s="710" t="s">
        <v>504</v>
      </c>
      <c r="CW101" s="710"/>
      <c r="CX101" s="710"/>
      <c r="CY101" s="710" t="s">
        <v>504</v>
      </c>
      <c r="CZ101" s="710"/>
      <c r="DA101" s="710"/>
      <c r="DB101" s="632" t="s">
        <v>504</v>
      </c>
      <c r="DC101" s="632"/>
      <c r="DD101" s="710"/>
      <c r="DE101" s="632" t="s">
        <v>504</v>
      </c>
      <c r="DF101" s="632"/>
      <c r="DG101" s="710"/>
      <c r="DH101" s="632" t="s">
        <v>504</v>
      </c>
      <c r="DI101" s="632"/>
      <c r="DJ101" s="710"/>
      <c r="DK101" s="632" t="s">
        <v>504</v>
      </c>
      <c r="DL101" s="632"/>
      <c r="DM101" s="710"/>
      <c r="DN101" s="632" t="s">
        <v>504</v>
      </c>
      <c r="DO101" s="632"/>
      <c r="DP101" s="710"/>
      <c r="DQ101" s="632" t="s">
        <v>504</v>
      </c>
      <c r="DR101" s="632"/>
      <c r="DS101" s="710"/>
      <c r="DT101" s="710" t="s">
        <v>504</v>
      </c>
      <c r="DU101" s="710"/>
      <c r="DV101" s="710"/>
      <c r="DW101" s="632" t="s">
        <v>504</v>
      </c>
      <c r="DX101" s="632"/>
      <c r="DY101" s="710"/>
      <c r="DZ101" s="632" t="s">
        <v>504</v>
      </c>
      <c r="EA101" s="632"/>
      <c r="EB101" s="710"/>
      <c r="EC101" s="632" t="s">
        <v>504</v>
      </c>
      <c r="ED101" s="632"/>
      <c r="EE101" s="710"/>
      <c r="EF101" s="710" t="s">
        <v>504</v>
      </c>
      <c r="EG101" s="710"/>
      <c r="EH101" s="710"/>
      <c r="EI101" s="632" t="s">
        <v>504</v>
      </c>
      <c r="EJ101" s="632"/>
      <c r="EK101" s="710"/>
      <c r="EL101" s="738">
        <v>109</v>
      </c>
      <c r="EM101" s="738" t="s">
        <v>1573</v>
      </c>
      <c r="EN101" s="670">
        <v>111</v>
      </c>
      <c r="EO101" s="632" t="s">
        <v>504</v>
      </c>
      <c r="EP101" s="632"/>
      <c r="EQ101" s="653" t="s">
        <v>1574</v>
      </c>
      <c r="ER101" s="632" t="s">
        <v>1575</v>
      </c>
      <c r="ES101" s="653" t="s">
        <v>1576</v>
      </c>
      <c r="ET101" s="738" t="s">
        <v>1577</v>
      </c>
      <c r="EU101" s="653" t="s">
        <v>1578</v>
      </c>
      <c r="EV101" s="632" t="s">
        <v>1579</v>
      </c>
      <c r="EW101" s="632">
        <v>6</v>
      </c>
      <c r="EX101" s="632" t="s">
        <v>1580</v>
      </c>
    </row>
    <row r="102" spans="3:154" ht="75" customHeight="1" x14ac:dyDescent="0.2">
      <c r="C102" s="1156" t="s">
        <v>5479</v>
      </c>
      <c r="D102" s="1156" t="s">
        <v>5277</v>
      </c>
      <c r="E102" s="738" t="s">
        <v>333</v>
      </c>
      <c r="F102" s="738" t="s">
        <v>418</v>
      </c>
      <c r="G102" s="738"/>
      <c r="H102" s="632" t="s">
        <v>867</v>
      </c>
      <c r="I102" s="632" t="s">
        <v>867</v>
      </c>
      <c r="J102" s="637">
        <v>2017</v>
      </c>
      <c r="K102" s="377">
        <v>43831</v>
      </c>
      <c r="L102" s="377">
        <v>44196</v>
      </c>
      <c r="M102" s="1369">
        <f t="shared" si="14"/>
        <v>365</v>
      </c>
      <c r="N102" s="632" t="s">
        <v>1581</v>
      </c>
      <c r="O102" s="1420" t="s">
        <v>1582</v>
      </c>
      <c r="P102" s="728" t="s">
        <v>1583</v>
      </c>
      <c r="Q102" s="632"/>
      <c r="R102" s="632"/>
      <c r="S102" s="632"/>
      <c r="T102" s="632"/>
      <c r="U102" s="632" t="s">
        <v>1541</v>
      </c>
      <c r="V102" s="728" t="s">
        <v>1520</v>
      </c>
      <c r="W102" s="632"/>
      <c r="X102" s="632"/>
      <c r="Y102" s="632"/>
      <c r="Z102" s="632"/>
      <c r="AA102" s="1420" t="s">
        <v>1584</v>
      </c>
      <c r="AB102" s="1420" t="s">
        <v>1584</v>
      </c>
      <c r="AC102" s="1420" t="s">
        <v>671</v>
      </c>
      <c r="AD102" s="1420" t="s">
        <v>823</v>
      </c>
      <c r="AE102" s="1421">
        <v>346.05500000000001</v>
      </c>
      <c r="AF102" s="671">
        <f t="shared" si="10"/>
        <v>346.05539999999996</v>
      </c>
      <c r="AG102" s="671">
        <f t="shared" si="11"/>
        <v>3.999999999564352E-4</v>
      </c>
      <c r="AH102" s="702">
        <v>5.1474000000000002</v>
      </c>
      <c r="AI102" s="683">
        <f>AH102/AE102</f>
        <v>1.4874514166823193E-2</v>
      </c>
      <c r="AJ102" s="683">
        <v>1E-4</v>
      </c>
      <c r="AK102" s="702">
        <v>44.682000000000002</v>
      </c>
      <c r="AL102" s="683">
        <f>AK102/AE102</f>
        <v>0.12911820375373856</v>
      </c>
      <c r="AM102" s="683"/>
      <c r="AN102" s="702">
        <v>14.8</v>
      </c>
      <c r="AO102" s="683">
        <f>AN102/AE102</f>
        <v>4.2767768129343603E-2</v>
      </c>
      <c r="AP102" s="702"/>
      <c r="AQ102" s="683"/>
      <c r="AR102" s="702">
        <f>166.426+115</f>
        <v>281.42599999999999</v>
      </c>
      <c r="AS102" s="683">
        <f>AR102/AE102</f>
        <v>0.81324066983571974</v>
      </c>
      <c r="AT102" s="1420" t="s">
        <v>1585</v>
      </c>
      <c r="AU102" s="1420" t="s">
        <v>946</v>
      </c>
      <c r="AV102" s="1420" t="s">
        <v>1584</v>
      </c>
      <c r="AW102" s="632" t="s">
        <v>500</v>
      </c>
      <c r="AX102" s="632" t="s">
        <v>838</v>
      </c>
      <c r="AY102" s="632"/>
      <c r="AZ102" s="683"/>
      <c r="BA102" s="702">
        <v>397.714</v>
      </c>
      <c r="BB102" s="683">
        <v>1</v>
      </c>
      <c r="BC102" s="710"/>
      <c r="BD102" s="710"/>
      <c r="BE102" s="706"/>
      <c r="BF102" s="710"/>
      <c r="BG102" s="710"/>
      <c r="BH102" s="710"/>
      <c r="BI102" s="710"/>
      <c r="BJ102" s="710"/>
      <c r="BK102" s="710"/>
      <c r="BL102" s="710"/>
      <c r="BM102" s="710"/>
      <c r="BN102" s="710"/>
      <c r="BO102" s="710">
        <v>96</v>
      </c>
      <c r="BP102" s="710"/>
      <c r="BQ102" s="710">
        <v>31</v>
      </c>
      <c r="BR102" s="710"/>
      <c r="BS102" s="710"/>
      <c r="BT102" s="710"/>
      <c r="BU102" s="710"/>
      <c r="BV102" s="710"/>
      <c r="BW102" s="710"/>
      <c r="BX102" s="710"/>
      <c r="BY102" s="710"/>
      <c r="BZ102" s="710"/>
      <c r="CA102" s="717">
        <f t="shared" si="15"/>
        <v>127</v>
      </c>
      <c r="CB102" s="717">
        <f t="shared" si="12"/>
        <v>127</v>
      </c>
      <c r="CC102" s="717">
        <f t="shared" si="13"/>
        <v>0</v>
      </c>
      <c r="CD102" s="671">
        <v>441.7</v>
      </c>
      <c r="CE102" s="632"/>
      <c r="CF102" s="632"/>
      <c r="CG102" s="683">
        <v>0.74050000000000005</v>
      </c>
      <c r="CH102" s="671">
        <v>596.50800000000004</v>
      </c>
      <c r="CI102" s="1203" t="s">
        <v>1488</v>
      </c>
      <c r="CJ102" s="632" t="s">
        <v>504</v>
      </c>
      <c r="CK102" s="632"/>
      <c r="CL102" s="632"/>
      <c r="CM102" s="710"/>
      <c r="CN102" s="710"/>
      <c r="CO102" s="710"/>
      <c r="CP102" s="632" t="s">
        <v>500</v>
      </c>
      <c r="CQ102" s="632" t="s">
        <v>1586</v>
      </c>
      <c r="CR102" s="710">
        <v>36228</v>
      </c>
      <c r="CS102" s="632" t="s">
        <v>1587</v>
      </c>
      <c r="CT102" s="632"/>
      <c r="CU102" s="710"/>
      <c r="CV102" s="710"/>
      <c r="CW102" s="710"/>
      <c r="CX102" s="710"/>
      <c r="CY102" s="710"/>
      <c r="CZ102" s="710"/>
      <c r="DA102" s="710"/>
      <c r="DB102" s="632"/>
      <c r="DC102" s="632"/>
      <c r="DD102" s="710"/>
      <c r="DE102" s="632"/>
      <c r="DF102" s="632"/>
      <c r="DG102" s="710"/>
      <c r="DH102" s="632"/>
      <c r="DI102" s="632"/>
      <c r="DJ102" s="710"/>
      <c r="DK102" s="632" t="s">
        <v>500</v>
      </c>
      <c r="DL102" s="738" t="s">
        <v>1588</v>
      </c>
      <c r="DM102" s="710">
        <v>0.15620000000000001</v>
      </c>
      <c r="DN102" s="632"/>
      <c r="DO102" s="632"/>
      <c r="DP102" s="710"/>
      <c r="DQ102" s="632"/>
      <c r="DR102" s="632"/>
      <c r="DS102" s="710"/>
      <c r="DT102" s="710"/>
      <c r="DU102" s="710"/>
      <c r="DV102" s="710"/>
      <c r="DW102" s="632"/>
      <c r="DX102" s="632"/>
      <c r="DY102" s="710"/>
      <c r="DZ102" s="632"/>
      <c r="EA102" s="632"/>
      <c r="EB102" s="710"/>
      <c r="EC102" s="632"/>
      <c r="ED102" s="632"/>
      <c r="EE102" s="710"/>
      <c r="EF102" s="710"/>
      <c r="EG102" s="710"/>
      <c r="EH102" s="710"/>
      <c r="EI102" s="632"/>
      <c r="EJ102" s="632"/>
      <c r="EK102" s="710"/>
      <c r="EL102" s="632">
        <v>25</v>
      </c>
      <c r="EM102" s="632" t="s">
        <v>1589</v>
      </c>
      <c r="EN102" s="670">
        <v>25</v>
      </c>
      <c r="EO102" s="632" t="s">
        <v>504</v>
      </c>
      <c r="EP102" s="632" t="s">
        <v>504</v>
      </c>
      <c r="EQ102" s="632" t="s">
        <v>1590</v>
      </c>
      <c r="ER102" s="632"/>
      <c r="ES102" s="632"/>
      <c r="ET102" s="632" t="s">
        <v>1587</v>
      </c>
      <c r="EU102" s="632" t="s">
        <v>1587</v>
      </c>
      <c r="EV102" s="632"/>
      <c r="EW102" s="632"/>
      <c r="EX102" s="632"/>
    </row>
    <row r="103" spans="3:154" ht="75" customHeight="1" x14ac:dyDescent="0.2">
      <c r="C103" s="1156" t="s">
        <v>782</v>
      </c>
      <c r="D103" s="1156" t="s">
        <v>5278</v>
      </c>
      <c r="E103" s="1104" t="s">
        <v>333</v>
      </c>
      <c r="F103" s="1104" t="s">
        <v>418</v>
      </c>
      <c r="G103" s="1109" t="s">
        <v>2920</v>
      </c>
      <c r="H103" s="1109" t="s">
        <v>2921</v>
      </c>
      <c r="I103" s="1109" t="s">
        <v>2922</v>
      </c>
      <c r="J103" s="1110">
        <v>2019</v>
      </c>
      <c r="K103" s="1105">
        <v>43784</v>
      </c>
      <c r="L103" s="1105">
        <v>44196</v>
      </c>
      <c r="M103" s="1369">
        <f t="shared" si="14"/>
        <v>412</v>
      </c>
      <c r="N103" s="1105"/>
      <c r="O103" s="1105"/>
      <c r="P103" s="1105"/>
      <c r="Q103" s="1105"/>
      <c r="R103" s="1105"/>
      <c r="S103" s="1105"/>
      <c r="T103" s="1105"/>
      <c r="U103" s="1105"/>
      <c r="V103" s="1105"/>
      <c r="W103" s="1105"/>
      <c r="X103" s="1105"/>
      <c r="Y103" s="1109" t="s">
        <v>2923</v>
      </c>
      <c r="Z103" s="1109"/>
      <c r="AA103" s="1109" t="s">
        <v>2924</v>
      </c>
      <c r="AB103" s="1109" t="s">
        <v>2924</v>
      </c>
      <c r="AC103" s="1109" t="s">
        <v>2925</v>
      </c>
      <c r="AD103" s="1109" t="s">
        <v>2926</v>
      </c>
      <c r="AE103" s="1112">
        <v>0.115</v>
      </c>
      <c r="AF103" s="1113">
        <f t="shared" si="10"/>
        <v>0.1154</v>
      </c>
      <c r="AG103" s="1113">
        <f t="shared" si="11"/>
        <v>3.9999999999999758E-4</v>
      </c>
      <c r="AH103" s="1112"/>
      <c r="AI103" s="1113"/>
      <c r="AJ103" s="1113"/>
      <c r="AK103" s="1112">
        <v>0.1</v>
      </c>
      <c r="AL103" s="1114">
        <f>AK103/AE103</f>
        <v>0.86956521739130432</v>
      </c>
      <c r="AM103" s="1114">
        <f>AE103/1960.3</f>
        <v>5.8664490129061881E-5</v>
      </c>
      <c r="AN103" s="1112"/>
      <c r="AO103" s="1114"/>
      <c r="AP103" s="1112">
        <v>1.54E-2</v>
      </c>
      <c r="AQ103" s="1114">
        <f>AP103/AE103</f>
        <v>0.13391304347826086</v>
      </c>
      <c r="AR103" s="1112"/>
      <c r="AS103" s="1114"/>
      <c r="AT103" s="1114"/>
      <c r="AU103" s="1114"/>
      <c r="AV103" s="1114"/>
      <c r="AW103" s="1114" t="s">
        <v>504</v>
      </c>
      <c r="AX103" s="1114"/>
      <c r="AY103" s="1114"/>
      <c r="AZ103" s="1114"/>
      <c r="BA103" s="1113">
        <v>0.2</v>
      </c>
      <c r="BB103" s="1114">
        <v>1E-4</v>
      </c>
      <c r="BC103" s="1115">
        <v>10</v>
      </c>
      <c r="BD103" s="1115">
        <v>10</v>
      </c>
      <c r="BE103" s="1116">
        <v>3</v>
      </c>
      <c r="BF103" s="1115"/>
      <c r="BG103" s="1115"/>
      <c r="BH103" s="1115"/>
      <c r="BI103" s="1115"/>
      <c r="BJ103" s="1115"/>
      <c r="BK103" s="1115"/>
      <c r="BL103" s="1115"/>
      <c r="BM103" s="1115"/>
      <c r="BN103" s="1115"/>
      <c r="BO103" s="1115"/>
      <c r="BP103" s="1115"/>
      <c r="BQ103" s="1115"/>
      <c r="BR103" s="1115"/>
      <c r="BS103" s="1115"/>
      <c r="BT103" s="1115"/>
      <c r="BU103" s="1115"/>
      <c r="BV103" s="1115"/>
      <c r="BW103" s="1115">
        <v>2</v>
      </c>
      <c r="BX103" s="1115"/>
      <c r="BY103" s="1115"/>
      <c r="BZ103" s="1115">
        <v>1</v>
      </c>
      <c r="CA103" s="1117">
        <f t="shared" si="15"/>
        <v>3</v>
      </c>
      <c r="CB103" s="1117">
        <f t="shared" si="12"/>
        <v>3</v>
      </c>
      <c r="CC103" s="1117">
        <f t="shared" si="13"/>
        <v>0</v>
      </c>
      <c r="CD103" s="1113">
        <v>3.2</v>
      </c>
      <c r="CE103" s="1109" t="s">
        <v>2927</v>
      </c>
      <c r="CF103" s="1109"/>
      <c r="CG103" s="1109">
        <v>5.12</v>
      </c>
      <c r="CH103" s="1113">
        <v>62.502000000000002</v>
      </c>
      <c r="CI103" s="1139" t="s">
        <v>1488</v>
      </c>
      <c r="CJ103" s="1109" t="s">
        <v>504</v>
      </c>
      <c r="CK103" s="1109"/>
      <c r="CL103" s="1109"/>
      <c r="CM103" s="1115"/>
      <c r="CN103" s="1115"/>
      <c r="CO103" s="1115">
        <v>11</v>
      </c>
      <c r="CP103" s="1109" t="s">
        <v>504</v>
      </c>
      <c r="CQ103" s="1109"/>
      <c r="CR103" s="1115"/>
      <c r="CS103" s="1109" t="s">
        <v>500</v>
      </c>
      <c r="CT103" s="1109" t="s">
        <v>2928</v>
      </c>
      <c r="CU103" s="1115">
        <v>6998</v>
      </c>
      <c r="CV103" s="1115" t="s">
        <v>504</v>
      </c>
      <c r="CW103" s="1115"/>
      <c r="CX103" s="1115"/>
      <c r="CY103" s="1115" t="s">
        <v>504</v>
      </c>
      <c r="CZ103" s="1115"/>
      <c r="DA103" s="1115"/>
      <c r="DB103" s="1109" t="s">
        <v>504</v>
      </c>
      <c r="DC103" s="1109"/>
      <c r="DD103" s="1115"/>
      <c r="DE103" s="1109" t="s">
        <v>504</v>
      </c>
      <c r="DF103" s="1109"/>
      <c r="DG103" s="1115"/>
      <c r="DH103" s="1109" t="s">
        <v>504</v>
      </c>
      <c r="DI103" s="1109"/>
      <c r="DJ103" s="1115"/>
      <c r="DK103" s="1109" t="s">
        <v>504</v>
      </c>
      <c r="DL103" s="1109"/>
      <c r="DM103" s="1115"/>
      <c r="DN103" s="1109" t="s">
        <v>504</v>
      </c>
      <c r="DO103" s="1109"/>
      <c r="DP103" s="1115"/>
      <c r="DQ103" s="1109" t="s">
        <v>504</v>
      </c>
      <c r="DR103" s="1109"/>
      <c r="DS103" s="1115"/>
      <c r="DT103" s="1115" t="s">
        <v>504</v>
      </c>
      <c r="DU103" s="1115"/>
      <c r="DV103" s="1115"/>
      <c r="DW103" s="1109" t="s">
        <v>504</v>
      </c>
      <c r="DX103" s="1109"/>
      <c r="DY103" s="1115"/>
      <c r="DZ103" s="1109" t="s">
        <v>504</v>
      </c>
      <c r="EA103" s="1109"/>
      <c r="EB103" s="1115"/>
      <c r="EC103" s="1109" t="s">
        <v>500</v>
      </c>
      <c r="ED103" s="1109" t="s">
        <v>2929</v>
      </c>
      <c r="EE103" s="1115"/>
      <c r="EF103" s="1115" t="s">
        <v>504</v>
      </c>
      <c r="EG103" s="1115"/>
      <c r="EH103" s="1115"/>
      <c r="EI103" s="1109" t="s">
        <v>500</v>
      </c>
      <c r="EJ103" s="1109" t="s">
        <v>2930</v>
      </c>
      <c r="EK103" s="1115">
        <v>67</v>
      </c>
      <c r="EL103" s="1115"/>
      <c r="EM103" s="1115"/>
      <c r="EN103" s="1115"/>
      <c r="EO103" s="1109" t="s">
        <v>504</v>
      </c>
      <c r="EP103" s="1109"/>
      <c r="EQ103" s="1109" t="s">
        <v>504</v>
      </c>
      <c r="ER103" s="1109"/>
      <c r="ES103" s="1109"/>
      <c r="ET103" s="1109" t="s">
        <v>2931</v>
      </c>
      <c r="EU103" s="1109"/>
      <c r="EV103" s="1109" t="s">
        <v>2932</v>
      </c>
      <c r="EW103" s="1109" t="s">
        <v>2933</v>
      </c>
      <c r="EX103" s="1109"/>
    </row>
    <row r="104" spans="3:154" ht="75" customHeight="1" x14ac:dyDescent="0.2">
      <c r="C104" s="1156" t="s">
        <v>782</v>
      </c>
      <c r="D104" s="1156" t="s">
        <v>5278</v>
      </c>
      <c r="E104" s="1104" t="s">
        <v>333</v>
      </c>
      <c r="F104" s="1104" t="s">
        <v>418</v>
      </c>
      <c r="G104" s="1109" t="s">
        <v>2934</v>
      </c>
      <c r="H104" s="1109" t="s">
        <v>2935</v>
      </c>
      <c r="I104" s="1109" t="s">
        <v>219</v>
      </c>
      <c r="J104" s="1110" t="s">
        <v>2936</v>
      </c>
      <c r="K104" s="1105">
        <v>43840</v>
      </c>
      <c r="L104" s="1105">
        <v>44195</v>
      </c>
      <c r="M104" s="1369">
        <f t="shared" si="14"/>
        <v>355</v>
      </c>
      <c r="N104" s="1105"/>
      <c r="O104" s="1105"/>
      <c r="P104" s="1105"/>
      <c r="Q104" s="1105"/>
      <c r="R104" s="1105"/>
      <c r="S104" s="1105"/>
      <c r="T104" s="1105"/>
      <c r="U104" s="1105"/>
      <c r="V104" s="1105"/>
      <c r="W104" s="1105"/>
      <c r="X104" s="1105"/>
      <c r="Y104" s="1135" t="s">
        <v>2937</v>
      </c>
      <c r="Z104" s="1107" t="s">
        <v>2938</v>
      </c>
      <c r="AA104" s="1109" t="s">
        <v>2939</v>
      </c>
      <c r="AB104" s="1109" t="s">
        <v>2939</v>
      </c>
      <c r="AC104" s="1109" t="s">
        <v>2897</v>
      </c>
      <c r="AD104" s="1109" t="s">
        <v>2940</v>
      </c>
      <c r="AE104" s="1112">
        <v>0.1</v>
      </c>
      <c r="AF104" s="1113">
        <f>AH104+AK104+AN104+AP104+AR104</f>
        <v>0.1</v>
      </c>
      <c r="AG104" s="1113">
        <f t="shared" si="11"/>
        <v>0</v>
      </c>
      <c r="AH104" s="1112"/>
      <c r="AI104" s="1113"/>
      <c r="AJ104" s="1113"/>
      <c r="AK104" s="1112">
        <v>0.1</v>
      </c>
      <c r="AL104" s="1114">
        <f>AK104/AE104</f>
        <v>1</v>
      </c>
      <c r="AM104" s="1114">
        <v>2.9999999999999997E-4</v>
      </c>
      <c r="AN104" s="1112"/>
      <c r="AO104" s="1114"/>
      <c r="AP104" s="1112"/>
      <c r="AQ104" s="1114"/>
      <c r="AR104" s="1112"/>
      <c r="AS104" s="1114"/>
      <c r="AT104" s="1114"/>
      <c r="AU104" s="1114"/>
      <c r="AV104" s="1114"/>
      <c r="AW104" s="1114" t="s">
        <v>504</v>
      </c>
      <c r="AX104" s="1114"/>
      <c r="AY104" s="1114"/>
      <c r="AZ104" s="1114"/>
      <c r="BA104" s="1113">
        <v>0.1</v>
      </c>
      <c r="BB104" s="1114">
        <v>5.9999999999999995E-4</v>
      </c>
      <c r="BC104" s="1115">
        <v>7</v>
      </c>
      <c r="BD104" s="1115"/>
      <c r="BE104" s="1116">
        <v>3</v>
      </c>
      <c r="BF104" s="1115"/>
      <c r="BG104" s="1115"/>
      <c r="BH104" s="1115"/>
      <c r="BI104" s="1115"/>
      <c r="BJ104" s="1115"/>
      <c r="BK104" s="1115"/>
      <c r="BL104" s="1115"/>
      <c r="BM104" s="1115"/>
      <c r="BN104" s="1115"/>
      <c r="BO104" s="1115"/>
      <c r="BP104" s="1115"/>
      <c r="BQ104" s="1115"/>
      <c r="BR104" s="1115"/>
      <c r="BS104" s="1115"/>
      <c r="BT104" s="1115"/>
      <c r="BU104" s="1115"/>
      <c r="BV104" s="1115"/>
      <c r="BW104" s="1115"/>
      <c r="BX104" s="1115"/>
      <c r="BY104" s="1115">
        <v>3</v>
      </c>
      <c r="BZ104" s="1115"/>
      <c r="CA104" s="1117">
        <f t="shared" si="15"/>
        <v>3</v>
      </c>
      <c r="CB104" s="1117">
        <f t="shared" si="12"/>
        <v>3</v>
      </c>
      <c r="CC104" s="1117">
        <f t="shared" si="13"/>
        <v>0</v>
      </c>
      <c r="CD104" s="1113">
        <v>0.76300000000000001</v>
      </c>
      <c r="CE104" s="1109" t="s">
        <v>2941</v>
      </c>
      <c r="CF104" s="1109"/>
      <c r="CG104" s="1109">
        <v>9.2100000000000009</v>
      </c>
      <c r="CH104" s="1113">
        <v>8.2880000000000003</v>
      </c>
      <c r="CI104" s="1139" t="s">
        <v>1488</v>
      </c>
      <c r="CJ104" s="1109" t="s">
        <v>504</v>
      </c>
      <c r="CK104" s="1109"/>
      <c r="CL104" s="1109"/>
      <c r="CM104" s="1115"/>
      <c r="CN104" s="1115"/>
      <c r="CO104" s="1115"/>
      <c r="CP104" s="1109"/>
      <c r="CQ104" s="1109"/>
      <c r="CR104" s="1115"/>
      <c r="CS104" s="1109"/>
      <c r="CT104" s="1109"/>
      <c r="CU104" s="1115"/>
      <c r="CV104" s="1115"/>
      <c r="CW104" s="1115"/>
      <c r="CX104" s="1115"/>
      <c r="CY104" s="1115"/>
      <c r="CZ104" s="1115"/>
      <c r="DA104" s="1115"/>
      <c r="DB104" s="1109"/>
      <c r="DC104" s="1109"/>
      <c r="DD104" s="1115"/>
      <c r="DE104" s="1109"/>
      <c r="DF104" s="1109"/>
      <c r="DG104" s="1115"/>
      <c r="DH104" s="1109"/>
      <c r="DI104" s="1109"/>
      <c r="DJ104" s="1115"/>
      <c r="DK104" s="1109"/>
      <c r="DL104" s="1109"/>
      <c r="DM104" s="1115"/>
      <c r="DN104" s="1109"/>
      <c r="DO104" s="1109"/>
      <c r="DP104" s="1115"/>
      <c r="DQ104" s="1109"/>
      <c r="DR104" s="1109"/>
      <c r="DS104" s="1115"/>
      <c r="DT104" s="1115"/>
      <c r="DU104" s="1115"/>
      <c r="DV104" s="1115"/>
      <c r="DW104" s="1109"/>
      <c r="DX104" s="1109"/>
      <c r="DY104" s="1115"/>
      <c r="DZ104" s="1109"/>
      <c r="EA104" s="1109"/>
      <c r="EB104" s="1115"/>
      <c r="EC104" s="1109"/>
      <c r="ED104" s="1109"/>
      <c r="EE104" s="1115"/>
      <c r="EF104" s="1115"/>
      <c r="EG104" s="1115"/>
      <c r="EH104" s="1115"/>
      <c r="EI104" s="1109"/>
      <c r="EJ104" s="1109"/>
      <c r="EK104" s="1115"/>
      <c r="EL104" s="1115"/>
      <c r="EM104" s="1115"/>
      <c r="EN104" s="1115"/>
      <c r="EO104" s="1109"/>
      <c r="EP104" s="1109"/>
      <c r="EQ104" s="1109"/>
      <c r="ER104" s="1109"/>
      <c r="ES104" s="1109"/>
      <c r="ET104" s="1109"/>
      <c r="EU104" s="1109"/>
      <c r="EV104" s="1109"/>
      <c r="EW104" s="1109"/>
      <c r="EX104" s="1109"/>
    </row>
    <row r="105" spans="3:154" ht="75" customHeight="1" x14ac:dyDescent="0.2">
      <c r="C105" s="1156" t="s">
        <v>782</v>
      </c>
      <c r="D105" s="1156" t="s">
        <v>5278</v>
      </c>
      <c r="E105" s="1104" t="s">
        <v>333</v>
      </c>
      <c r="F105" s="1104" t="s">
        <v>418</v>
      </c>
      <c r="G105" s="1109" t="s">
        <v>2942</v>
      </c>
      <c r="H105" s="1109" t="s">
        <v>2943</v>
      </c>
      <c r="I105" s="1109" t="s">
        <v>2944</v>
      </c>
      <c r="J105" s="1110">
        <v>2020</v>
      </c>
      <c r="K105" s="1105">
        <v>43866</v>
      </c>
      <c r="L105" s="1105">
        <v>44044</v>
      </c>
      <c r="M105" s="1369">
        <f t="shared" si="14"/>
        <v>178</v>
      </c>
      <c r="N105" s="1105"/>
      <c r="O105" s="1105"/>
      <c r="P105" s="1105"/>
      <c r="Q105" s="1105"/>
      <c r="R105" s="1105"/>
      <c r="S105" s="1105"/>
      <c r="T105" s="1105"/>
      <c r="U105" s="1105"/>
      <c r="V105" s="1105"/>
      <c r="W105" s="1105"/>
      <c r="X105" s="1105"/>
      <c r="Y105" s="1109" t="s">
        <v>2945</v>
      </c>
      <c r="Z105" s="1131" t="s">
        <v>2946</v>
      </c>
      <c r="AA105" s="1109" t="s">
        <v>2947</v>
      </c>
      <c r="AB105" s="1109" t="s">
        <v>2947</v>
      </c>
      <c r="AC105" s="1109" t="s">
        <v>519</v>
      </c>
      <c r="AD105" s="1109" t="s">
        <v>2948</v>
      </c>
      <c r="AE105" s="1112">
        <v>0.1</v>
      </c>
      <c r="AF105" s="1113">
        <f>AH105+AK105+AN105+AP105+AR105</f>
        <v>0.1</v>
      </c>
      <c r="AG105" s="1113">
        <f t="shared" si="11"/>
        <v>0</v>
      </c>
      <c r="AH105" s="1112"/>
      <c r="AI105" s="1113"/>
      <c r="AJ105" s="1113"/>
      <c r="AK105" s="1112">
        <v>0.1</v>
      </c>
      <c r="AL105" s="1114">
        <f>AK105/AE105</f>
        <v>1</v>
      </c>
      <c r="AM105" s="1114">
        <f>AK105/258.808</f>
        <v>3.8638681957281078E-4</v>
      </c>
      <c r="AN105" s="1112"/>
      <c r="AO105" s="1114"/>
      <c r="AP105" s="1112"/>
      <c r="AQ105" s="1114"/>
      <c r="AR105" s="1112"/>
      <c r="AS105" s="1114"/>
      <c r="AT105" s="1114"/>
      <c r="AU105" s="1114"/>
      <c r="AV105" s="1114"/>
      <c r="AW105" s="1114"/>
      <c r="AX105" s="1114"/>
      <c r="AY105" s="1114"/>
      <c r="AZ105" s="1114"/>
      <c r="BA105" s="1113"/>
      <c r="BB105" s="1114"/>
      <c r="BC105" s="1115">
        <v>3</v>
      </c>
      <c r="BD105" s="1115">
        <v>3</v>
      </c>
      <c r="BE105" s="1116">
        <v>3</v>
      </c>
      <c r="BF105" s="1115"/>
      <c r="BG105" s="1115"/>
      <c r="BH105" s="1115"/>
      <c r="BI105" s="1115"/>
      <c r="BJ105" s="1115"/>
      <c r="BK105" s="1115"/>
      <c r="BL105" s="1115">
        <v>3</v>
      </c>
      <c r="BM105" s="1115"/>
      <c r="BN105" s="1115"/>
      <c r="BO105" s="1115"/>
      <c r="BP105" s="1115"/>
      <c r="BQ105" s="1115"/>
      <c r="BR105" s="1115"/>
      <c r="BS105" s="1115"/>
      <c r="BT105" s="1115"/>
      <c r="BU105" s="1115"/>
      <c r="BV105" s="1115"/>
      <c r="BW105" s="1115"/>
      <c r="BX105" s="1115"/>
      <c r="BY105" s="1115"/>
      <c r="BZ105" s="1115"/>
      <c r="CA105" s="1117">
        <f t="shared" si="15"/>
        <v>3</v>
      </c>
      <c r="CB105" s="1117">
        <f t="shared" si="12"/>
        <v>3</v>
      </c>
      <c r="CC105" s="1117">
        <f t="shared" si="13"/>
        <v>0</v>
      </c>
      <c r="CD105" s="1113">
        <v>0.51300000000000001</v>
      </c>
      <c r="CE105" s="1109" t="s">
        <v>2949</v>
      </c>
      <c r="CF105" s="1109"/>
      <c r="CG105" s="1116">
        <f>CD105/CH105*100</f>
        <v>8.5929648241206031</v>
      </c>
      <c r="CH105" s="1113">
        <v>5.97</v>
      </c>
      <c r="CI105" s="1149" t="s">
        <v>1488</v>
      </c>
      <c r="CJ105" s="1109"/>
      <c r="CK105" s="1109"/>
      <c r="CL105" s="1109"/>
      <c r="CM105" s="1115"/>
      <c r="CN105" s="1115"/>
      <c r="CO105" s="1115"/>
      <c r="CP105" s="1109"/>
      <c r="CQ105" s="1109"/>
      <c r="CR105" s="1115"/>
      <c r="CS105" s="1109"/>
      <c r="CT105" s="1109"/>
      <c r="CU105" s="1115"/>
      <c r="CV105" s="1115"/>
      <c r="CW105" s="1115"/>
      <c r="CX105" s="1115"/>
      <c r="CY105" s="1115"/>
      <c r="CZ105" s="1115"/>
      <c r="DA105" s="1115"/>
      <c r="DB105" s="1109"/>
      <c r="DC105" s="1109"/>
      <c r="DD105" s="1115"/>
      <c r="DE105" s="1109"/>
      <c r="DF105" s="1109"/>
      <c r="DG105" s="1115"/>
      <c r="DH105" s="1109"/>
      <c r="DI105" s="1109"/>
      <c r="DJ105" s="1115"/>
      <c r="DK105" s="1109"/>
      <c r="DL105" s="1109"/>
      <c r="DM105" s="1115"/>
      <c r="DN105" s="1109"/>
      <c r="DO105" s="1109"/>
      <c r="DP105" s="1115"/>
      <c r="DQ105" s="1109"/>
      <c r="DR105" s="1109"/>
      <c r="DS105" s="1115"/>
      <c r="DT105" s="1115"/>
      <c r="DU105" s="1115"/>
      <c r="DV105" s="1115"/>
      <c r="DW105" s="1109"/>
      <c r="DX105" s="1109"/>
      <c r="DY105" s="1115"/>
      <c r="DZ105" s="1109" t="s">
        <v>500</v>
      </c>
      <c r="EA105" s="1131" t="s">
        <v>2950</v>
      </c>
      <c r="EB105" s="1115">
        <v>5</v>
      </c>
      <c r="EC105" s="1109"/>
      <c r="ED105" s="1109"/>
      <c r="EE105" s="1115"/>
      <c r="EF105" s="1115"/>
      <c r="EG105" s="1115"/>
      <c r="EH105" s="1115"/>
      <c r="EI105" s="1109"/>
      <c r="EJ105" s="1109"/>
      <c r="EK105" s="1115"/>
      <c r="EL105" s="1115"/>
      <c r="EM105" s="1115"/>
      <c r="EN105" s="1115"/>
      <c r="EO105" s="1109"/>
      <c r="EP105" s="1109"/>
      <c r="EQ105" s="1109"/>
      <c r="ER105" s="1109"/>
      <c r="ES105" s="1109"/>
      <c r="ET105" s="1109"/>
      <c r="EU105" s="1109"/>
      <c r="EV105" s="1109"/>
      <c r="EW105" s="1109"/>
      <c r="EX105" s="1109"/>
    </row>
    <row r="106" spans="3:154" ht="75" customHeight="1" x14ac:dyDescent="0.2">
      <c r="C106" s="1156" t="s">
        <v>782</v>
      </c>
      <c r="D106" s="1156" t="s">
        <v>5278</v>
      </c>
      <c r="E106" s="1104" t="s">
        <v>333</v>
      </c>
      <c r="F106" s="1104" t="s">
        <v>418</v>
      </c>
      <c r="G106" s="1109" t="s">
        <v>2951</v>
      </c>
      <c r="H106" s="1109" t="s">
        <v>2952</v>
      </c>
      <c r="I106" s="1109" t="s">
        <v>2952</v>
      </c>
      <c r="J106" s="1110">
        <v>2020</v>
      </c>
      <c r="K106" s="1105">
        <v>43846</v>
      </c>
      <c r="L106" s="1105">
        <v>43886</v>
      </c>
      <c r="M106" s="1369">
        <f t="shared" si="14"/>
        <v>40</v>
      </c>
      <c r="N106" s="1105"/>
      <c r="O106" s="1105"/>
      <c r="P106" s="1105"/>
      <c r="Q106" s="1105"/>
      <c r="R106" s="1105"/>
      <c r="S106" s="1105"/>
      <c r="T106" s="1105"/>
      <c r="U106" s="1105"/>
      <c r="V106" s="1105"/>
      <c r="W106" s="1105"/>
      <c r="X106" s="1105"/>
      <c r="Y106" s="1109" t="s">
        <v>2953</v>
      </c>
      <c r="Z106" s="1109" t="s">
        <v>504</v>
      </c>
      <c r="AA106" s="1109" t="s">
        <v>2954</v>
      </c>
      <c r="AB106" s="1109" t="s">
        <v>2955</v>
      </c>
      <c r="AC106" s="1109" t="s">
        <v>519</v>
      </c>
      <c r="AD106" s="1109" t="s">
        <v>2956</v>
      </c>
      <c r="AE106" s="1112">
        <v>0.1</v>
      </c>
      <c r="AF106" s="1113">
        <f t="shared" si="10"/>
        <v>0.1</v>
      </c>
      <c r="AG106" s="1113">
        <f t="shared" si="11"/>
        <v>0</v>
      </c>
      <c r="AH106" s="1112"/>
      <c r="AI106" s="1113"/>
      <c r="AJ106" s="1113"/>
      <c r="AK106" s="1112">
        <v>0.1</v>
      </c>
      <c r="AL106" s="1114">
        <v>0.5</v>
      </c>
      <c r="AM106" s="1114">
        <f>AK106/645.994</f>
        <v>1.5480019938265681E-4</v>
      </c>
      <c r="AN106" s="1112"/>
      <c r="AO106" s="1114"/>
      <c r="AP106" s="1112"/>
      <c r="AQ106" s="1114"/>
      <c r="AR106" s="1112"/>
      <c r="AS106" s="1114"/>
      <c r="AT106" s="1114"/>
      <c r="AU106" s="1114"/>
      <c r="AV106" s="1114"/>
      <c r="AW106" s="1114" t="s">
        <v>504</v>
      </c>
      <c r="AX106" s="1114"/>
      <c r="AY106" s="1114"/>
      <c r="AZ106" s="1114"/>
      <c r="BA106" s="1113">
        <v>0.1</v>
      </c>
      <c r="BB106" s="1114">
        <f>BA106/615.758</f>
        <v>1.6240146291237792E-4</v>
      </c>
      <c r="BC106" s="1115">
        <v>6</v>
      </c>
      <c r="BD106" s="1115">
        <v>6</v>
      </c>
      <c r="BE106" s="1116">
        <v>2</v>
      </c>
      <c r="BF106" s="1115"/>
      <c r="BG106" s="1115"/>
      <c r="BH106" s="1115"/>
      <c r="BI106" s="1115"/>
      <c r="BJ106" s="1115"/>
      <c r="BK106" s="1115"/>
      <c r="BL106" s="1115"/>
      <c r="BM106" s="1115"/>
      <c r="BN106" s="1115"/>
      <c r="BO106" s="1115"/>
      <c r="BP106" s="1115"/>
      <c r="BQ106" s="1115"/>
      <c r="BR106" s="1115"/>
      <c r="BS106" s="1115"/>
      <c r="BT106" s="1115"/>
      <c r="BU106" s="1115"/>
      <c r="BV106" s="1115"/>
      <c r="BW106" s="1115"/>
      <c r="BX106" s="1115"/>
      <c r="BY106" s="1115">
        <v>2</v>
      </c>
      <c r="BZ106" s="1115"/>
      <c r="CA106" s="1117">
        <f t="shared" si="15"/>
        <v>2</v>
      </c>
      <c r="CB106" s="1117">
        <f t="shared" si="12"/>
        <v>2</v>
      </c>
      <c r="CC106" s="1117">
        <f t="shared" si="13"/>
        <v>0</v>
      </c>
      <c r="CD106" s="1113">
        <v>0.9</v>
      </c>
      <c r="CE106" s="1109" t="s">
        <v>2957</v>
      </c>
      <c r="CF106" s="1109"/>
      <c r="CG106" s="1116">
        <f>CD106/CH106*100</f>
        <v>4.4499381953028427</v>
      </c>
      <c r="CH106" s="1113">
        <v>20.225000000000001</v>
      </c>
      <c r="CI106" s="1139" t="s">
        <v>1488</v>
      </c>
      <c r="CJ106" s="1109" t="s">
        <v>504</v>
      </c>
      <c r="CK106" s="1109" t="s">
        <v>504</v>
      </c>
      <c r="CL106" s="1109" t="s">
        <v>504</v>
      </c>
      <c r="CM106" s="1115" t="s">
        <v>504</v>
      </c>
      <c r="CN106" s="1115" t="s">
        <v>504</v>
      </c>
      <c r="CO106" s="1115" t="s">
        <v>504</v>
      </c>
      <c r="CP106" s="1109"/>
      <c r="CQ106" s="1109"/>
      <c r="CR106" s="1115"/>
      <c r="CS106" s="1109"/>
      <c r="CT106" s="1109"/>
      <c r="CU106" s="1115"/>
      <c r="CV106" s="1115"/>
      <c r="CW106" s="1115"/>
      <c r="CX106" s="1115"/>
      <c r="CY106" s="1115"/>
      <c r="CZ106" s="1115"/>
      <c r="DA106" s="1115"/>
      <c r="DB106" s="1109"/>
      <c r="DC106" s="1109"/>
      <c r="DD106" s="1115"/>
      <c r="DE106" s="1109"/>
      <c r="DF106" s="1109"/>
      <c r="DG106" s="1115"/>
      <c r="DH106" s="1109"/>
      <c r="DI106" s="1109"/>
      <c r="DJ106" s="1115"/>
      <c r="DK106" s="1109"/>
      <c r="DL106" s="1109"/>
      <c r="DM106" s="1115"/>
      <c r="DN106" s="1109" t="s">
        <v>504</v>
      </c>
      <c r="DO106" s="1109" t="s">
        <v>504</v>
      </c>
      <c r="DP106" s="1115" t="s">
        <v>504</v>
      </c>
      <c r="DQ106" s="1109" t="s">
        <v>504</v>
      </c>
      <c r="DR106" s="1109" t="s">
        <v>504</v>
      </c>
      <c r="DS106" s="1115" t="s">
        <v>504</v>
      </c>
      <c r="DT106" s="1115" t="s">
        <v>504</v>
      </c>
      <c r="DU106" s="1115" t="s">
        <v>504</v>
      </c>
      <c r="DV106" s="1115" t="s">
        <v>504</v>
      </c>
      <c r="DW106" s="1109" t="s">
        <v>504</v>
      </c>
      <c r="DX106" s="1109" t="s">
        <v>504</v>
      </c>
      <c r="DY106" s="1115" t="s">
        <v>504</v>
      </c>
      <c r="DZ106" s="1109" t="s">
        <v>504</v>
      </c>
      <c r="EA106" s="1109" t="s">
        <v>504</v>
      </c>
      <c r="EB106" s="1115" t="s">
        <v>504</v>
      </c>
      <c r="EC106" s="1109" t="s">
        <v>504</v>
      </c>
      <c r="ED106" s="1109" t="s">
        <v>504</v>
      </c>
      <c r="EE106" s="1115" t="s">
        <v>504</v>
      </c>
      <c r="EF106" s="1115" t="s">
        <v>500</v>
      </c>
      <c r="EG106" s="1115" t="s">
        <v>2929</v>
      </c>
      <c r="EH106" s="1115">
        <v>10</v>
      </c>
      <c r="EI106" s="1109" t="s">
        <v>504</v>
      </c>
      <c r="EJ106" s="1109" t="s">
        <v>504</v>
      </c>
      <c r="EK106" s="1115" t="s">
        <v>504</v>
      </c>
      <c r="EL106" s="1115"/>
      <c r="EM106" s="1115"/>
      <c r="EN106" s="1115"/>
      <c r="EO106" s="1109" t="s">
        <v>504</v>
      </c>
      <c r="EP106" s="1109" t="s">
        <v>504</v>
      </c>
      <c r="EQ106" s="1109" t="s">
        <v>504</v>
      </c>
      <c r="ER106" s="1109" t="s">
        <v>504</v>
      </c>
      <c r="ES106" s="1109" t="s">
        <v>504</v>
      </c>
      <c r="ET106" s="1109" t="s">
        <v>2958</v>
      </c>
      <c r="EU106" s="1109" t="s">
        <v>504</v>
      </c>
      <c r="EV106" s="1109" t="s">
        <v>504</v>
      </c>
      <c r="EW106" s="1109" t="s">
        <v>504</v>
      </c>
      <c r="EX106" s="1109" t="s">
        <v>504</v>
      </c>
    </row>
    <row r="107" spans="3:154" ht="75" customHeight="1" x14ac:dyDescent="0.2">
      <c r="C107" s="1156" t="s">
        <v>782</v>
      </c>
      <c r="D107" s="1156" t="s">
        <v>5278</v>
      </c>
      <c r="E107" s="1104" t="s">
        <v>333</v>
      </c>
      <c r="F107" s="1104" t="s">
        <v>418</v>
      </c>
      <c r="G107" s="1109" t="s">
        <v>2959</v>
      </c>
      <c r="H107" s="1109" t="s">
        <v>2935</v>
      </c>
      <c r="I107" s="1109" t="s">
        <v>219</v>
      </c>
      <c r="J107" s="1110" t="s">
        <v>2936</v>
      </c>
      <c r="K107" s="1105">
        <v>43878</v>
      </c>
      <c r="L107" s="1105">
        <v>43910</v>
      </c>
      <c r="M107" s="1369">
        <f t="shared" si="14"/>
        <v>32</v>
      </c>
      <c r="N107" s="1105"/>
      <c r="O107" s="1105"/>
      <c r="P107" s="1105"/>
      <c r="Q107" s="1105"/>
      <c r="R107" s="1105"/>
      <c r="S107" s="1105"/>
      <c r="T107" s="1105"/>
      <c r="U107" s="1105"/>
      <c r="V107" s="1105"/>
      <c r="W107" s="1105"/>
      <c r="X107" s="1105"/>
      <c r="Y107" s="1135" t="s">
        <v>2960</v>
      </c>
      <c r="Z107" s="1131" t="s">
        <v>2961</v>
      </c>
      <c r="AA107" s="1109" t="s">
        <v>2962</v>
      </c>
      <c r="AB107" s="1109" t="s">
        <v>2963</v>
      </c>
      <c r="AC107" s="1109" t="s">
        <v>2964</v>
      </c>
      <c r="AD107" s="1109" t="s">
        <v>2965</v>
      </c>
      <c r="AE107" s="1112">
        <v>0.16300000000000001</v>
      </c>
      <c r="AF107" s="1113">
        <f t="shared" si="10"/>
        <v>0.16300000000000001</v>
      </c>
      <c r="AG107" s="1113">
        <f t="shared" si="11"/>
        <v>0</v>
      </c>
      <c r="AH107" s="1112"/>
      <c r="AI107" s="1113"/>
      <c r="AJ107" s="1113"/>
      <c r="AK107" s="1112">
        <v>0.16300000000000001</v>
      </c>
      <c r="AL107" s="1114">
        <v>0.62</v>
      </c>
      <c r="AM107" s="1114">
        <v>5.0000000000000001E-4</v>
      </c>
      <c r="AN107" s="1112"/>
      <c r="AO107" s="1114"/>
      <c r="AP107" s="1112"/>
      <c r="AQ107" s="1114"/>
      <c r="AR107" s="1112"/>
      <c r="AS107" s="1114"/>
      <c r="AT107" s="1114"/>
      <c r="AU107" s="1114"/>
      <c r="AV107" s="1114"/>
      <c r="AW107" s="1114" t="s">
        <v>504</v>
      </c>
      <c r="AX107" s="1114"/>
      <c r="AY107" s="1114"/>
      <c r="AZ107" s="1114"/>
      <c r="BA107" s="1113"/>
      <c r="BB107" s="1114"/>
      <c r="BC107" s="1115">
        <v>6</v>
      </c>
      <c r="BD107" s="1115">
        <v>6</v>
      </c>
      <c r="BE107" s="1116">
        <v>3</v>
      </c>
      <c r="BF107" s="1115"/>
      <c r="BG107" s="1115"/>
      <c r="BH107" s="1115"/>
      <c r="BI107" s="1115"/>
      <c r="BJ107" s="1115"/>
      <c r="BK107" s="1115"/>
      <c r="BL107" s="1115">
        <v>3</v>
      </c>
      <c r="BM107" s="1115"/>
      <c r="BN107" s="1115"/>
      <c r="BO107" s="1115"/>
      <c r="BP107" s="1115"/>
      <c r="BQ107" s="1115"/>
      <c r="BR107" s="1115"/>
      <c r="BS107" s="1115"/>
      <c r="BT107" s="1115"/>
      <c r="BU107" s="1115"/>
      <c r="BV107" s="1115"/>
      <c r="BW107" s="1115"/>
      <c r="BX107" s="1115"/>
      <c r="BY107" s="1115"/>
      <c r="BZ107" s="1115"/>
      <c r="CA107" s="1117">
        <f t="shared" si="15"/>
        <v>3</v>
      </c>
      <c r="CB107" s="1117">
        <f t="shared" si="12"/>
        <v>3</v>
      </c>
      <c r="CC107" s="1117">
        <f t="shared" si="13"/>
        <v>0</v>
      </c>
      <c r="CD107" s="1113">
        <v>1.4490000000000001</v>
      </c>
      <c r="CE107" s="1109" t="s">
        <v>2966</v>
      </c>
      <c r="CF107" s="1109"/>
      <c r="CG107" s="1116">
        <f>CD107/CH107*100</f>
        <v>7.2946033024567054</v>
      </c>
      <c r="CH107" s="1113">
        <v>19.864000000000001</v>
      </c>
      <c r="CI107" s="1149" t="s">
        <v>1488</v>
      </c>
      <c r="CJ107" s="1109" t="s">
        <v>504</v>
      </c>
      <c r="CK107" s="1109"/>
      <c r="CL107" s="1109"/>
      <c r="CM107" s="1115"/>
      <c r="CN107" s="1115"/>
      <c r="CO107" s="1115"/>
      <c r="CP107" s="1109" t="s">
        <v>504</v>
      </c>
      <c r="CQ107" s="1109"/>
      <c r="CR107" s="1115"/>
      <c r="CS107" s="1109" t="s">
        <v>504</v>
      </c>
      <c r="CT107" s="1109"/>
      <c r="CU107" s="1115"/>
      <c r="CV107" s="1115" t="s">
        <v>504</v>
      </c>
      <c r="CW107" s="1115"/>
      <c r="CX107" s="1115"/>
      <c r="CY107" s="1115" t="s">
        <v>504</v>
      </c>
      <c r="CZ107" s="1115"/>
      <c r="DA107" s="1115"/>
      <c r="DB107" s="1109" t="s">
        <v>504</v>
      </c>
      <c r="DC107" s="1109"/>
      <c r="DD107" s="1115"/>
      <c r="DE107" s="1109" t="s">
        <v>504</v>
      </c>
      <c r="DF107" s="1109"/>
      <c r="DG107" s="1115"/>
      <c r="DH107" s="1109" t="s">
        <v>504</v>
      </c>
      <c r="DI107" s="1109"/>
      <c r="DJ107" s="1115"/>
      <c r="DK107" s="1109" t="s">
        <v>500</v>
      </c>
      <c r="DL107" s="1109" t="s">
        <v>2967</v>
      </c>
      <c r="DM107" s="1115">
        <v>21</v>
      </c>
      <c r="DN107" s="1109" t="s">
        <v>504</v>
      </c>
      <c r="DO107" s="1109"/>
      <c r="DP107" s="1115"/>
      <c r="DQ107" s="1109" t="s">
        <v>504</v>
      </c>
      <c r="DR107" s="1109"/>
      <c r="DS107" s="1115"/>
      <c r="DT107" s="1115" t="s">
        <v>504</v>
      </c>
      <c r="DU107" s="1115"/>
      <c r="DV107" s="1115"/>
      <c r="DW107" s="1109" t="s">
        <v>504</v>
      </c>
      <c r="DX107" s="1109"/>
      <c r="DY107" s="1115"/>
      <c r="DZ107" s="1109" t="s">
        <v>504</v>
      </c>
      <c r="EA107" s="1109"/>
      <c r="EB107" s="1115"/>
      <c r="EC107" s="1109" t="s">
        <v>504</v>
      </c>
      <c r="ED107" s="1109"/>
      <c r="EE107" s="1115"/>
      <c r="EF107" s="1115" t="s">
        <v>500</v>
      </c>
      <c r="EG107" s="1115" t="s">
        <v>48</v>
      </c>
      <c r="EH107" s="1115">
        <v>21</v>
      </c>
      <c r="EI107" s="1109" t="s">
        <v>504</v>
      </c>
      <c r="EJ107" s="1109"/>
      <c r="EK107" s="1115"/>
      <c r="EL107" s="1115"/>
      <c r="EM107" s="1115"/>
      <c r="EN107" s="1115"/>
      <c r="EO107" s="1109" t="s">
        <v>504</v>
      </c>
      <c r="EP107" s="1109"/>
      <c r="EQ107" s="1109"/>
      <c r="ER107" s="1109"/>
      <c r="ES107" s="1109"/>
      <c r="ET107" s="1109" t="s">
        <v>2968</v>
      </c>
      <c r="EU107" s="1109"/>
      <c r="EV107" s="1109" t="s">
        <v>2969</v>
      </c>
      <c r="EW107" s="1109">
        <v>6</v>
      </c>
      <c r="EX107" s="1109">
        <v>140</v>
      </c>
    </row>
    <row r="108" spans="3:154" ht="75" customHeight="1" x14ac:dyDescent="0.2">
      <c r="C108" s="1156" t="s">
        <v>782</v>
      </c>
      <c r="D108" s="1156" t="s">
        <v>5278</v>
      </c>
      <c r="E108" s="1104" t="s">
        <v>333</v>
      </c>
      <c r="F108" s="1104" t="s">
        <v>418</v>
      </c>
      <c r="G108" s="1109" t="s">
        <v>2970</v>
      </c>
      <c r="H108" s="1109" t="s">
        <v>2971</v>
      </c>
      <c r="I108" s="1109" t="s">
        <v>2971</v>
      </c>
      <c r="J108" s="1110">
        <v>2020</v>
      </c>
      <c r="K108" s="1105">
        <v>43831</v>
      </c>
      <c r="L108" s="1105">
        <v>44196</v>
      </c>
      <c r="M108" s="1369">
        <f t="shared" si="14"/>
        <v>365</v>
      </c>
      <c r="N108" s="1105"/>
      <c r="O108" s="1105"/>
      <c r="P108" s="1105"/>
      <c r="Q108" s="1105"/>
      <c r="R108" s="1105"/>
      <c r="S108" s="1105"/>
      <c r="T108" s="1105"/>
      <c r="U108" s="1105"/>
      <c r="V108" s="1105"/>
      <c r="W108" s="1105"/>
      <c r="X108" s="1105"/>
      <c r="Y108" s="1451" t="s">
        <v>2972</v>
      </c>
      <c r="Z108" s="1127" t="s">
        <v>2973</v>
      </c>
      <c r="AA108" s="1109" t="s">
        <v>2974</v>
      </c>
      <c r="AB108" s="1109" t="s">
        <v>2974</v>
      </c>
      <c r="AC108" s="1109" t="s">
        <v>671</v>
      </c>
      <c r="AD108" s="1109" t="s">
        <v>2975</v>
      </c>
      <c r="AE108" s="1112">
        <v>0.1</v>
      </c>
      <c r="AF108" s="1113">
        <f t="shared" si="10"/>
        <v>0.1</v>
      </c>
      <c r="AG108" s="1113">
        <f t="shared" si="11"/>
        <v>0</v>
      </c>
      <c r="AH108" s="1112"/>
      <c r="AI108" s="1113"/>
      <c r="AJ108" s="1113"/>
      <c r="AK108" s="1112">
        <v>0.1</v>
      </c>
      <c r="AL108" s="1114">
        <f>AK108/AE108</f>
        <v>1</v>
      </c>
      <c r="AM108" s="1114">
        <v>2.0000000000000001E-4</v>
      </c>
      <c r="AN108" s="1112"/>
      <c r="AO108" s="1114"/>
      <c r="AP108" s="1112"/>
      <c r="AQ108" s="1114"/>
      <c r="AR108" s="1112"/>
      <c r="AS108" s="1114"/>
      <c r="AT108" s="1114"/>
      <c r="AU108" s="1114"/>
      <c r="AV108" s="1114"/>
      <c r="AW108" s="1114" t="s">
        <v>504</v>
      </c>
      <c r="AX108" s="1114"/>
      <c r="AY108" s="1113">
        <v>0.2</v>
      </c>
      <c r="AZ108" s="1114" t="s">
        <v>2976</v>
      </c>
      <c r="BA108" s="1113">
        <v>0.1</v>
      </c>
      <c r="BB108" s="1114">
        <v>2.0000000000000001E-4</v>
      </c>
      <c r="BC108" s="1115"/>
      <c r="BD108" s="1115"/>
      <c r="BE108" s="1116"/>
      <c r="BF108" s="1115"/>
      <c r="BG108" s="1115"/>
      <c r="BH108" s="1115"/>
      <c r="BI108" s="1115"/>
      <c r="BJ108" s="1115"/>
      <c r="BK108" s="1115"/>
      <c r="BL108" s="1115">
        <v>1</v>
      </c>
      <c r="BM108" s="1115"/>
      <c r="BN108" s="1115"/>
      <c r="BO108" s="1115"/>
      <c r="BP108" s="1115"/>
      <c r="BQ108" s="1115"/>
      <c r="BR108" s="1115"/>
      <c r="BS108" s="1115"/>
      <c r="BT108" s="1115"/>
      <c r="BU108" s="1115"/>
      <c r="BV108" s="1115"/>
      <c r="BW108" s="1115"/>
      <c r="BX108" s="1115"/>
      <c r="BY108" s="1115"/>
      <c r="BZ108" s="1115"/>
      <c r="CA108" s="1117">
        <f t="shared" si="15"/>
        <v>1</v>
      </c>
      <c r="CB108" s="1117">
        <f t="shared" si="12"/>
        <v>1</v>
      </c>
      <c r="CC108" s="1117">
        <f t="shared" si="13"/>
        <v>0</v>
      </c>
      <c r="CD108" s="1113">
        <v>0.13800000000000001</v>
      </c>
      <c r="CE108" s="1109" t="s">
        <v>2977</v>
      </c>
      <c r="CF108" s="1109"/>
      <c r="CG108" s="1116">
        <f>CD108/CH108*100</f>
        <v>1.0048055919615555</v>
      </c>
      <c r="CH108" s="1113">
        <v>13.734</v>
      </c>
      <c r="CI108" s="1139" t="s">
        <v>1488</v>
      </c>
      <c r="CJ108" s="1109" t="s">
        <v>504</v>
      </c>
      <c r="CK108" s="1109"/>
      <c r="CL108" s="1109"/>
      <c r="CM108" s="1115"/>
      <c r="CN108" s="1115"/>
      <c r="CO108" s="1115"/>
      <c r="CP108" s="1109" t="s">
        <v>504</v>
      </c>
      <c r="CQ108" s="1109"/>
      <c r="CR108" s="1115"/>
      <c r="CS108" s="1109" t="s">
        <v>504</v>
      </c>
      <c r="CT108" s="1109"/>
      <c r="CU108" s="1115"/>
      <c r="CV108" s="1115" t="s">
        <v>504</v>
      </c>
      <c r="CW108" s="1115"/>
      <c r="CX108" s="1115"/>
      <c r="CY108" s="1115" t="s">
        <v>504</v>
      </c>
      <c r="CZ108" s="1115"/>
      <c r="DA108" s="1115"/>
      <c r="DB108" s="1109" t="s">
        <v>504</v>
      </c>
      <c r="DC108" s="1109"/>
      <c r="DD108" s="1115"/>
      <c r="DE108" s="1109" t="s">
        <v>504</v>
      </c>
      <c r="DF108" s="1109"/>
      <c r="DG108" s="1115"/>
      <c r="DH108" s="1109" t="s">
        <v>504</v>
      </c>
      <c r="DI108" s="1109"/>
      <c r="DJ108" s="1115"/>
      <c r="DK108" s="1109"/>
      <c r="DL108" s="1109"/>
      <c r="DM108" s="1115"/>
      <c r="DN108" s="1109" t="s">
        <v>504</v>
      </c>
      <c r="DO108" s="1109"/>
      <c r="DP108" s="1115"/>
      <c r="DQ108" s="1109" t="s">
        <v>504</v>
      </c>
      <c r="DR108" s="1109"/>
      <c r="DS108" s="1115"/>
      <c r="DT108" s="1115" t="s">
        <v>504</v>
      </c>
      <c r="DU108" s="1115"/>
      <c r="DV108" s="1115"/>
      <c r="DW108" s="1109" t="s">
        <v>504</v>
      </c>
      <c r="DX108" s="1109"/>
      <c r="DY108" s="1115"/>
      <c r="DZ108" s="1109" t="s">
        <v>504</v>
      </c>
      <c r="EA108" s="1109"/>
      <c r="EB108" s="1115"/>
      <c r="EC108" s="1109" t="s">
        <v>504</v>
      </c>
      <c r="ED108" s="1137"/>
      <c r="EE108" s="1115"/>
      <c r="EF108" s="1115" t="s">
        <v>500</v>
      </c>
      <c r="EG108" s="1109" t="s">
        <v>2978</v>
      </c>
      <c r="EH108" s="1115">
        <v>5</v>
      </c>
      <c r="EI108" s="1109"/>
      <c r="EJ108" s="1109"/>
      <c r="EK108" s="1115"/>
      <c r="EL108" s="1115"/>
      <c r="EM108" s="1115"/>
      <c r="EN108" s="1115"/>
      <c r="EO108" s="1109" t="s">
        <v>504</v>
      </c>
      <c r="EP108" s="1109"/>
      <c r="EQ108" s="1109" t="s">
        <v>2979</v>
      </c>
      <c r="ER108" s="1109" t="s">
        <v>2980</v>
      </c>
      <c r="ES108" s="1109"/>
      <c r="ET108" s="1109"/>
      <c r="EU108" s="1109"/>
      <c r="EV108" s="1109"/>
      <c r="EW108" s="1109"/>
      <c r="EX108" s="1109"/>
    </row>
    <row r="109" spans="3:154" ht="69" customHeight="1" x14ac:dyDescent="0.2">
      <c r="C109" s="1156" t="s">
        <v>693</v>
      </c>
      <c r="D109" s="1156" t="s">
        <v>5277</v>
      </c>
      <c r="E109" s="738" t="s">
        <v>334</v>
      </c>
      <c r="F109" s="738" t="s">
        <v>419</v>
      </c>
      <c r="G109" s="738"/>
      <c r="H109" s="1422" t="s">
        <v>1591</v>
      </c>
      <c r="I109" s="1422" t="s">
        <v>1592</v>
      </c>
      <c r="J109" s="1423">
        <v>2017</v>
      </c>
      <c r="K109" s="1424">
        <v>43731</v>
      </c>
      <c r="L109" s="1424">
        <v>44196</v>
      </c>
      <c r="M109" s="1369">
        <f t="shared" si="14"/>
        <v>465</v>
      </c>
      <c r="N109" s="1422" t="s">
        <v>2557</v>
      </c>
      <c r="O109" s="1422" t="s">
        <v>1594</v>
      </c>
      <c r="P109" s="1425" t="s">
        <v>1595</v>
      </c>
      <c r="Q109" s="1426" t="s">
        <v>504</v>
      </c>
      <c r="R109" s="1426" t="s">
        <v>504</v>
      </c>
      <c r="S109" s="1426" t="s">
        <v>504</v>
      </c>
      <c r="T109" s="1426" t="s">
        <v>504</v>
      </c>
      <c r="U109" s="1426" t="s">
        <v>504</v>
      </c>
      <c r="V109" s="1426" t="s">
        <v>504</v>
      </c>
      <c r="W109" s="1426" t="s">
        <v>504</v>
      </c>
      <c r="X109" s="1426" t="s">
        <v>504</v>
      </c>
      <c r="Y109" s="1426"/>
      <c r="Z109" s="1426"/>
      <c r="AA109" s="1422" t="s">
        <v>1596</v>
      </c>
      <c r="AB109" s="1422" t="s">
        <v>1596</v>
      </c>
      <c r="AC109" s="1422" t="s">
        <v>469</v>
      </c>
      <c r="AD109" s="1422" t="s">
        <v>1597</v>
      </c>
      <c r="AE109" s="1427">
        <v>166.2</v>
      </c>
      <c r="AF109" s="671">
        <f t="shared" si="10"/>
        <v>166.2</v>
      </c>
      <c r="AG109" s="671">
        <f t="shared" si="11"/>
        <v>0</v>
      </c>
      <c r="AH109" s="1427">
        <v>116.4</v>
      </c>
      <c r="AI109" s="1428">
        <v>0.70040000000000002</v>
      </c>
      <c r="AJ109" s="1428">
        <v>0.06</v>
      </c>
      <c r="AK109" s="1427">
        <v>35.799999999999997</v>
      </c>
      <c r="AL109" s="1428">
        <v>0.21540000000000001</v>
      </c>
      <c r="AM109" s="1428"/>
      <c r="AN109" s="1427">
        <v>13.4</v>
      </c>
      <c r="AO109" s="1428">
        <v>8.0600000000000005E-2</v>
      </c>
      <c r="AP109" s="1427">
        <v>0.6</v>
      </c>
      <c r="AQ109" s="1428">
        <v>3.5999999999999999E-3</v>
      </c>
      <c r="AR109" s="1427"/>
      <c r="AS109" s="1428" t="s">
        <v>504</v>
      </c>
      <c r="AT109" s="1426" t="s">
        <v>504</v>
      </c>
      <c r="AU109" s="1426" t="s">
        <v>504</v>
      </c>
      <c r="AV109" s="1426" t="s">
        <v>504</v>
      </c>
      <c r="AW109" s="1426" t="s">
        <v>500</v>
      </c>
      <c r="AX109" s="1426" t="s">
        <v>1598</v>
      </c>
      <c r="AY109" s="1427">
        <v>8.1999999999999993</v>
      </c>
      <c r="AZ109" s="1428">
        <v>4.9299999999999997E-2</v>
      </c>
      <c r="BA109" s="1429">
        <v>150</v>
      </c>
      <c r="BB109" s="1428">
        <v>8.0000000000000004E-4</v>
      </c>
      <c r="BC109" s="1430">
        <v>458</v>
      </c>
      <c r="BD109" s="1430">
        <v>214</v>
      </c>
      <c r="BE109" s="1429">
        <v>214</v>
      </c>
      <c r="BF109" s="1430">
        <v>2</v>
      </c>
      <c r="BG109" s="1430">
        <v>15</v>
      </c>
      <c r="BH109" s="1430">
        <v>20</v>
      </c>
      <c r="BI109" s="1430">
        <v>1</v>
      </c>
      <c r="BJ109" s="1430">
        <v>2</v>
      </c>
      <c r="BK109" s="1430">
        <v>8</v>
      </c>
      <c r="BL109" s="1430">
        <v>8</v>
      </c>
      <c r="BM109" s="1430">
        <v>22</v>
      </c>
      <c r="BN109" s="1430">
        <v>19</v>
      </c>
      <c r="BO109" s="1430">
        <v>0</v>
      </c>
      <c r="BP109" s="1430">
        <v>16</v>
      </c>
      <c r="BQ109" s="1430">
        <v>26</v>
      </c>
      <c r="BR109" s="1430">
        <v>71</v>
      </c>
      <c r="BS109" s="1430">
        <v>0</v>
      </c>
      <c r="BT109" s="1430">
        <v>0</v>
      </c>
      <c r="BU109" s="1430">
        <v>1</v>
      </c>
      <c r="BV109" s="1430">
        <v>0</v>
      </c>
      <c r="BW109" s="1430">
        <v>3</v>
      </c>
      <c r="BX109" s="1430">
        <v>0</v>
      </c>
      <c r="BY109" s="1430">
        <v>0</v>
      </c>
      <c r="BZ109" s="1430">
        <v>0</v>
      </c>
      <c r="CA109" s="1431">
        <v>214</v>
      </c>
      <c r="CB109" s="717">
        <f t="shared" si="12"/>
        <v>214</v>
      </c>
      <c r="CC109" s="717">
        <f t="shared" si="13"/>
        <v>0</v>
      </c>
      <c r="CD109" s="1432">
        <v>371.7</v>
      </c>
      <c r="CE109" s="1426" t="s">
        <v>1599</v>
      </c>
      <c r="CF109" s="1426" t="s">
        <v>504</v>
      </c>
      <c r="CG109" s="1428" t="s">
        <v>1611</v>
      </c>
      <c r="CH109" s="1432">
        <v>2798.2</v>
      </c>
      <c r="CI109" s="1433" t="s">
        <v>1600</v>
      </c>
      <c r="CJ109" s="1426" t="s">
        <v>500</v>
      </c>
      <c r="CK109" s="1422" t="s">
        <v>1601</v>
      </c>
      <c r="CL109" s="1422" t="s">
        <v>1602</v>
      </c>
      <c r="CM109" s="1430">
        <v>4</v>
      </c>
      <c r="CN109" s="1430">
        <v>0</v>
      </c>
      <c r="CO109" s="1430">
        <v>0</v>
      </c>
      <c r="CP109" s="1426" t="s">
        <v>500</v>
      </c>
      <c r="CQ109" s="1422" t="s">
        <v>1603</v>
      </c>
      <c r="CR109" s="1430">
        <v>29600</v>
      </c>
      <c r="CS109" s="1426" t="s">
        <v>504</v>
      </c>
      <c r="CT109" s="1426" t="s">
        <v>504</v>
      </c>
      <c r="CU109" s="1430">
        <v>0</v>
      </c>
      <c r="CV109" s="1430" t="s">
        <v>504</v>
      </c>
      <c r="CW109" s="1430" t="s">
        <v>504</v>
      </c>
      <c r="CX109" s="1430">
        <v>0</v>
      </c>
      <c r="CY109" s="1430" t="s">
        <v>504</v>
      </c>
      <c r="CZ109" s="1430" t="s">
        <v>504</v>
      </c>
      <c r="DA109" s="1430">
        <v>0</v>
      </c>
      <c r="DB109" s="1430" t="s">
        <v>504</v>
      </c>
      <c r="DC109" s="1430" t="s">
        <v>504</v>
      </c>
      <c r="DD109" s="1430">
        <v>0</v>
      </c>
      <c r="DE109" s="1430" t="s">
        <v>500</v>
      </c>
      <c r="DF109" s="1422" t="s">
        <v>1604</v>
      </c>
      <c r="DG109" s="1430">
        <v>700</v>
      </c>
      <c r="DH109" s="1430" t="s">
        <v>504</v>
      </c>
      <c r="DI109" s="1430" t="s">
        <v>504</v>
      </c>
      <c r="DJ109" s="1430">
        <v>0</v>
      </c>
      <c r="DK109" s="1430" t="s">
        <v>504</v>
      </c>
      <c r="DL109" s="1430" t="s">
        <v>504</v>
      </c>
      <c r="DM109" s="1430">
        <v>0</v>
      </c>
      <c r="DN109" s="1422" t="s">
        <v>504</v>
      </c>
      <c r="DO109" s="1434" t="s">
        <v>504</v>
      </c>
      <c r="DP109" s="1430">
        <v>0</v>
      </c>
      <c r="DQ109" s="1422" t="s">
        <v>500</v>
      </c>
      <c r="DR109" s="1422" t="s">
        <v>1605</v>
      </c>
      <c r="DS109" s="1435">
        <v>23300</v>
      </c>
      <c r="DT109" s="1430" t="s">
        <v>504</v>
      </c>
      <c r="DU109" s="1430" t="s">
        <v>504</v>
      </c>
      <c r="DV109" s="1430">
        <v>0</v>
      </c>
      <c r="DW109" s="1430" t="s">
        <v>504</v>
      </c>
      <c r="DX109" s="1430" t="s">
        <v>504</v>
      </c>
      <c r="DY109" s="1430">
        <v>0</v>
      </c>
      <c r="DZ109" s="1430" t="s">
        <v>504</v>
      </c>
      <c r="EA109" s="1430" t="s">
        <v>504</v>
      </c>
      <c r="EB109" s="1430">
        <v>0</v>
      </c>
      <c r="EC109" s="1430" t="s">
        <v>504</v>
      </c>
      <c r="ED109" s="1430" t="s">
        <v>504</v>
      </c>
      <c r="EE109" s="1430">
        <v>0</v>
      </c>
      <c r="EF109" s="1430" t="s">
        <v>504</v>
      </c>
      <c r="EG109" s="1430" t="s">
        <v>504</v>
      </c>
      <c r="EH109" s="1430">
        <v>0</v>
      </c>
      <c r="EI109" s="1430" t="s">
        <v>504</v>
      </c>
      <c r="EJ109" s="1430" t="s">
        <v>504</v>
      </c>
      <c r="EK109" s="1430">
        <v>0</v>
      </c>
      <c r="EL109" s="1422" t="s">
        <v>1606</v>
      </c>
      <c r="EM109" s="1422" t="s">
        <v>1607</v>
      </c>
      <c r="EN109" s="1436">
        <v>223</v>
      </c>
      <c r="EO109" s="1422" t="s">
        <v>504</v>
      </c>
      <c r="EP109" s="1422" t="s">
        <v>504</v>
      </c>
      <c r="EQ109" s="1422" t="s">
        <v>1608</v>
      </c>
      <c r="ER109" s="1426" t="s">
        <v>504</v>
      </c>
      <c r="ES109" s="1426" t="s">
        <v>504</v>
      </c>
      <c r="ET109" s="1426" t="s">
        <v>504</v>
      </c>
      <c r="EU109" s="1426" t="s">
        <v>504</v>
      </c>
      <c r="EV109" s="1422" t="s">
        <v>1609</v>
      </c>
      <c r="EW109" s="1426">
        <v>3</v>
      </c>
      <c r="EX109" s="1426">
        <v>639</v>
      </c>
    </row>
    <row r="110" spans="3:154" ht="66.95" customHeight="1" x14ac:dyDescent="0.2">
      <c r="C110" s="1156" t="s">
        <v>5479</v>
      </c>
      <c r="D110" s="1156" t="s">
        <v>5277</v>
      </c>
      <c r="E110" s="738" t="s">
        <v>335</v>
      </c>
      <c r="F110" s="738" t="s">
        <v>420</v>
      </c>
      <c r="G110" s="738"/>
      <c r="H110" s="632" t="s">
        <v>1612</v>
      </c>
      <c r="I110" s="632" t="s">
        <v>504</v>
      </c>
      <c r="J110" s="637">
        <v>2018</v>
      </c>
      <c r="K110" s="377">
        <v>43612</v>
      </c>
      <c r="L110" s="377">
        <v>44196</v>
      </c>
      <c r="M110" s="1369">
        <f t="shared" si="14"/>
        <v>584</v>
      </c>
      <c r="N110" s="632" t="s">
        <v>1614</v>
      </c>
      <c r="O110" s="632" t="s">
        <v>1615</v>
      </c>
      <c r="P110" s="728" t="s">
        <v>1616</v>
      </c>
      <c r="Q110" s="632" t="s">
        <v>504</v>
      </c>
      <c r="R110" s="632"/>
      <c r="S110" s="632" t="s">
        <v>504</v>
      </c>
      <c r="T110" s="632"/>
      <c r="U110" s="632" t="s">
        <v>504</v>
      </c>
      <c r="V110" s="632"/>
      <c r="W110" s="632" t="s">
        <v>1617</v>
      </c>
      <c r="X110" s="728" t="s">
        <v>1618</v>
      </c>
      <c r="Y110" s="728"/>
      <c r="Z110" s="728"/>
      <c r="AA110" s="632" t="s">
        <v>1619</v>
      </c>
      <c r="AB110" s="632" t="s">
        <v>1619</v>
      </c>
      <c r="AC110" s="632" t="s">
        <v>519</v>
      </c>
      <c r="AD110" s="632" t="s">
        <v>1620</v>
      </c>
      <c r="AE110" s="702">
        <v>319.66800000000001</v>
      </c>
      <c r="AF110" s="671">
        <f t="shared" si="10"/>
        <v>319.66899999999998</v>
      </c>
      <c r="AG110" s="671">
        <f t="shared" si="11"/>
        <v>9.9999999997635314E-4</v>
      </c>
      <c r="AH110" s="702">
        <v>5.68</v>
      </c>
      <c r="AI110" s="683">
        <f>284/319.668</f>
        <v>0.88842173755271092</v>
      </c>
      <c r="AJ110" s="683">
        <f>5.68/88695.59</f>
        <v>6.4039260576540503E-5</v>
      </c>
      <c r="AK110" s="702">
        <v>35.319000000000003</v>
      </c>
      <c r="AL110" s="683">
        <f>35.31846246/319.668</f>
        <v>0.11048482319156123</v>
      </c>
      <c r="AM110" s="683"/>
      <c r="AN110" s="702">
        <v>0</v>
      </c>
      <c r="AO110" s="683">
        <v>0</v>
      </c>
      <c r="AP110" s="702">
        <v>0.35</v>
      </c>
      <c r="AQ110" s="683">
        <f>0.35/319.3668</f>
        <v>1.0959185488284943E-3</v>
      </c>
      <c r="AR110" s="702">
        <v>278.32</v>
      </c>
      <c r="AS110" s="683">
        <f>278.32/319.668</f>
        <v>0.87065330280165665</v>
      </c>
      <c r="AT110" s="632" t="s">
        <v>1621</v>
      </c>
      <c r="AU110" s="632" t="s">
        <v>946</v>
      </c>
      <c r="AV110" s="632" t="s">
        <v>1619</v>
      </c>
      <c r="AW110" s="632" t="s">
        <v>504</v>
      </c>
      <c r="AX110" s="632"/>
      <c r="AY110" s="632"/>
      <c r="AZ110" s="683"/>
      <c r="BA110" s="671">
        <v>20</v>
      </c>
      <c r="BB110" s="683"/>
      <c r="BC110" s="710"/>
      <c r="BD110" s="710"/>
      <c r="BE110" s="706">
        <v>14</v>
      </c>
      <c r="BF110" s="710"/>
      <c r="BG110" s="710"/>
      <c r="BH110" s="710"/>
      <c r="BI110" s="710"/>
      <c r="BJ110" s="710"/>
      <c r="BK110" s="710"/>
      <c r="BL110" s="710"/>
      <c r="BM110" s="710"/>
      <c r="BN110" s="710"/>
      <c r="BO110" s="710"/>
      <c r="BP110" s="710"/>
      <c r="BQ110" s="710">
        <v>14</v>
      </c>
      <c r="BR110" s="710"/>
      <c r="BS110" s="710"/>
      <c r="BT110" s="710"/>
      <c r="BU110" s="710"/>
      <c r="BV110" s="710"/>
      <c r="BW110" s="710"/>
      <c r="BX110" s="710"/>
      <c r="BY110" s="710"/>
      <c r="BZ110" s="710"/>
      <c r="CA110" s="717">
        <f t="shared" ref="CA110:CA130" si="16">SUM(BF110:BZ110)</f>
        <v>14</v>
      </c>
      <c r="CB110" s="717">
        <f t="shared" si="12"/>
        <v>14</v>
      </c>
      <c r="CC110" s="717">
        <f t="shared" si="13"/>
        <v>0</v>
      </c>
      <c r="CD110" s="671" t="s">
        <v>806</v>
      </c>
      <c r="CE110" s="632"/>
      <c r="CF110" s="632"/>
      <c r="CG110" s="683"/>
      <c r="CH110" s="671"/>
      <c r="CI110" s="683"/>
      <c r="CJ110" s="632" t="s">
        <v>905</v>
      </c>
      <c r="CK110" s="632"/>
      <c r="CL110" s="632"/>
      <c r="CM110" s="710"/>
      <c r="CN110" s="710"/>
      <c r="CO110" s="710"/>
      <c r="CP110" s="632" t="s">
        <v>504</v>
      </c>
      <c r="CQ110" s="632"/>
      <c r="CR110" s="710"/>
      <c r="CS110" s="632" t="s">
        <v>504</v>
      </c>
      <c r="CT110" s="632"/>
      <c r="CU110" s="710"/>
      <c r="CV110" s="710" t="s">
        <v>504</v>
      </c>
      <c r="CW110" s="710"/>
      <c r="CX110" s="710"/>
      <c r="CY110" s="710" t="s">
        <v>504</v>
      </c>
      <c r="CZ110" s="710"/>
      <c r="DA110" s="710"/>
      <c r="DB110" s="632" t="s">
        <v>504</v>
      </c>
      <c r="DC110" s="632"/>
      <c r="DD110" s="710"/>
      <c r="DE110" s="632" t="s">
        <v>504</v>
      </c>
      <c r="DF110" s="632"/>
      <c r="DG110" s="710"/>
      <c r="DH110" s="632" t="s">
        <v>504</v>
      </c>
      <c r="DI110" s="632"/>
      <c r="DJ110" s="710"/>
      <c r="DK110" s="632" t="s">
        <v>500</v>
      </c>
      <c r="DL110" s="632" t="s">
        <v>1622</v>
      </c>
      <c r="DM110" s="710">
        <v>15923</v>
      </c>
      <c r="DN110" s="632" t="s">
        <v>500</v>
      </c>
      <c r="DO110" s="632" t="s">
        <v>1623</v>
      </c>
      <c r="DP110" s="710">
        <v>6973</v>
      </c>
      <c r="DQ110" s="632" t="s">
        <v>500</v>
      </c>
      <c r="DR110" s="632" t="s">
        <v>1624</v>
      </c>
      <c r="DS110" s="710">
        <v>8950</v>
      </c>
      <c r="DT110" s="710" t="s">
        <v>504</v>
      </c>
      <c r="DU110" s="710"/>
      <c r="DV110" s="710"/>
      <c r="DW110" s="632" t="s">
        <v>504</v>
      </c>
      <c r="DX110" s="632"/>
      <c r="DY110" s="710"/>
      <c r="DZ110" s="632" t="s">
        <v>504</v>
      </c>
      <c r="EA110" s="632"/>
      <c r="EB110" s="710"/>
      <c r="EC110" s="632" t="s">
        <v>504</v>
      </c>
      <c r="ED110" s="632"/>
      <c r="EE110" s="710"/>
      <c r="EF110" s="710" t="s">
        <v>504</v>
      </c>
      <c r="EG110" s="710"/>
      <c r="EH110" s="710"/>
      <c r="EI110" s="632" t="s">
        <v>504</v>
      </c>
      <c r="EJ110" s="632"/>
      <c r="EK110" s="710"/>
      <c r="EL110" s="632" t="s">
        <v>1625</v>
      </c>
      <c r="EM110" s="632" t="s">
        <v>1626</v>
      </c>
      <c r="EN110" s="710">
        <v>4</v>
      </c>
      <c r="EO110" s="632" t="s">
        <v>504</v>
      </c>
      <c r="EP110" s="632"/>
      <c r="EQ110" s="632"/>
      <c r="ER110" s="632" t="s">
        <v>219</v>
      </c>
      <c r="ES110" s="632"/>
      <c r="ET110" s="632"/>
      <c r="EU110" s="632"/>
      <c r="EV110" s="632"/>
      <c r="EW110" s="632"/>
      <c r="EX110" s="632"/>
    </row>
    <row r="111" spans="3:154" ht="66.95" customHeight="1" x14ac:dyDescent="0.2">
      <c r="C111" s="1156" t="s">
        <v>5480</v>
      </c>
      <c r="D111" s="1156" t="s">
        <v>5278</v>
      </c>
      <c r="E111" s="1104" t="s">
        <v>335</v>
      </c>
      <c r="F111" s="1104" t="s">
        <v>420</v>
      </c>
      <c r="G111" s="1109" t="s">
        <v>2981</v>
      </c>
      <c r="H111" s="1109" t="s">
        <v>2982</v>
      </c>
      <c r="I111" s="1109" t="s">
        <v>2982</v>
      </c>
      <c r="J111" s="1110">
        <v>2020</v>
      </c>
      <c r="K111" s="1105">
        <v>44069</v>
      </c>
      <c r="L111" s="1105">
        <v>44134</v>
      </c>
      <c r="M111" s="1369">
        <f t="shared" si="14"/>
        <v>65</v>
      </c>
      <c r="N111" s="1105"/>
      <c r="O111" s="1105"/>
      <c r="P111" s="1105"/>
      <c r="Q111" s="1105"/>
      <c r="R111" s="1105"/>
      <c r="S111" s="1105"/>
      <c r="T111" s="1105"/>
      <c r="U111" s="1105"/>
      <c r="V111" s="1105"/>
      <c r="W111" s="1105"/>
      <c r="X111" s="1105"/>
      <c r="Y111" s="1109" t="s">
        <v>2983</v>
      </c>
      <c r="Z111" s="1120" t="s">
        <v>2984</v>
      </c>
      <c r="AA111" s="1109" t="s">
        <v>2981</v>
      </c>
      <c r="AB111" s="1109" t="s">
        <v>2981</v>
      </c>
      <c r="AC111" s="1109" t="s">
        <v>2985</v>
      </c>
      <c r="AD111" s="1109"/>
      <c r="AE111" s="1225">
        <v>0.32</v>
      </c>
      <c r="AF111" s="1113">
        <f t="shared" si="10"/>
        <v>0.32</v>
      </c>
      <c r="AG111" s="1113">
        <f t="shared" si="11"/>
        <v>0</v>
      </c>
      <c r="AH111" s="1225"/>
      <c r="AI111" s="1226"/>
      <c r="AJ111" s="1226"/>
      <c r="AK111" s="1225">
        <v>0.2</v>
      </c>
      <c r="AL111" s="1227">
        <v>0.66700000000000004</v>
      </c>
      <c r="AM111" s="1227">
        <v>3.0000000000000001E-3</v>
      </c>
      <c r="AN111" s="1228">
        <v>0.02</v>
      </c>
      <c r="AO111" s="1229">
        <v>7.2999999999999995E-2</v>
      </c>
      <c r="AP111" s="1225">
        <v>0.1</v>
      </c>
      <c r="AQ111" s="1227">
        <v>0.33100000000000002</v>
      </c>
      <c r="AR111" s="1228"/>
      <c r="AS111" s="1227"/>
      <c r="AT111" s="1227"/>
      <c r="AU111" s="1227"/>
      <c r="AV111" s="1227"/>
      <c r="AW111" s="1162" t="s">
        <v>504</v>
      </c>
      <c r="AX111" s="1162"/>
      <c r="AY111" s="1230"/>
      <c r="AZ111" s="1229"/>
      <c r="BA111" s="1113">
        <v>1.7</v>
      </c>
      <c r="BB111" s="1114">
        <v>2E-3</v>
      </c>
      <c r="BC111" s="1115">
        <v>1</v>
      </c>
      <c r="BD111" s="1115">
        <v>1</v>
      </c>
      <c r="BE111" s="1116">
        <v>1</v>
      </c>
      <c r="BF111" s="1115"/>
      <c r="BG111" s="1115"/>
      <c r="BH111" s="1115"/>
      <c r="BI111" s="1115"/>
      <c r="BJ111" s="1115"/>
      <c r="BK111" s="1115"/>
      <c r="BL111" s="1115"/>
      <c r="BM111" s="1115"/>
      <c r="BN111" s="1115"/>
      <c r="BO111" s="1115"/>
      <c r="BP111" s="1115">
        <v>1</v>
      </c>
      <c r="BQ111" s="1115"/>
      <c r="BR111" s="1115"/>
      <c r="BS111" s="1115"/>
      <c r="BT111" s="1115"/>
      <c r="BU111" s="1115"/>
      <c r="BV111" s="1115"/>
      <c r="BW111" s="1115"/>
      <c r="BX111" s="1115"/>
      <c r="BY111" s="1115"/>
      <c r="BZ111" s="1115"/>
      <c r="CA111" s="1117">
        <f t="shared" si="16"/>
        <v>1</v>
      </c>
      <c r="CB111" s="1117">
        <f t="shared" si="12"/>
        <v>1</v>
      </c>
      <c r="CC111" s="1117">
        <f t="shared" si="13"/>
        <v>0</v>
      </c>
      <c r="CD111" s="1113">
        <v>0.252</v>
      </c>
      <c r="CE111" s="1109" t="s">
        <v>2986</v>
      </c>
      <c r="CF111" s="1109"/>
      <c r="CG111" s="1109">
        <v>3.1</v>
      </c>
      <c r="CH111" s="1113">
        <v>8</v>
      </c>
      <c r="CI111" s="1114"/>
      <c r="CJ111" s="1109" t="s">
        <v>504</v>
      </c>
      <c r="CK111" s="1109"/>
      <c r="CL111" s="1109"/>
      <c r="CM111" s="1115"/>
      <c r="CN111" s="1115"/>
      <c r="CO111" s="1115"/>
      <c r="CP111" s="1109" t="s">
        <v>656</v>
      </c>
      <c r="CQ111" s="1109" t="s">
        <v>2987</v>
      </c>
      <c r="CR111" s="1115">
        <v>206</v>
      </c>
      <c r="CS111" s="1109" t="s">
        <v>656</v>
      </c>
      <c r="CT111" s="1109" t="s">
        <v>2987</v>
      </c>
      <c r="CU111" s="1115">
        <v>206</v>
      </c>
      <c r="CV111" s="1115" t="s">
        <v>504</v>
      </c>
      <c r="CW111" s="1115"/>
      <c r="CX111" s="1115"/>
      <c r="CY111" s="1115" t="s">
        <v>504</v>
      </c>
      <c r="CZ111" s="1115"/>
      <c r="DA111" s="1115"/>
      <c r="DB111" s="1109" t="s">
        <v>504</v>
      </c>
      <c r="DC111" s="1109"/>
      <c r="DD111" s="1115"/>
      <c r="DE111" s="1109" t="s">
        <v>504</v>
      </c>
      <c r="DF111" s="1109"/>
      <c r="DG111" s="1115"/>
      <c r="DH111" s="1109" t="s">
        <v>504</v>
      </c>
      <c r="DI111" s="1109"/>
      <c r="DJ111" s="1115"/>
      <c r="DK111" s="1109"/>
      <c r="DL111" s="1109"/>
      <c r="DM111" s="1115"/>
      <c r="DN111" s="1109" t="s">
        <v>504</v>
      </c>
      <c r="DO111" s="1109"/>
      <c r="DP111" s="1115"/>
      <c r="DQ111" s="1109" t="s">
        <v>656</v>
      </c>
      <c r="DR111" s="1109" t="s">
        <v>2987</v>
      </c>
      <c r="DS111" s="1115">
        <v>206</v>
      </c>
      <c r="DT111" s="1115" t="s">
        <v>504</v>
      </c>
      <c r="DU111" s="1115"/>
      <c r="DV111" s="1115"/>
      <c r="DW111" s="1109" t="s">
        <v>504</v>
      </c>
      <c r="DX111" s="1109"/>
      <c r="DY111" s="1115"/>
      <c r="DZ111" s="1109" t="s">
        <v>504</v>
      </c>
      <c r="EA111" s="1109"/>
      <c r="EB111" s="1115"/>
      <c r="EC111" s="1109" t="s">
        <v>504</v>
      </c>
      <c r="ED111" s="1109"/>
      <c r="EE111" s="1115"/>
      <c r="EF111" s="1115" t="s">
        <v>504</v>
      </c>
      <c r="EG111" s="1115"/>
      <c r="EH111" s="1115"/>
      <c r="EI111" s="1109"/>
      <c r="EJ111" s="1109"/>
      <c r="EK111" s="1115"/>
      <c r="EL111" s="1115"/>
      <c r="EM111" s="1115"/>
      <c r="EN111" s="1115"/>
      <c r="EO111" s="1109" t="s">
        <v>504</v>
      </c>
      <c r="EP111" s="1109"/>
      <c r="EQ111" s="1109"/>
      <c r="ER111" s="1109"/>
      <c r="ES111" s="1109"/>
      <c r="ET111" s="1109"/>
      <c r="EU111" s="1109"/>
      <c r="EV111" s="1109" t="s">
        <v>2008</v>
      </c>
      <c r="EW111" s="1109"/>
      <c r="EX111" s="1109"/>
    </row>
    <row r="112" spans="3:154" ht="60.95" customHeight="1" x14ac:dyDescent="0.2">
      <c r="C112" s="1156" t="s">
        <v>693</v>
      </c>
      <c r="D112" s="1156" t="s">
        <v>5277</v>
      </c>
      <c r="E112" s="738" t="s">
        <v>336</v>
      </c>
      <c r="F112" s="738" t="s">
        <v>421</v>
      </c>
      <c r="G112" s="738"/>
      <c r="H112" s="632" t="s">
        <v>660</v>
      </c>
      <c r="I112" s="632" t="s">
        <v>661</v>
      </c>
      <c r="J112" s="637">
        <v>2017</v>
      </c>
      <c r="K112" s="377">
        <v>43692</v>
      </c>
      <c r="L112" s="377">
        <v>44196</v>
      </c>
      <c r="M112" s="1369">
        <f t="shared" si="14"/>
        <v>504</v>
      </c>
      <c r="N112" s="632" t="s">
        <v>690</v>
      </c>
      <c r="O112" s="632" t="s">
        <v>664</v>
      </c>
      <c r="P112" s="653" t="s">
        <v>665</v>
      </c>
      <c r="Q112" s="632"/>
      <c r="R112" s="632"/>
      <c r="S112" s="632"/>
      <c r="T112" s="632"/>
      <c r="U112" s="632" t="s">
        <v>666</v>
      </c>
      <c r="V112" s="632"/>
      <c r="W112" s="632" t="s">
        <v>667</v>
      </c>
      <c r="X112" s="653" t="s">
        <v>668</v>
      </c>
      <c r="Y112" s="653"/>
      <c r="Z112" s="653"/>
      <c r="AA112" s="632" t="s">
        <v>669</v>
      </c>
      <c r="AB112" s="632" t="s">
        <v>670</v>
      </c>
      <c r="AC112" s="632" t="s">
        <v>671</v>
      </c>
      <c r="AD112" s="632" t="s">
        <v>672</v>
      </c>
      <c r="AE112" s="702">
        <v>127.056</v>
      </c>
      <c r="AF112" s="671">
        <f t="shared" si="10"/>
        <v>127.05640000000001</v>
      </c>
      <c r="AG112" s="671">
        <f t="shared" si="11"/>
        <v>4.0000000001327862E-4</v>
      </c>
      <c r="AH112" s="702">
        <v>75.95</v>
      </c>
      <c r="AI112" s="683">
        <f>AH112/AE112</f>
        <v>0.59776791336103774</v>
      </c>
      <c r="AJ112" s="683">
        <f>AH112/114059.065</f>
        <v>6.6588306681279567E-4</v>
      </c>
      <c r="AK112" s="702">
        <v>30.7</v>
      </c>
      <c r="AL112" s="683">
        <f>AK112/AE112</f>
        <v>0.24162573983125551</v>
      </c>
      <c r="AM112" s="683"/>
      <c r="AN112" s="702">
        <v>11.513</v>
      </c>
      <c r="AO112" s="683">
        <f>AN112/AE112</f>
        <v>9.06135877093565E-2</v>
      </c>
      <c r="AP112" s="702">
        <v>8.8933999999999997</v>
      </c>
      <c r="AQ112" s="683">
        <f>AP112/AE112</f>
        <v>6.9995907316458883E-2</v>
      </c>
      <c r="AR112" s="702">
        <v>0</v>
      </c>
      <c r="AS112" s="683">
        <v>0</v>
      </c>
      <c r="AT112" s="632"/>
      <c r="AU112" s="632"/>
      <c r="AV112" s="632"/>
      <c r="AW112" s="632" t="s">
        <v>471</v>
      </c>
      <c r="AX112" s="632" t="s">
        <v>673</v>
      </c>
      <c r="AY112" s="632"/>
      <c r="AZ112" s="683"/>
      <c r="BA112" s="706">
        <v>100.06</v>
      </c>
      <c r="BB112" s="683">
        <f>BA112/110358.195</f>
        <v>9.0668391232748952E-4</v>
      </c>
      <c r="BC112" s="710">
        <v>218</v>
      </c>
      <c r="BD112" s="710">
        <v>218</v>
      </c>
      <c r="BE112" s="706">
        <v>135</v>
      </c>
      <c r="BF112" s="710">
        <v>10</v>
      </c>
      <c r="BG112" s="710">
        <v>25</v>
      </c>
      <c r="BH112" s="710"/>
      <c r="BI112" s="710"/>
      <c r="BJ112" s="710"/>
      <c r="BK112" s="710">
        <v>8</v>
      </c>
      <c r="BL112" s="710"/>
      <c r="BM112" s="710">
        <v>10</v>
      </c>
      <c r="BN112" s="710">
        <v>8</v>
      </c>
      <c r="BO112" s="710"/>
      <c r="BP112" s="710">
        <v>15</v>
      </c>
      <c r="BQ112" s="710">
        <v>10</v>
      </c>
      <c r="BR112" s="710">
        <v>39</v>
      </c>
      <c r="BS112" s="710"/>
      <c r="BT112" s="710"/>
      <c r="BU112" s="710"/>
      <c r="BV112" s="710"/>
      <c r="BW112" s="710">
        <v>10</v>
      </c>
      <c r="BX112" s="710"/>
      <c r="BY112" s="710"/>
      <c r="BZ112" s="710"/>
      <c r="CA112" s="717">
        <f t="shared" si="16"/>
        <v>135</v>
      </c>
      <c r="CB112" s="717">
        <f t="shared" si="12"/>
        <v>135</v>
      </c>
      <c r="CC112" s="717">
        <f t="shared" si="13"/>
        <v>0</v>
      </c>
      <c r="CD112" s="671">
        <v>112.224</v>
      </c>
      <c r="CE112" s="671" t="s">
        <v>675</v>
      </c>
      <c r="CF112" s="632"/>
      <c r="CG112" s="683">
        <f>CD112/CH112</f>
        <v>5.7350776778413742E-2</v>
      </c>
      <c r="CH112" s="671">
        <v>1956.8</v>
      </c>
      <c r="CI112" s="671" t="s">
        <v>676</v>
      </c>
      <c r="CJ112" s="632" t="s">
        <v>500</v>
      </c>
      <c r="CK112" s="632" t="s">
        <v>677</v>
      </c>
      <c r="CL112" s="632" t="s">
        <v>678</v>
      </c>
      <c r="CM112" s="710">
        <v>9</v>
      </c>
      <c r="CN112" s="710"/>
      <c r="CO112" s="710"/>
      <c r="CP112" s="632" t="s">
        <v>500</v>
      </c>
      <c r="CQ112" s="632" t="s">
        <v>679</v>
      </c>
      <c r="CR112" s="710">
        <v>36615</v>
      </c>
      <c r="CS112" s="632" t="s">
        <v>500</v>
      </c>
      <c r="CT112" s="632" t="s">
        <v>680</v>
      </c>
      <c r="CU112" s="710">
        <v>14537</v>
      </c>
      <c r="CV112" s="710" t="s">
        <v>504</v>
      </c>
      <c r="CW112" s="710"/>
      <c r="CX112" s="710"/>
      <c r="CY112" s="710" t="s">
        <v>504</v>
      </c>
      <c r="CZ112" s="710"/>
      <c r="DA112" s="710"/>
      <c r="DB112" s="710" t="s">
        <v>504</v>
      </c>
      <c r="DC112" s="632"/>
      <c r="DD112" s="710"/>
      <c r="DE112" s="710" t="s">
        <v>504</v>
      </c>
      <c r="DF112" s="632"/>
      <c r="DG112" s="710"/>
      <c r="DH112" s="632" t="s">
        <v>504</v>
      </c>
      <c r="DI112" s="632"/>
      <c r="DJ112" s="710"/>
      <c r="DK112" s="632" t="s">
        <v>504</v>
      </c>
      <c r="DL112" s="632"/>
      <c r="DM112" s="710"/>
      <c r="DN112" s="632" t="s">
        <v>504</v>
      </c>
      <c r="DO112" s="632"/>
      <c r="DP112" s="710"/>
      <c r="DQ112" s="632" t="s">
        <v>504</v>
      </c>
      <c r="DR112" s="632"/>
      <c r="DS112" s="710"/>
      <c r="DT112" s="710" t="s">
        <v>504</v>
      </c>
      <c r="DU112" s="710"/>
      <c r="DV112" s="710"/>
      <c r="DW112" s="632" t="s">
        <v>504</v>
      </c>
      <c r="DX112" s="632"/>
      <c r="DY112" s="710"/>
      <c r="DZ112" s="632" t="s">
        <v>504</v>
      </c>
      <c r="EA112" s="632"/>
      <c r="EB112" s="710"/>
      <c r="EC112" s="632" t="s">
        <v>500</v>
      </c>
      <c r="ED112" s="632" t="s">
        <v>681</v>
      </c>
      <c r="EE112" s="710">
        <v>9</v>
      </c>
      <c r="EF112" s="710" t="s">
        <v>504</v>
      </c>
      <c r="EG112" s="710"/>
      <c r="EH112" s="710"/>
      <c r="EI112" s="632" t="s">
        <v>500</v>
      </c>
      <c r="EJ112" s="632" t="s">
        <v>682</v>
      </c>
      <c r="EK112" s="710"/>
      <c r="EL112" s="688">
        <v>0.94</v>
      </c>
      <c r="EM112" s="632" t="s">
        <v>683</v>
      </c>
      <c r="EN112" s="670">
        <v>102</v>
      </c>
      <c r="EO112" s="632" t="s">
        <v>500</v>
      </c>
      <c r="EP112" s="632" t="s">
        <v>684</v>
      </c>
      <c r="EQ112" s="632" t="s">
        <v>685</v>
      </c>
      <c r="ER112" s="632" t="s">
        <v>686</v>
      </c>
      <c r="ES112" s="632" t="s">
        <v>687</v>
      </c>
      <c r="ET112" s="632" t="s">
        <v>688</v>
      </c>
      <c r="EU112" s="632"/>
      <c r="EV112" s="632" t="s">
        <v>689</v>
      </c>
      <c r="EW112" s="632"/>
      <c r="EX112" s="632"/>
    </row>
    <row r="113" spans="3:154" ht="60.95" customHeight="1" x14ac:dyDescent="0.2">
      <c r="C113" s="1156" t="s">
        <v>693</v>
      </c>
      <c r="D113" s="1156" t="s">
        <v>5278</v>
      </c>
      <c r="E113" s="1104" t="s">
        <v>336</v>
      </c>
      <c r="F113" s="1104" t="s">
        <v>421</v>
      </c>
      <c r="G113" s="1109" t="s">
        <v>2988</v>
      </c>
      <c r="H113" s="1109" t="s">
        <v>2989</v>
      </c>
      <c r="I113" s="1109" t="s">
        <v>694</v>
      </c>
      <c r="J113" s="1110">
        <v>2017</v>
      </c>
      <c r="K113" s="1105">
        <v>43831</v>
      </c>
      <c r="L113" s="1105">
        <v>44194</v>
      </c>
      <c r="M113" s="1369">
        <f t="shared" si="14"/>
        <v>363</v>
      </c>
      <c r="N113" s="1105"/>
      <c r="O113" s="1105"/>
      <c r="P113" s="1105"/>
      <c r="Q113" s="1105"/>
      <c r="R113" s="1105"/>
      <c r="S113" s="1105"/>
      <c r="T113" s="1105"/>
      <c r="U113" s="1105"/>
      <c r="V113" s="1105"/>
      <c r="W113" s="1105"/>
      <c r="X113" s="1105"/>
      <c r="Y113" s="1109" t="s">
        <v>2990</v>
      </c>
      <c r="Z113" s="1109" t="s">
        <v>2991</v>
      </c>
      <c r="AA113" s="1109" t="s">
        <v>2992</v>
      </c>
      <c r="AB113" s="1109" t="s">
        <v>2993</v>
      </c>
      <c r="AC113" s="1109" t="s">
        <v>2994</v>
      </c>
      <c r="AD113" s="1109" t="s">
        <v>2993</v>
      </c>
      <c r="AE113" s="1112">
        <v>7.0999999999999994E-2</v>
      </c>
      <c r="AF113" s="1113">
        <f t="shared" si="10"/>
        <v>7.1000000000000008E-2</v>
      </c>
      <c r="AG113" s="1113">
        <f t="shared" si="11"/>
        <v>0</v>
      </c>
      <c r="AH113" s="1112"/>
      <c r="AI113" s="1113"/>
      <c r="AJ113" s="1113"/>
      <c r="AK113" s="1112">
        <v>6.4000000000000001E-2</v>
      </c>
      <c r="AL113" s="1114">
        <v>0.91</v>
      </c>
      <c r="AM113" s="1114">
        <v>9.0000000000000006E-5</v>
      </c>
      <c r="AN113" s="1112">
        <v>7.0000000000000001E-3</v>
      </c>
      <c r="AO113" s="1114">
        <v>0.09</v>
      </c>
      <c r="AP113" s="1112">
        <v>0</v>
      </c>
      <c r="AQ113" s="1114">
        <v>0</v>
      </c>
      <c r="AR113" s="1112"/>
      <c r="AS113" s="1114"/>
      <c r="AT113" s="1114"/>
      <c r="AU113" s="1114"/>
      <c r="AV113" s="1114"/>
      <c r="AW113" s="1114" t="s">
        <v>504</v>
      </c>
      <c r="AX113" s="1114"/>
      <c r="AY113" s="1114"/>
      <c r="AZ113" s="1114"/>
      <c r="BA113" s="1113">
        <v>0.05</v>
      </c>
      <c r="BB113" s="1114">
        <v>6.0000000000000002E-5</v>
      </c>
      <c r="BC113" s="1115">
        <v>1</v>
      </c>
      <c r="BD113" s="1115">
        <v>1</v>
      </c>
      <c r="BE113" s="1116">
        <v>1</v>
      </c>
      <c r="BF113" s="1115"/>
      <c r="BG113" s="1115"/>
      <c r="BH113" s="1115"/>
      <c r="BI113" s="1115"/>
      <c r="BJ113" s="1115"/>
      <c r="BK113" s="1115"/>
      <c r="BL113" s="1115"/>
      <c r="BM113" s="1115"/>
      <c r="BN113" s="1115"/>
      <c r="BO113" s="1115">
        <v>1</v>
      </c>
      <c r="BP113" s="1115"/>
      <c r="BQ113" s="1115"/>
      <c r="BR113" s="1115"/>
      <c r="BS113" s="1115"/>
      <c r="BT113" s="1115"/>
      <c r="BU113" s="1115"/>
      <c r="BV113" s="1115"/>
      <c r="BW113" s="1115"/>
      <c r="BX113" s="1115"/>
      <c r="BY113" s="1115"/>
      <c r="BZ113" s="1115"/>
      <c r="CA113" s="1117">
        <f t="shared" si="16"/>
        <v>1</v>
      </c>
      <c r="CB113" s="1117">
        <f t="shared" si="12"/>
        <v>1</v>
      </c>
      <c r="CC113" s="1117">
        <f t="shared" si="13"/>
        <v>0</v>
      </c>
      <c r="CD113" s="1113">
        <v>0.2</v>
      </c>
      <c r="CE113" s="1109" t="s">
        <v>504</v>
      </c>
      <c r="CF113" s="1109"/>
      <c r="CG113" s="1109">
        <v>0.6</v>
      </c>
      <c r="CH113" s="1113">
        <v>25.189</v>
      </c>
      <c r="CI113" s="1114" t="s">
        <v>2995</v>
      </c>
      <c r="CJ113" s="1109" t="s">
        <v>504</v>
      </c>
      <c r="CK113" s="1109"/>
      <c r="CL113" s="1109"/>
      <c r="CM113" s="1115"/>
      <c r="CN113" s="1115"/>
      <c r="CO113" s="1115"/>
      <c r="CP113" s="1109" t="s">
        <v>500</v>
      </c>
      <c r="CQ113" s="1109" t="s">
        <v>2996</v>
      </c>
      <c r="CR113" s="1115">
        <v>58</v>
      </c>
      <c r="CS113" s="1109" t="s">
        <v>500</v>
      </c>
      <c r="CT113" s="1109" t="s">
        <v>2997</v>
      </c>
      <c r="CU113" s="1115">
        <v>58</v>
      </c>
      <c r="CV113" s="1115" t="s">
        <v>504</v>
      </c>
      <c r="CW113" s="1115"/>
      <c r="CX113" s="1115"/>
      <c r="CY113" s="1115" t="s">
        <v>504</v>
      </c>
      <c r="CZ113" s="1115"/>
      <c r="DA113" s="1115"/>
      <c r="DB113" s="1109" t="s">
        <v>504</v>
      </c>
      <c r="DC113" s="1109"/>
      <c r="DD113" s="1115"/>
      <c r="DE113" s="1109" t="s">
        <v>504</v>
      </c>
      <c r="DF113" s="1109"/>
      <c r="DG113" s="1115"/>
      <c r="DH113" s="1109" t="s">
        <v>504</v>
      </c>
      <c r="DI113" s="1109"/>
      <c r="DJ113" s="1115"/>
      <c r="DK113" s="1109" t="s">
        <v>504</v>
      </c>
      <c r="DL113" s="1109"/>
      <c r="DM113" s="1115"/>
      <c r="DN113" s="1109" t="s">
        <v>504</v>
      </c>
      <c r="DO113" s="1109"/>
      <c r="DP113" s="1115"/>
      <c r="DQ113" s="1109" t="s">
        <v>500</v>
      </c>
      <c r="DR113" s="1109" t="s">
        <v>2998</v>
      </c>
      <c r="DS113" s="1115">
        <v>58</v>
      </c>
      <c r="DT113" s="1115" t="s">
        <v>504</v>
      </c>
      <c r="DU113" s="1115"/>
      <c r="DV113" s="1115"/>
      <c r="DW113" s="1109" t="s">
        <v>504</v>
      </c>
      <c r="DX113" s="1109"/>
      <c r="DY113" s="1115"/>
      <c r="DZ113" s="1109" t="s">
        <v>504</v>
      </c>
      <c r="EA113" s="1109"/>
      <c r="EB113" s="1115"/>
      <c r="EC113" s="1109" t="s">
        <v>504</v>
      </c>
      <c r="ED113" s="1109"/>
      <c r="EE113" s="1115"/>
      <c r="EF113" s="1115" t="s">
        <v>504</v>
      </c>
      <c r="EG113" s="1115"/>
      <c r="EH113" s="1115"/>
      <c r="EI113" s="1109"/>
      <c r="EJ113" s="1109"/>
      <c r="EK113" s="1115"/>
      <c r="EL113" s="1115"/>
      <c r="EM113" s="1115"/>
      <c r="EN113" s="1115"/>
      <c r="EO113" s="1109" t="s">
        <v>504</v>
      </c>
      <c r="EP113" s="1109"/>
      <c r="EQ113" s="1109" t="s">
        <v>2999</v>
      </c>
      <c r="ER113" s="1109"/>
      <c r="ES113" s="1109" t="s">
        <v>2999</v>
      </c>
      <c r="ET113" s="1109"/>
      <c r="EU113" s="1109"/>
      <c r="EV113" s="1109"/>
      <c r="EW113" s="1109"/>
      <c r="EX113" s="1109"/>
    </row>
    <row r="114" spans="3:154" ht="60.95" customHeight="1" x14ac:dyDescent="0.2">
      <c r="C114" s="1156" t="s">
        <v>693</v>
      </c>
      <c r="D114" s="1156" t="s">
        <v>5278</v>
      </c>
      <c r="E114" s="1104" t="s">
        <v>336</v>
      </c>
      <c r="F114" s="1104" t="s">
        <v>421</v>
      </c>
      <c r="G114" s="1109" t="s">
        <v>3000</v>
      </c>
      <c r="H114" s="1109" t="s">
        <v>3001</v>
      </c>
      <c r="I114" s="1109" t="s">
        <v>1316</v>
      </c>
      <c r="J114" s="1110">
        <v>2020</v>
      </c>
      <c r="K114" s="1105">
        <v>43969</v>
      </c>
      <c r="L114" s="1105">
        <v>44069</v>
      </c>
      <c r="M114" s="1369">
        <f t="shared" si="14"/>
        <v>100</v>
      </c>
      <c r="N114" s="1105"/>
      <c r="O114" s="1105"/>
      <c r="P114" s="1105"/>
      <c r="Q114" s="1105"/>
      <c r="R114" s="1105"/>
      <c r="S114" s="1105"/>
      <c r="T114" s="1105"/>
      <c r="U114" s="1105"/>
      <c r="V114" s="1105"/>
      <c r="W114" s="1105"/>
      <c r="X114" s="1105"/>
      <c r="Y114" s="1109" t="s">
        <v>3002</v>
      </c>
      <c r="Z114" s="1109" t="s">
        <v>3003</v>
      </c>
      <c r="AA114" s="1109" t="s">
        <v>3004</v>
      </c>
      <c r="AB114" s="1109" t="s">
        <v>3005</v>
      </c>
      <c r="AC114" s="1109" t="s">
        <v>3006</v>
      </c>
      <c r="AD114" s="1109" t="s">
        <v>3007</v>
      </c>
      <c r="AE114" s="1112">
        <v>0.16700000000000001</v>
      </c>
      <c r="AF114" s="1113">
        <f t="shared" si="10"/>
        <v>0.16700100000000001</v>
      </c>
      <c r="AG114" s="1113">
        <f t="shared" si="11"/>
        <v>1.0000000000010001E-6</v>
      </c>
      <c r="AH114" s="1112"/>
      <c r="AI114" s="1113"/>
      <c r="AJ114" s="1113"/>
      <c r="AK114" s="1112">
        <v>1.1471E-2</v>
      </c>
      <c r="AL114" s="1114" t="s">
        <v>3008</v>
      </c>
      <c r="AM114" s="1114" t="s">
        <v>3009</v>
      </c>
      <c r="AN114" s="1112">
        <v>5.5300000000000002E-3</v>
      </c>
      <c r="AO114" s="1114" t="s">
        <v>3010</v>
      </c>
      <c r="AP114" s="1112" t="s">
        <v>3011</v>
      </c>
      <c r="AQ114" s="1114" t="s">
        <v>3012</v>
      </c>
      <c r="AR114" s="1112"/>
      <c r="AS114" s="1114"/>
      <c r="AT114" s="1114"/>
      <c r="AU114" s="1114"/>
      <c r="AV114" s="1114"/>
      <c r="AW114" s="1114" t="s">
        <v>504</v>
      </c>
      <c r="AX114" s="1114"/>
      <c r="AY114" s="1114"/>
      <c r="AZ114" s="1114"/>
      <c r="BA114" s="1113" t="s">
        <v>3013</v>
      </c>
      <c r="BB114" s="1114" t="s">
        <v>3014</v>
      </c>
      <c r="BC114" s="1115">
        <v>1</v>
      </c>
      <c r="BD114" s="1115">
        <v>1</v>
      </c>
      <c r="BE114" s="1116">
        <v>1</v>
      </c>
      <c r="BF114" s="1115"/>
      <c r="BG114" s="1115">
        <v>1</v>
      </c>
      <c r="BH114" s="1115"/>
      <c r="BI114" s="1115"/>
      <c r="BJ114" s="1115"/>
      <c r="BK114" s="1115"/>
      <c r="BL114" s="1115"/>
      <c r="BM114" s="1115"/>
      <c r="BN114" s="1115"/>
      <c r="BO114" s="1115"/>
      <c r="BP114" s="1115"/>
      <c r="BQ114" s="1115"/>
      <c r="BR114" s="1115"/>
      <c r="BS114" s="1115"/>
      <c r="BT114" s="1115"/>
      <c r="BU114" s="1115"/>
      <c r="BV114" s="1115"/>
      <c r="BW114" s="1115"/>
      <c r="BX114" s="1115"/>
      <c r="BY114" s="1115"/>
      <c r="BZ114" s="1115"/>
      <c r="CA114" s="1117">
        <f t="shared" si="16"/>
        <v>1</v>
      </c>
      <c r="CB114" s="1117">
        <f t="shared" si="12"/>
        <v>1</v>
      </c>
      <c r="CC114" s="1117">
        <f t="shared" si="13"/>
        <v>0</v>
      </c>
      <c r="CD114" s="1113">
        <v>1</v>
      </c>
      <c r="CE114" s="1109" t="s">
        <v>3015</v>
      </c>
      <c r="CF114" s="1109"/>
      <c r="CG114" s="1109" t="s">
        <v>3016</v>
      </c>
      <c r="CH114" s="1113" t="s">
        <v>3017</v>
      </c>
      <c r="CI114" s="1114"/>
      <c r="CJ114" s="1109" t="s">
        <v>504</v>
      </c>
      <c r="CK114" s="1109"/>
      <c r="CL114" s="1109"/>
      <c r="CM114" s="1115"/>
      <c r="CN114" s="1115"/>
      <c r="CO114" s="1115">
        <v>14</v>
      </c>
      <c r="CP114" s="1109" t="s">
        <v>500</v>
      </c>
      <c r="CQ114" s="1109" t="s">
        <v>3018</v>
      </c>
      <c r="CR114" s="1115">
        <v>96</v>
      </c>
      <c r="CS114" s="1109" t="s">
        <v>500</v>
      </c>
      <c r="CT114" s="1109" t="s">
        <v>48</v>
      </c>
      <c r="CU114" s="1115">
        <v>10</v>
      </c>
      <c r="CV114" s="1115" t="s">
        <v>504</v>
      </c>
      <c r="CW114" s="1115"/>
      <c r="CX114" s="1115"/>
      <c r="CY114" s="1115" t="s">
        <v>504</v>
      </c>
      <c r="CZ114" s="1115"/>
      <c r="DA114" s="1115"/>
      <c r="DB114" s="1109" t="s">
        <v>504</v>
      </c>
      <c r="DC114" s="1109"/>
      <c r="DD114" s="1115"/>
      <c r="DE114" s="1109" t="s">
        <v>504</v>
      </c>
      <c r="DF114" s="1109"/>
      <c r="DG114" s="1115"/>
      <c r="DH114" s="1109" t="s">
        <v>504</v>
      </c>
      <c r="DI114" s="1109"/>
      <c r="DJ114" s="1115"/>
      <c r="DK114" s="1109" t="s">
        <v>504</v>
      </c>
      <c r="DL114" s="1109"/>
      <c r="DM114" s="1115"/>
      <c r="DN114" s="1109" t="s">
        <v>500</v>
      </c>
      <c r="DO114" s="1109"/>
      <c r="DP114" s="1115"/>
      <c r="DQ114" s="1109" t="s">
        <v>504</v>
      </c>
      <c r="DR114" s="1109"/>
      <c r="DS114" s="1115"/>
      <c r="DT114" s="1115" t="s">
        <v>504</v>
      </c>
      <c r="DU114" s="1115"/>
      <c r="DV114" s="1115"/>
      <c r="DW114" s="1109" t="s">
        <v>504</v>
      </c>
      <c r="DX114" s="1109"/>
      <c r="DY114" s="1115"/>
      <c r="DZ114" s="1109" t="s">
        <v>504</v>
      </c>
      <c r="EA114" s="1109"/>
      <c r="EB114" s="1115"/>
      <c r="EC114" s="1109" t="s">
        <v>504</v>
      </c>
      <c r="ED114" s="1109"/>
      <c r="EE114" s="1115"/>
      <c r="EF114" s="1115" t="s">
        <v>504</v>
      </c>
      <c r="EG114" s="1115"/>
      <c r="EH114" s="1115"/>
      <c r="EI114" s="1109" t="s">
        <v>504</v>
      </c>
      <c r="EJ114" s="1109"/>
      <c r="EK114" s="1115"/>
      <c r="EL114" s="1115"/>
      <c r="EM114" s="1115"/>
      <c r="EN114" s="1115"/>
      <c r="EO114" s="1109" t="s">
        <v>504</v>
      </c>
      <c r="EP114" s="1109"/>
      <c r="EQ114" s="1109" t="s">
        <v>3003</v>
      </c>
      <c r="ER114" s="1109"/>
      <c r="ES114" s="1109"/>
      <c r="ET114" s="1109" t="s">
        <v>3019</v>
      </c>
      <c r="EU114" s="1109"/>
      <c r="EV114" s="1109"/>
      <c r="EW114" s="1109"/>
      <c r="EX114" s="1109"/>
    </row>
    <row r="115" spans="3:154" ht="60.95" customHeight="1" x14ac:dyDescent="0.2">
      <c r="C115" s="1156" t="s">
        <v>693</v>
      </c>
      <c r="D115" s="1156" t="s">
        <v>5278</v>
      </c>
      <c r="E115" s="1104" t="s">
        <v>336</v>
      </c>
      <c r="F115" s="1104" t="s">
        <v>421</v>
      </c>
      <c r="G115" s="1109" t="s">
        <v>3020</v>
      </c>
      <c r="H115" s="1109" t="s">
        <v>1316</v>
      </c>
      <c r="I115" s="1109" t="s">
        <v>1316</v>
      </c>
      <c r="J115" s="1110">
        <v>2017</v>
      </c>
      <c r="K115" s="1105">
        <v>43661</v>
      </c>
      <c r="L115" s="1105">
        <v>44196</v>
      </c>
      <c r="M115" s="1369">
        <f t="shared" si="14"/>
        <v>535</v>
      </c>
      <c r="N115" s="1105"/>
      <c r="O115" s="1105"/>
      <c r="P115" s="1105"/>
      <c r="Q115" s="1105"/>
      <c r="R115" s="1105"/>
      <c r="S115" s="1105"/>
      <c r="T115" s="1105"/>
      <c r="U115" s="1105"/>
      <c r="V115" s="1105"/>
      <c r="W115" s="1105"/>
      <c r="X115" s="1105"/>
      <c r="Y115" s="1109" t="s">
        <v>3021</v>
      </c>
      <c r="Z115" s="1111" t="s">
        <v>3022</v>
      </c>
      <c r="AA115" s="1109" t="s">
        <v>3023</v>
      </c>
      <c r="AB115" s="1109" t="s">
        <v>3024</v>
      </c>
      <c r="AC115" s="1109" t="s">
        <v>3025</v>
      </c>
      <c r="AD115" s="1109" t="s">
        <v>3024</v>
      </c>
      <c r="AE115" s="1112">
        <v>1.99</v>
      </c>
      <c r="AF115" s="1113">
        <f t="shared" si="10"/>
        <v>1.9906999999999999</v>
      </c>
      <c r="AG115" s="1113">
        <f t="shared" si="11"/>
        <v>6.9999999999992291E-4</v>
      </c>
      <c r="AH115" s="1112"/>
      <c r="AI115" s="1113"/>
      <c r="AJ115" s="1113"/>
      <c r="AK115" s="1112">
        <v>1.847</v>
      </c>
      <c r="AL115" s="1114">
        <v>0.95</v>
      </c>
      <c r="AM115" s="1114">
        <v>8.9999999999999998E-4</v>
      </c>
      <c r="AN115" s="1112">
        <v>9.7299999999999998E-2</v>
      </c>
      <c r="AO115" s="1114">
        <v>2.5000000000000001E-2</v>
      </c>
      <c r="AP115" s="1112">
        <v>4.6399999999999997E-2</v>
      </c>
      <c r="AQ115" s="1114">
        <v>2.5000000000000001E-2</v>
      </c>
      <c r="AR115" s="1112"/>
      <c r="AS115" s="1114"/>
      <c r="AT115" s="1114"/>
      <c r="AU115" s="1114"/>
      <c r="AV115" s="1114"/>
      <c r="AW115" s="1114" t="s">
        <v>504</v>
      </c>
      <c r="AX115" s="1114"/>
      <c r="AY115" s="1114"/>
      <c r="AZ115" s="1114"/>
      <c r="BA115" s="1113">
        <v>3</v>
      </c>
      <c r="BB115" s="1114">
        <v>1.5E-3</v>
      </c>
      <c r="BC115" s="1115">
        <v>19</v>
      </c>
      <c r="BD115" s="1115">
        <v>19</v>
      </c>
      <c r="BE115" s="1116">
        <v>2</v>
      </c>
      <c r="BF115" s="1115"/>
      <c r="BG115" s="1115">
        <v>1</v>
      </c>
      <c r="BH115" s="1115"/>
      <c r="BI115" s="1115"/>
      <c r="BJ115" s="1115"/>
      <c r="BK115" s="1115"/>
      <c r="BL115" s="1115"/>
      <c r="BM115" s="1115"/>
      <c r="BN115" s="1115">
        <v>1</v>
      </c>
      <c r="BO115" s="1115"/>
      <c r="BP115" s="1115"/>
      <c r="BQ115" s="1115"/>
      <c r="BR115" s="1115"/>
      <c r="BS115" s="1115"/>
      <c r="BT115" s="1115"/>
      <c r="BU115" s="1115"/>
      <c r="BV115" s="1115"/>
      <c r="BW115" s="1115"/>
      <c r="BX115" s="1115"/>
      <c r="BY115" s="1115"/>
      <c r="BZ115" s="1115"/>
      <c r="CA115" s="1117">
        <f t="shared" si="16"/>
        <v>2</v>
      </c>
      <c r="CB115" s="1117">
        <f t="shared" si="12"/>
        <v>2</v>
      </c>
      <c r="CC115" s="1117">
        <f t="shared" si="13"/>
        <v>0</v>
      </c>
      <c r="CD115" s="1113">
        <v>8.6</v>
      </c>
      <c r="CE115" s="1109" t="s">
        <v>3026</v>
      </c>
      <c r="CF115" s="1109"/>
      <c r="CG115" s="1126">
        <v>0.1</v>
      </c>
      <c r="CH115" s="1113">
        <v>86.1</v>
      </c>
      <c r="CI115" s="1118" t="s">
        <v>3027</v>
      </c>
      <c r="CJ115" s="1109" t="s">
        <v>500</v>
      </c>
      <c r="CK115" s="1109" t="s">
        <v>3028</v>
      </c>
      <c r="CL115" s="1109"/>
      <c r="CM115" s="1115">
        <v>4</v>
      </c>
      <c r="CN115" s="1115"/>
      <c r="CO115" s="1115"/>
      <c r="CP115" s="1109"/>
      <c r="CQ115" s="1109"/>
      <c r="CR115" s="1115"/>
      <c r="CS115" s="1109" t="s">
        <v>500</v>
      </c>
      <c r="CT115" s="1109" t="s">
        <v>2018</v>
      </c>
      <c r="CU115" s="1115">
        <v>196</v>
      </c>
      <c r="CV115" s="1115" t="s">
        <v>504</v>
      </c>
      <c r="CW115" s="1115"/>
      <c r="CX115" s="1115"/>
      <c r="CY115" s="1115" t="s">
        <v>504</v>
      </c>
      <c r="CZ115" s="1115"/>
      <c r="DA115" s="1115"/>
      <c r="DB115" s="1109" t="s">
        <v>504</v>
      </c>
      <c r="DC115" s="1109"/>
      <c r="DD115" s="1115"/>
      <c r="DE115" s="1109" t="s">
        <v>500</v>
      </c>
      <c r="DF115" s="1109" t="s">
        <v>3029</v>
      </c>
      <c r="DG115" s="1115">
        <v>19</v>
      </c>
      <c r="DH115" s="1109" t="s">
        <v>504</v>
      </c>
      <c r="DI115" s="1109"/>
      <c r="DJ115" s="1115"/>
      <c r="DK115" s="1109" t="s">
        <v>504</v>
      </c>
      <c r="DL115" s="1109"/>
      <c r="DM115" s="1115"/>
      <c r="DN115" s="1109" t="s">
        <v>500</v>
      </c>
      <c r="DO115" s="1111" t="s">
        <v>3030</v>
      </c>
      <c r="DP115" s="1115">
        <v>2309</v>
      </c>
      <c r="DQ115" s="1109" t="s">
        <v>504</v>
      </c>
      <c r="DR115" s="1109"/>
      <c r="DS115" s="1115"/>
      <c r="DT115" s="1115" t="s">
        <v>504</v>
      </c>
      <c r="DU115" s="1115"/>
      <c r="DV115" s="1115"/>
      <c r="DW115" s="1109" t="s">
        <v>504</v>
      </c>
      <c r="DX115" s="1109"/>
      <c r="DY115" s="1115"/>
      <c r="DZ115" s="1109" t="s">
        <v>504</v>
      </c>
      <c r="EA115" s="1109"/>
      <c r="EB115" s="1115"/>
      <c r="EC115" s="1109" t="s">
        <v>504</v>
      </c>
      <c r="ED115" s="1109"/>
      <c r="EE115" s="1115"/>
      <c r="EF115" s="1115" t="s">
        <v>500</v>
      </c>
      <c r="EG115" s="1115" t="s">
        <v>3031</v>
      </c>
      <c r="EH115" s="1115">
        <v>5</v>
      </c>
      <c r="EI115" s="1109" t="s">
        <v>504</v>
      </c>
      <c r="EJ115" s="1109"/>
      <c r="EK115" s="1115"/>
      <c r="EL115" s="1115"/>
      <c r="EM115" s="1115"/>
      <c r="EN115" s="1115"/>
      <c r="EO115" s="1109" t="s">
        <v>500</v>
      </c>
      <c r="EP115" s="1109" t="s">
        <v>3032</v>
      </c>
      <c r="EQ115" s="1111" t="s">
        <v>3033</v>
      </c>
      <c r="ER115" s="1111" t="s">
        <v>3033</v>
      </c>
      <c r="ES115" s="1111" t="s">
        <v>3033</v>
      </c>
      <c r="ET115" s="1109" t="s">
        <v>3034</v>
      </c>
      <c r="EU115" s="1109" t="s">
        <v>3035</v>
      </c>
      <c r="EV115" s="1109" t="s">
        <v>3036</v>
      </c>
      <c r="EW115" s="1109">
        <v>6</v>
      </c>
      <c r="EX115" s="1109">
        <v>18</v>
      </c>
    </row>
    <row r="116" spans="3:154" ht="60.95" customHeight="1" x14ac:dyDescent="0.2">
      <c r="C116" s="1156" t="s">
        <v>693</v>
      </c>
      <c r="D116" s="1156" t="s">
        <v>5278</v>
      </c>
      <c r="E116" s="1104" t="s">
        <v>336</v>
      </c>
      <c r="F116" s="1104" t="s">
        <v>421</v>
      </c>
      <c r="G116" s="1109" t="s">
        <v>3037</v>
      </c>
      <c r="H116" s="1109" t="s">
        <v>3038</v>
      </c>
      <c r="I116" s="1109" t="s">
        <v>694</v>
      </c>
      <c r="J116" s="1109">
        <v>2020</v>
      </c>
      <c r="K116" s="1108">
        <v>44029</v>
      </c>
      <c r="L116" s="1105">
        <v>44195</v>
      </c>
      <c r="M116" s="1369">
        <f t="shared" si="14"/>
        <v>166</v>
      </c>
      <c r="N116" s="1109"/>
      <c r="O116" s="1109"/>
      <c r="P116" s="1109"/>
      <c r="Q116" s="1109"/>
      <c r="R116" s="1109"/>
      <c r="S116" s="1109"/>
      <c r="T116" s="1109"/>
      <c r="U116" s="1109"/>
      <c r="V116" s="1109"/>
      <c r="W116" s="1109"/>
      <c r="X116" s="1109"/>
      <c r="Y116" s="1109" t="s">
        <v>3040</v>
      </c>
      <c r="Z116" s="1109" t="s">
        <v>3041</v>
      </c>
      <c r="AA116" s="1109" t="s">
        <v>3042</v>
      </c>
      <c r="AB116" s="1109" t="s">
        <v>3043</v>
      </c>
      <c r="AC116" s="1109" t="s">
        <v>3044</v>
      </c>
      <c r="AD116" s="1109" t="s">
        <v>3043</v>
      </c>
      <c r="AE116" s="1112">
        <v>0.105</v>
      </c>
      <c r="AF116" s="1113">
        <f t="shared" si="10"/>
        <v>0.10500000000000001</v>
      </c>
      <c r="AG116" s="1113">
        <f t="shared" si="11"/>
        <v>0</v>
      </c>
      <c r="AH116" s="1112"/>
      <c r="AI116" s="1109"/>
      <c r="AJ116" s="1109"/>
      <c r="AK116" s="1112">
        <v>0.1</v>
      </c>
      <c r="AL116" s="1109">
        <v>1</v>
      </c>
      <c r="AM116" s="1109">
        <v>6.0000000000000002E-5</v>
      </c>
      <c r="AN116" s="1112">
        <v>5.0000000000000001E-3</v>
      </c>
      <c r="AO116" s="1109">
        <v>0.05</v>
      </c>
      <c r="AP116" s="1112"/>
      <c r="AQ116" s="1109"/>
      <c r="AR116" s="1112"/>
      <c r="AS116" s="1109"/>
      <c r="AT116" s="1109"/>
      <c r="AU116" s="1109"/>
      <c r="AV116" s="1109"/>
      <c r="AW116" s="1109" t="s">
        <v>504</v>
      </c>
      <c r="AX116" s="1109"/>
      <c r="AY116" s="1109"/>
      <c r="AZ116" s="1109"/>
      <c r="BA116" s="1109">
        <v>0.1</v>
      </c>
      <c r="BB116" s="1109">
        <v>6.0000000000000002E-5</v>
      </c>
      <c r="BC116" s="1109">
        <v>1</v>
      </c>
      <c r="BD116" s="1109">
        <v>1</v>
      </c>
      <c r="BE116" s="1116">
        <v>1</v>
      </c>
      <c r="BF116" s="1109"/>
      <c r="BG116" s="1109"/>
      <c r="BH116" s="1109"/>
      <c r="BI116" s="1109"/>
      <c r="BJ116" s="1109"/>
      <c r="BK116" s="1109"/>
      <c r="BL116" s="1109"/>
      <c r="BM116" s="1109"/>
      <c r="BN116" s="1109"/>
      <c r="BO116" s="1109"/>
      <c r="BP116" s="1109">
        <v>1</v>
      </c>
      <c r="BQ116" s="1109"/>
      <c r="BR116" s="1109"/>
      <c r="BS116" s="1109"/>
      <c r="BT116" s="1109"/>
      <c r="BU116" s="1109"/>
      <c r="BV116" s="1109"/>
      <c r="BW116" s="1109"/>
      <c r="BX116" s="1109"/>
      <c r="BY116" s="1109"/>
      <c r="BZ116" s="1109"/>
      <c r="CA116" s="1109">
        <f t="shared" si="16"/>
        <v>1</v>
      </c>
      <c r="CB116" s="1117">
        <f t="shared" si="12"/>
        <v>1</v>
      </c>
      <c r="CC116" s="1117">
        <f t="shared" si="13"/>
        <v>0</v>
      </c>
      <c r="CD116" s="1109">
        <v>0.8</v>
      </c>
      <c r="CE116" s="1109" t="s">
        <v>3045</v>
      </c>
      <c r="CF116" s="1109" t="s">
        <v>504</v>
      </c>
      <c r="CG116" s="1109">
        <v>0.02</v>
      </c>
      <c r="CH116" s="1109">
        <v>42.783999999999999</v>
      </c>
      <c r="CI116" s="1109" t="s">
        <v>3046</v>
      </c>
      <c r="CJ116" s="1109" t="s">
        <v>504</v>
      </c>
      <c r="CK116" s="1109"/>
      <c r="CL116" s="1109"/>
      <c r="CM116" s="1109"/>
      <c r="CN116" s="1109"/>
      <c r="CO116" s="1109">
        <v>6</v>
      </c>
      <c r="CP116" s="1109" t="s">
        <v>504</v>
      </c>
      <c r="CQ116" s="1109"/>
      <c r="CR116" s="1109"/>
      <c r="CS116" s="1109" t="s">
        <v>500</v>
      </c>
      <c r="CT116" s="1109" t="s">
        <v>3047</v>
      </c>
      <c r="CU116" s="1109">
        <v>256</v>
      </c>
      <c r="CV116" s="1109" t="s">
        <v>504</v>
      </c>
      <c r="CW116" s="1109"/>
      <c r="CX116" s="1109"/>
      <c r="CY116" s="1109" t="s">
        <v>504</v>
      </c>
      <c r="CZ116" s="1109"/>
      <c r="DA116" s="1109"/>
      <c r="DB116" s="1109" t="s">
        <v>504</v>
      </c>
      <c r="DC116" s="1109"/>
      <c r="DD116" s="1109"/>
      <c r="DE116" s="1109" t="s">
        <v>504</v>
      </c>
      <c r="DF116" s="1109"/>
      <c r="DG116" s="1109"/>
      <c r="DH116" s="1109" t="s">
        <v>504</v>
      </c>
      <c r="DI116" s="1109"/>
      <c r="DJ116" s="1109"/>
      <c r="DK116" s="1109" t="s">
        <v>504</v>
      </c>
      <c r="DL116" s="1109"/>
      <c r="DM116" s="1109"/>
      <c r="DN116" s="1109" t="s">
        <v>500</v>
      </c>
      <c r="DO116" s="1109" t="s">
        <v>3048</v>
      </c>
      <c r="DP116" s="1109">
        <v>166</v>
      </c>
      <c r="DQ116" s="1109" t="s">
        <v>504</v>
      </c>
      <c r="DR116" s="1109"/>
      <c r="DS116" s="1109"/>
      <c r="DT116" s="1109" t="s">
        <v>504</v>
      </c>
      <c r="DU116" s="1109"/>
      <c r="DV116" s="1109"/>
      <c r="DW116" s="1109" t="s">
        <v>504</v>
      </c>
      <c r="DX116" s="1109"/>
      <c r="DY116" s="1109"/>
      <c r="DZ116" s="1109" t="s">
        <v>504</v>
      </c>
      <c r="EA116" s="1109"/>
      <c r="EB116" s="1109"/>
      <c r="EC116" s="1109" t="s">
        <v>504</v>
      </c>
      <c r="ED116" s="1109"/>
      <c r="EE116" s="1109"/>
      <c r="EF116" s="1109" t="s">
        <v>504</v>
      </c>
      <c r="EG116" s="1109"/>
      <c r="EH116" s="1109"/>
      <c r="EI116" s="1109" t="s">
        <v>504</v>
      </c>
      <c r="EJ116" s="1109"/>
      <c r="EK116" s="1109"/>
      <c r="EL116" s="1109"/>
      <c r="EM116" s="1109"/>
      <c r="EN116" s="1109"/>
      <c r="EO116" s="1109" t="s">
        <v>504</v>
      </c>
      <c r="EP116" s="1109"/>
      <c r="EQ116" s="1109" t="s">
        <v>3049</v>
      </c>
      <c r="ER116" s="1109" t="s">
        <v>504</v>
      </c>
      <c r="ES116" s="1109" t="s">
        <v>3049</v>
      </c>
      <c r="ET116" s="1109" t="s">
        <v>3050</v>
      </c>
      <c r="EU116" s="1109" t="s">
        <v>504</v>
      </c>
      <c r="EV116" s="1109" t="s">
        <v>3051</v>
      </c>
      <c r="EW116" s="1109">
        <v>1</v>
      </c>
      <c r="EX116" s="1109">
        <v>708</v>
      </c>
    </row>
    <row r="117" spans="3:154" ht="60.95" customHeight="1" x14ac:dyDescent="0.2">
      <c r="C117" s="1156" t="s">
        <v>693</v>
      </c>
      <c r="D117" s="1156" t="s">
        <v>5278</v>
      </c>
      <c r="E117" s="1104" t="s">
        <v>336</v>
      </c>
      <c r="F117" s="1104" t="s">
        <v>421</v>
      </c>
      <c r="G117" s="1109" t="s">
        <v>3052</v>
      </c>
      <c r="H117" s="1109" t="s">
        <v>3053</v>
      </c>
      <c r="I117" s="1109" t="s">
        <v>3053</v>
      </c>
      <c r="J117" s="1110">
        <v>2016</v>
      </c>
      <c r="K117" s="1105">
        <v>43759</v>
      </c>
      <c r="L117" s="1105">
        <v>44151</v>
      </c>
      <c r="M117" s="1369">
        <f t="shared" si="14"/>
        <v>392</v>
      </c>
      <c r="N117" s="1105"/>
      <c r="O117" s="1105"/>
      <c r="P117" s="1105"/>
      <c r="Q117" s="1105"/>
      <c r="R117" s="1105"/>
      <c r="S117" s="1105"/>
      <c r="T117" s="1105"/>
      <c r="U117" s="1105"/>
      <c r="V117" s="1105"/>
      <c r="W117" s="1105"/>
      <c r="X117" s="1105"/>
      <c r="Y117" s="1109" t="s">
        <v>3056</v>
      </c>
      <c r="Z117" s="1111" t="s">
        <v>3057</v>
      </c>
      <c r="AA117" s="1109" t="s">
        <v>3058</v>
      </c>
      <c r="AB117" s="1109" t="s">
        <v>3059</v>
      </c>
      <c r="AC117" s="1109" t="s">
        <v>2731</v>
      </c>
      <c r="AD117" s="1109" t="s">
        <v>3060</v>
      </c>
      <c r="AE117" s="1112">
        <v>0.72699999999999998</v>
      </c>
      <c r="AF117" s="1113">
        <f t="shared" si="10"/>
        <v>0.72700000000000009</v>
      </c>
      <c r="AG117" s="1113">
        <f t="shared" si="11"/>
        <v>0</v>
      </c>
      <c r="AH117" s="1112"/>
      <c r="AI117" s="1113"/>
      <c r="AJ117" s="1113"/>
      <c r="AK117" s="1112">
        <v>0.68700000000000006</v>
      </c>
      <c r="AL117" s="1114">
        <v>0.94499999999999995</v>
      </c>
      <c r="AM117" s="1114">
        <v>6.9999999999999999E-4</v>
      </c>
      <c r="AN117" s="1112">
        <v>0.04</v>
      </c>
      <c r="AO117" s="1114">
        <v>5.5E-2</v>
      </c>
      <c r="AP117" s="1112"/>
      <c r="AQ117" s="1114"/>
      <c r="AR117" s="1112"/>
      <c r="AS117" s="1114"/>
      <c r="AT117" s="1114"/>
      <c r="AU117" s="1114"/>
      <c r="AV117" s="1114"/>
      <c r="AW117" s="1114" t="s">
        <v>504</v>
      </c>
      <c r="AX117" s="1114"/>
      <c r="AY117" s="1114"/>
      <c r="AZ117" s="1114"/>
      <c r="BA117" s="1113"/>
      <c r="BB117" s="1114"/>
      <c r="BC117" s="1115">
        <v>1</v>
      </c>
      <c r="BD117" s="1115">
        <v>1</v>
      </c>
      <c r="BE117" s="1116">
        <v>1</v>
      </c>
      <c r="BF117" s="1115"/>
      <c r="BG117" s="1115"/>
      <c r="BH117" s="1115"/>
      <c r="BI117" s="1115"/>
      <c r="BJ117" s="1115"/>
      <c r="BK117" s="1115"/>
      <c r="BL117" s="1115"/>
      <c r="BM117" s="1115"/>
      <c r="BN117" s="1115"/>
      <c r="BO117" s="1115"/>
      <c r="BP117" s="1115"/>
      <c r="BQ117" s="1115"/>
      <c r="BR117" s="1115"/>
      <c r="BS117" s="1115"/>
      <c r="BT117" s="1115"/>
      <c r="BU117" s="1115"/>
      <c r="BV117" s="1115"/>
      <c r="BW117" s="1115"/>
      <c r="BX117" s="1115"/>
      <c r="BY117" s="1115"/>
      <c r="BZ117" s="1115">
        <v>1</v>
      </c>
      <c r="CA117" s="1117">
        <f t="shared" si="16"/>
        <v>1</v>
      </c>
      <c r="CB117" s="1117">
        <f t="shared" si="12"/>
        <v>1</v>
      </c>
      <c r="CC117" s="1117">
        <f t="shared" si="13"/>
        <v>0</v>
      </c>
      <c r="CD117" s="1113">
        <v>0.67</v>
      </c>
      <c r="CE117" s="1109"/>
      <c r="CF117" s="1109"/>
      <c r="CG117" s="1109">
        <v>1.7</v>
      </c>
      <c r="CH117" s="1113">
        <v>39.465000000000003</v>
      </c>
      <c r="CI117" s="1118" t="s">
        <v>3061</v>
      </c>
      <c r="CJ117" s="1109" t="s">
        <v>504</v>
      </c>
      <c r="CK117" s="1109"/>
      <c r="CL117" s="1109"/>
      <c r="CM117" s="1115"/>
      <c r="CN117" s="1115"/>
      <c r="CO117" s="1115">
        <v>2</v>
      </c>
      <c r="CP117" s="1109" t="s">
        <v>504</v>
      </c>
      <c r="CQ117" s="1109"/>
      <c r="CR117" s="1115"/>
      <c r="CS117" s="1109" t="s">
        <v>500</v>
      </c>
      <c r="CT117" s="1109" t="s">
        <v>3062</v>
      </c>
      <c r="CU117" s="1115">
        <v>86</v>
      </c>
      <c r="CV117" s="1115" t="s">
        <v>504</v>
      </c>
      <c r="CW117" s="1115"/>
      <c r="CX117" s="1115"/>
      <c r="CY117" s="1115" t="s">
        <v>504</v>
      </c>
      <c r="CZ117" s="1115"/>
      <c r="DA117" s="1115"/>
      <c r="DB117" s="1109" t="s">
        <v>504</v>
      </c>
      <c r="DC117" s="1109"/>
      <c r="DD117" s="1115"/>
      <c r="DE117" s="1109" t="s">
        <v>500</v>
      </c>
      <c r="DF117" s="1111" t="s">
        <v>3063</v>
      </c>
      <c r="DG117" s="1115">
        <v>1</v>
      </c>
      <c r="DH117" s="1109" t="s">
        <v>504</v>
      </c>
      <c r="DI117" s="1109"/>
      <c r="DJ117" s="1115"/>
      <c r="DK117" s="1109" t="s">
        <v>504</v>
      </c>
      <c r="DL117" s="1109"/>
      <c r="DM117" s="1115"/>
      <c r="DN117" s="1109" t="s">
        <v>504</v>
      </c>
      <c r="DO117" s="1109"/>
      <c r="DP117" s="1115"/>
      <c r="DQ117" s="1109" t="s">
        <v>504</v>
      </c>
      <c r="DR117" s="1109"/>
      <c r="DS117" s="1115"/>
      <c r="DT117" s="1115" t="s">
        <v>504</v>
      </c>
      <c r="DU117" s="1115"/>
      <c r="DV117" s="1115"/>
      <c r="DW117" s="1109" t="s">
        <v>504</v>
      </c>
      <c r="DX117" s="1109"/>
      <c r="DY117" s="1115"/>
      <c r="DZ117" s="1109" t="s">
        <v>504</v>
      </c>
      <c r="EA117" s="1109"/>
      <c r="EB117" s="1115"/>
      <c r="EC117" s="1109" t="s">
        <v>500</v>
      </c>
      <c r="ED117" s="1109" t="s">
        <v>3064</v>
      </c>
      <c r="EE117" s="1115">
        <v>9</v>
      </c>
      <c r="EF117" s="1115" t="s">
        <v>504</v>
      </c>
      <c r="EG117" s="1115"/>
      <c r="EH117" s="1115"/>
      <c r="EI117" s="1109" t="s">
        <v>500</v>
      </c>
      <c r="EJ117" s="1111" t="s">
        <v>3065</v>
      </c>
      <c r="EK117" s="1115"/>
      <c r="EL117" s="1115"/>
      <c r="EM117" s="1115"/>
      <c r="EN117" s="1115"/>
      <c r="EO117" s="1109" t="s">
        <v>500</v>
      </c>
      <c r="EP117" s="1109" t="s">
        <v>3066</v>
      </c>
      <c r="EQ117" s="1111" t="s">
        <v>3067</v>
      </c>
      <c r="ER117" s="1111" t="s">
        <v>3057</v>
      </c>
      <c r="ES117" s="1111" t="s">
        <v>3067</v>
      </c>
      <c r="ET117" s="1109"/>
      <c r="EU117" s="1109"/>
      <c r="EV117" s="1109"/>
      <c r="EW117" s="1109"/>
      <c r="EX117" s="1109"/>
    </row>
    <row r="118" spans="3:154" ht="60.95" customHeight="1" x14ac:dyDescent="0.2">
      <c r="C118" s="1156" t="s">
        <v>693</v>
      </c>
      <c r="D118" s="1156" t="s">
        <v>5278</v>
      </c>
      <c r="E118" s="1104" t="s">
        <v>336</v>
      </c>
      <c r="F118" s="1104" t="s">
        <v>421</v>
      </c>
      <c r="G118" s="1109" t="s">
        <v>3068</v>
      </c>
      <c r="H118" s="1109" t="s">
        <v>3069</v>
      </c>
      <c r="I118" s="1109" t="s">
        <v>3070</v>
      </c>
      <c r="J118" s="1110">
        <v>2017</v>
      </c>
      <c r="K118" s="1105">
        <v>43711</v>
      </c>
      <c r="L118" s="1105">
        <v>44054</v>
      </c>
      <c r="M118" s="1369">
        <f t="shared" si="14"/>
        <v>343</v>
      </c>
      <c r="N118" s="1105"/>
      <c r="O118" s="1105"/>
      <c r="P118" s="1105"/>
      <c r="Q118" s="1105"/>
      <c r="R118" s="1105"/>
      <c r="S118" s="1105"/>
      <c r="T118" s="1105"/>
      <c r="U118" s="1105"/>
      <c r="V118" s="1105"/>
      <c r="W118" s="1105"/>
      <c r="X118" s="1105"/>
      <c r="Y118" s="1109" t="s">
        <v>3071</v>
      </c>
      <c r="Z118" s="1111" t="s">
        <v>3072</v>
      </c>
      <c r="AA118" s="1109" t="s">
        <v>3073</v>
      </c>
      <c r="AB118" s="1109" t="s">
        <v>3074</v>
      </c>
      <c r="AC118" s="1109" t="s">
        <v>3075</v>
      </c>
      <c r="AD118" s="1109" t="s">
        <v>3076</v>
      </c>
      <c r="AE118" s="1112">
        <v>1.4590000000000001</v>
      </c>
      <c r="AF118" s="1113">
        <f>AH118+AK118+AN118+AP118+AR118</f>
        <v>1.4594</v>
      </c>
      <c r="AG118" s="1113">
        <f t="shared" si="11"/>
        <v>3.9999999999995595E-4</v>
      </c>
      <c r="AH118" s="1112"/>
      <c r="AI118" s="1113"/>
      <c r="AJ118" s="1113"/>
      <c r="AK118" s="1112">
        <v>1.1464000000000001</v>
      </c>
      <c r="AL118" s="1114">
        <v>0.72399999999999998</v>
      </c>
      <c r="AM118" s="1114">
        <v>2.1999999999999999E-2</v>
      </c>
      <c r="AN118" s="1112">
        <v>0.313</v>
      </c>
      <c r="AO118" s="1114">
        <v>0.19</v>
      </c>
      <c r="AP118" s="1112"/>
      <c r="AQ118" s="1114"/>
      <c r="AR118" s="1112"/>
      <c r="AS118" s="1114"/>
      <c r="AT118" s="1114"/>
      <c r="AU118" s="1114"/>
      <c r="AV118" s="1114"/>
      <c r="AW118" s="1114" t="s">
        <v>504</v>
      </c>
      <c r="AX118" s="1114"/>
      <c r="AY118" s="1114"/>
      <c r="AZ118" s="1114"/>
      <c r="BA118" s="1113"/>
      <c r="BB118" s="1114"/>
      <c r="BC118" s="1115">
        <v>4</v>
      </c>
      <c r="BD118" s="1115">
        <v>4</v>
      </c>
      <c r="BE118" s="1116">
        <v>4</v>
      </c>
      <c r="BF118" s="1115"/>
      <c r="BG118" s="1115"/>
      <c r="BH118" s="1115"/>
      <c r="BI118" s="1115"/>
      <c r="BJ118" s="1115"/>
      <c r="BK118" s="1115">
        <v>1</v>
      </c>
      <c r="BL118" s="1115"/>
      <c r="BM118" s="1115"/>
      <c r="BN118" s="1115">
        <v>1</v>
      </c>
      <c r="BO118" s="1115"/>
      <c r="BP118" s="1115">
        <v>1</v>
      </c>
      <c r="BQ118" s="1115"/>
      <c r="BR118" s="1115">
        <v>1</v>
      </c>
      <c r="BS118" s="1115"/>
      <c r="BT118" s="1115"/>
      <c r="BU118" s="1115"/>
      <c r="BV118" s="1115"/>
      <c r="BW118" s="1115"/>
      <c r="BX118" s="1115"/>
      <c r="BY118" s="1115"/>
      <c r="BZ118" s="1115"/>
      <c r="CA118" s="1117">
        <f t="shared" si="16"/>
        <v>4</v>
      </c>
      <c r="CB118" s="1117">
        <f t="shared" si="12"/>
        <v>4</v>
      </c>
      <c r="CC118" s="1117">
        <f t="shared" si="13"/>
        <v>0</v>
      </c>
      <c r="CD118" s="1113">
        <v>4.4000000000000004</v>
      </c>
      <c r="CE118" s="1109"/>
      <c r="CF118" s="1109"/>
      <c r="CG118" s="1109">
        <v>100</v>
      </c>
      <c r="CH118" s="1113">
        <v>4.4000000000000004</v>
      </c>
      <c r="CI118" s="1114"/>
      <c r="CJ118" s="1109" t="s">
        <v>504</v>
      </c>
      <c r="CK118" s="1109"/>
      <c r="CL118" s="1109"/>
      <c r="CM118" s="1115"/>
      <c r="CN118" s="1115"/>
      <c r="CO118" s="1115"/>
      <c r="CP118" s="1109" t="s">
        <v>500</v>
      </c>
      <c r="CQ118" s="1109" t="s">
        <v>2154</v>
      </c>
      <c r="CR118" s="1115">
        <v>438</v>
      </c>
      <c r="CS118" s="1109" t="s">
        <v>500</v>
      </c>
      <c r="CT118" s="1109" t="s">
        <v>795</v>
      </c>
      <c r="CU118" s="1115">
        <v>438</v>
      </c>
      <c r="CV118" s="1115" t="s">
        <v>504</v>
      </c>
      <c r="CW118" s="1115"/>
      <c r="CX118" s="1115"/>
      <c r="CY118" s="1115" t="s">
        <v>504</v>
      </c>
      <c r="CZ118" s="1115"/>
      <c r="DA118" s="1115"/>
      <c r="DB118" s="1109" t="s">
        <v>504</v>
      </c>
      <c r="DC118" s="1109"/>
      <c r="DD118" s="1115"/>
      <c r="DE118" s="1109" t="s">
        <v>500</v>
      </c>
      <c r="DF118" s="1109"/>
      <c r="DG118" s="1115"/>
      <c r="DH118" s="1109" t="s">
        <v>504</v>
      </c>
      <c r="DI118" s="1109"/>
      <c r="DJ118" s="1115"/>
      <c r="DK118" s="1109" t="s">
        <v>504</v>
      </c>
      <c r="DL118" s="1109"/>
      <c r="DM118" s="1115"/>
      <c r="DN118" s="1109" t="s">
        <v>500</v>
      </c>
      <c r="DO118" s="1111" t="s">
        <v>3077</v>
      </c>
      <c r="DP118" s="1115" t="s">
        <v>3078</v>
      </c>
      <c r="DQ118" s="1109" t="s">
        <v>500</v>
      </c>
      <c r="DR118" s="1109" t="s">
        <v>935</v>
      </c>
      <c r="DS118" s="1115">
        <v>438</v>
      </c>
      <c r="DT118" s="1115" t="s">
        <v>504</v>
      </c>
      <c r="DU118" s="1115"/>
      <c r="DV118" s="1115"/>
      <c r="DW118" s="1109" t="s">
        <v>504</v>
      </c>
      <c r="DX118" s="1109"/>
      <c r="DY118" s="1115"/>
      <c r="DZ118" s="1109" t="s">
        <v>504</v>
      </c>
      <c r="EA118" s="1109"/>
      <c r="EB118" s="1115"/>
      <c r="EC118" s="1109" t="s">
        <v>504</v>
      </c>
      <c r="ED118" s="1109"/>
      <c r="EE118" s="1115"/>
      <c r="EF118" s="1115" t="s">
        <v>500</v>
      </c>
      <c r="EG118" s="1115" t="s">
        <v>935</v>
      </c>
      <c r="EH118" s="1115">
        <v>5</v>
      </c>
      <c r="EI118" s="1109" t="s">
        <v>504</v>
      </c>
      <c r="EJ118" s="1109"/>
      <c r="EK118" s="1115"/>
      <c r="EL118" s="1115"/>
      <c r="EM118" s="1115"/>
      <c r="EN118" s="1115"/>
      <c r="EO118" s="1109" t="s">
        <v>504</v>
      </c>
      <c r="EP118" s="1109"/>
      <c r="EQ118" s="1111" t="s">
        <v>3079</v>
      </c>
      <c r="ER118" s="1109"/>
      <c r="ES118" s="1109"/>
      <c r="ET118" s="1109"/>
      <c r="EU118" s="1109"/>
      <c r="EV118" s="1109" t="s">
        <v>3080</v>
      </c>
      <c r="EW118" s="1109">
        <v>12</v>
      </c>
      <c r="EX118" s="1109">
        <v>438</v>
      </c>
    </row>
    <row r="119" spans="3:154" ht="60.95" customHeight="1" x14ac:dyDescent="0.2">
      <c r="C119" s="1156" t="s">
        <v>693</v>
      </c>
      <c r="D119" s="1156" t="s">
        <v>5278</v>
      </c>
      <c r="E119" s="1104" t="s">
        <v>336</v>
      </c>
      <c r="F119" s="1104" t="s">
        <v>421</v>
      </c>
      <c r="G119" s="1109" t="s">
        <v>3081</v>
      </c>
      <c r="H119" s="1109" t="s">
        <v>694</v>
      </c>
      <c r="I119" s="1109" t="s">
        <v>3082</v>
      </c>
      <c r="J119" s="1110" t="s">
        <v>2936</v>
      </c>
      <c r="K119" s="1105">
        <v>43952</v>
      </c>
      <c r="L119" s="1105">
        <v>44196</v>
      </c>
      <c r="M119" s="1369">
        <f t="shared" si="14"/>
        <v>244</v>
      </c>
      <c r="N119" s="1105"/>
      <c r="O119" s="1105"/>
      <c r="P119" s="1105"/>
      <c r="Q119" s="1105"/>
      <c r="R119" s="1105"/>
      <c r="S119" s="1105"/>
      <c r="T119" s="1105"/>
      <c r="U119" s="1105"/>
      <c r="V119" s="1105"/>
      <c r="W119" s="1105"/>
      <c r="X119" s="1105"/>
      <c r="Y119" s="1109" t="s">
        <v>3083</v>
      </c>
      <c r="Z119" s="1120" t="s">
        <v>3084</v>
      </c>
      <c r="AA119" s="1109" t="s">
        <v>3085</v>
      </c>
      <c r="AB119" s="1109" t="s">
        <v>3085</v>
      </c>
      <c r="AC119" s="1109" t="s">
        <v>767</v>
      </c>
      <c r="AD119" s="1109" t="s">
        <v>3086</v>
      </c>
      <c r="AE119" s="1112">
        <v>0.32700000000000001</v>
      </c>
      <c r="AF119" s="1113">
        <f t="shared" si="10"/>
        <v>0.32740000000000002</v>
      </c>
      <c r="AG119" s="1113">
        <f t="shared" si="11"/>
        <v>4.0000000000001146E-4</v>
      </c>
      <c r="AH119" s="1112"/>
      <c r="AI119" s="1113"/>
      <c r="AJ119" s="1113"/>
      <c r="AK119" s="1112">
        <v>0.247</v>
      </c>
      <c r="AL119" s="1114">
        <v>0.60840000000000005</v>
      </c>
      <c r="AM119" s="1114">
        <v>5.2999999999999998E-4</v>
      </c>
      <c r="AN119" s="1112">
        <v>2.9000000000000001E-2</v>
      </c>
      <c r="AO119" s="1114">
        <v>7.3700000000000002E-2</v>
      </c>
      <c r="AP119" s="1112">
        <v>5.1400000000000001E-2</v>
      </c>
      <c r="AQ119" s="1114">
        <v>0.12620000000000001</v>
      </c>
      <c r="AR119" s="1112"/>
      <c r="AS119" s="1114"/>
      <c r="AT119" s="1114"/>
      <c r="AU119" s="1114"/>
      <c r="AV119" s="1114"/>
      <c r="AW119" s="1114" t="s">
        <v>500</v>
      </c>
      <c r="AX119" s="1114" t="s">
        <v>3087</v>
      </c>
      <c r="AY119" s="1114"/>
      <c r="AZ119" s="1114"/>
      <c r="BA119" s="1113">
        <v>0.5</v>
      </c>
      <c r="BB119" s="1114">
        <v>1E-3</v>
      </c>
      <c r="BC119" s="1115">
        <v>3</v>
      </c>
      <c r="BD119" s="1115">
        <v>3</v>
      </c>
      <c r="BE119" s="1116">
        <v>3</v>
      </c>
      <c r="BF119" s="1115"/>
      <c r="BG119" s="1115"/>
      <c r="BH119" s="1115"/>
      <c r="BI119" s="1115"/>
      <c r="BJ119" s="1115"/>
      <c r="BK119" s="1115">
        <v>1</v>
      </c>
      <c r="BL119" s="1115"/>
      <c r="BM119" s="1115">
        <v>1</v>
      </c>
      <c r="BN119" s="1115"/>
      <c r="BO119" s="1115">
        <v>1</v>
      </c>
      <c r="BP119" s="1115"/>
      <c r="BQ119" s="1115"/>
      <c r="BR119" s="1115"/>
      <c r="BS119" s="1115"/>
      <c r="BT119" s="1115"/>
      <c r="BU119" s="1115"/>
      <c r="BV119" s="1115"/>
      <c r="BW119" s="1115"/>
      <c r="BX119" s="1115"/>
      <c r="BY119" s="1115"/>
      <c r="BZ119" s="1115"/>
      <c r="CA119" s="1117">
        <f t="shared" si="16"/>
        <v>3</v>
      </c>
      <c r="CB119" s="1117">
        <f t="shared" si="12"/>
        <v>3</v>
      </c>
      <c r="CC119" s="1117">
        <f t="shared" si="13"/>
        <v>0</v>
      </c>
      <c r="CD119" s="1113">
        <v>1.43</v>
      </c>
      <c r="CE119" s="1109"/>
      <c r="CF119" s="1109"/>
      <c r="CG119" s="1109">
        <v>100</v>
      </c>
      <c r="CH119" s="1113">
        <v>1.43</v>
      </c>
      <c r="CI119" s="1121" t="s">
        <v>3088</v>
      </c>
      <c r="CJ119" s="1109" t="s">
        <v>504</v>
      </c>
      <c r="CK119" s="1109"/>
      <c r="CL119" s="1109"/>
      <c r="CM119" s="1115"/>
      <c r="CN119" s="1115"/>
      <c r="CO119" s="1115"/>
      <c r="CP119" s="1109" t="s">
        <v>500</v>
      </c>
      <c r="CQ119" s="1109" t="s">
        <v>3089</v>
      </c>
      <c r="CR119" s="1115">
        <v>163</v>
      </c>
      <c r="CS119" s="1115" t="s">
        <v>504</v>
      </c>
      <c r="CT119" s="1115"/>
      <c r="CU119" s="1115"/>
      <c r="CV119" s="1115" t="s">
        <v>504</v>
      </c>
      <c r="CW119" s="1115"/>
      <c r="CX119" s="1115"/>
      <c r="CY119" s="1115" t="s">
        <v>504</v>
      </c>
      <c r="CZ119" s="1115"/>
      <c r="DA119" s="1115"/>
      <c r="DB119" s="1115" t="s">
        <v>504</v>
      </c>
      <c r="DC119" s="1115"/>
      <c r="DD119" s="1115"/>
      <c r="DE119" s="1115" t="s">
        <v>504</v>
      </c>
      <c r="DF119" s="1115"/>
      <c r="DG119" s="1115"/>
      <c r="DH119" s="1115" t="s">
        <v>504</v>
      </c>
      <c r="DI119" s="1115"/>
      <c r="DJ119" s="1115"/>
      <c r="DK119" s="1115" t="s">
        <v>504</v>
      </c>
      <c r="DL119" s="1115"/>
      <c r="DM119" s="1115"/>
      <c r="DN119" s="1115" t="s">
        <v>504</v>
      </c>
      <c r="DO119" s="1115"/>
      <c r="DP119" s="1115"/>
      <c r="DQ119" s="1109" t="s">
        <v>500</v>
      </c>
      <c r="DR119" s="1109" t="s">
        <v>3089</v>
      </c>
      <c r="DS119" s="1115">
        <v>163</v>
      </c>
      <c r="DT119" s="1115" t="s">
        <v>504</v>
      </c>
      <c r="DU119" s="1115"/>
      <c r="DV119" s="1115"/>
      <c r="DW119" s="1115" t="s">
        <v>504</v>
      </c>
      <c r="DX119" s="1115"/>
      <c r="DY119" s="1115"/>
      <c r="DZ119" s="1115" t="s">
        <v>504</v>
      </c>
      <c r="EA119" s="1115"/>
      <c r="EB119" s="1115"/>
      <c r="EC119" s="1115" t="s">
        <v>504</v>
      </c>
      <c r="ED119" s="1115"/>
      <c r="EE119" s="1115"/>
      <c r="EF119" s="1115" t="s">
        <v>504</v>
      </c>
      <c r="EG119" s="1115"/>
      <c r="EH119" s="1115"/>
      <c r="EI119" s="1115" t="s">
        <v>504</v>
      </c>
      <c r="EJ119" s="1115"/>
      <c r="EK119" s="1115"/>
      <c r="EL119" s="1115"/>
      <c r="EM119" s="1115"/>
      <c r="EN119" s="1115"/>
      <c r="EO119" s="1109" t="s">
        <v>504</v>
      </c>
      <c r="EP119" s="1109"/>
      <c r="EQ119" s="1109"/>
      <c r="ER119" s="1109"/>
      <c r="ES119" s="1109"/>
      <c r="ET119" s="1109" t="s">
        <v>3090</v>
      </c>
      <c r="EU119" s="1109"/>
      <c r="EV119" s="1109" t="s">
        <v>3091</v>
      </c>
      <c r="EW119" s="1109">
        <v>2</v>
      </c>
      <c r="EX119" s="1109">
        <v>45</v>
      </c>
    </row>
    <row r="120" spans="3:154" ht="60.95" customHeight="1" x14ac:dyDescent="0.2">
      <c r="C120" s="1156" t="s">
        <v>693</v>
      </c>
      <c r="D120" s="1156" t="s">
        <v>5278</v>
      </c>
      <c r="E120" s="1104" t="s">
        <v>336</v>
      </c>
      <c r="F120" s="1104" t="s">
        <v>421</v>
      </c>
      <c r="G120" s="1104" t="s">
        <v>3092</v>
      </c>
      <c r="H120" s="1104" t="s">
        <v>694</v>
      </c>
      <c r="I120" s="1104" t="s">
        <v>694</v>
      </c>
      <c r="J120" s="1122">
        <v>2017</v>
      </c>
      <c r="K120" s="1105">
        <v>43888</v>
      </c>
      <c r="L120" s="1105">
        <v>43934</v>
      </c>
      <c r="M120" s="1369">
        <f t="shared" si="14"/>
        <v>46</v>
      </c>
      <c r="N120" s="1105"/>
      <c r="O120" s="1105"/>
      <c r="P120" s="1105"/>
      <c r="Q120" s="1105"/>
      <c r="R120" s="1105"/>
      <c r="S120" s="1105"/>
      <c r="T120" s="1105"/>
      <c r="U120" s="1105"/>
      <c r="V120" s="1105"/>
      <c r="W120" s="1105"/>
      <c r="X120" s="1105"/>
      <c r="Y120" s="1104" t="s">
        <v>3093</v>
      </c>
      <c r="Z120" s="1104" t="s">
        <v>3094</v>
      </c>
      <c r="AA120" s="1104" t="s">
        <v>3095</v>
      </c>
      <c r="AB120" s="1104" t="s">
        <v>3095</v>
      </c>
      <c r="AC120" s="1104" t="s">
        <v>3096</v>
      </c>
      <c r="AD120" s="1104" t="s">
        <v>3097</v>
      </c>
      <c r="AE120" s="1112">
        <v>0.872</v>
      </c>
      <c r="AF120" s="1113">
        <f t="shared" si="10"/>
        <v>0.872</v>
      </c>
      <c r="AG120" s="1113">
        <f t="shared" si="11"/>
        <v>0</v>
      </c>
      <c r="AH120" s="1112"/>
      <c r="AI120" s="1113"/>
      <c r="AJ120" s="1113"/>
      <c r="AK120" s="1112">
        <v>0.71599999999999997</v>
      </c>
      <c r="AL120" s="1114">
        <v>0.82120000000000004</v>
      </c>
      <c r="AM120" s="1114">
        <v>1.24E-2</v>
      </c>
      <c r="AN120" s="1112">
        <v>3.1E-2</v>
      </c>
      <c r="AO120" s="1114">
        <v>3.5700000000000003E-2</v>
      </c>
      <c r="AP120" s="1112">
        <v>0.125</v>
      </c>
      <c r="AQ120" s="1114">
        <v>0.1431</v>
      </c>
      <c r="AR120" s="1112"/>
      <c r="AS120" s="1114"/>
      <c r="AT120" s="1114"/>
      <c r="AU120" s="1114"/>
      <c r="AV120" s="1114"/>
      <c r="AW120" s="1114" t="s">
        <v>500</v>
      </c>
      <c r="AX120" s="1114" t="s">
        <v>3098</v>
      </c>
      <c r="AY120" s="1114"/>
      <c r="AZ120" s="1114"/>
      <c r="BA120" s="1113">
        <v>1.0529999999999999</v>
      </c>
      <c r="BB120" s="1114">
        <v>5.7999999999999996E-3</v>
      </c>
      <c r="BC120" s="1115">
        <v>12</v>
      </c>
      <c r="BD120" s="1115">
        <v>6</v>
      </c>
      <c r="BE120" s="1116">
        <v>6</v>
      </c>
      <c r="BF120" s="1115"/>
      <c r="BG120" s="1115">
        <v>1</v>
      </c>
      <c r="BH120" s="1115"/>
      <c r="BI120" s="1115"/>
      <c r="BJ120" s="1115"/>
      <c r="BK120" s="1115"/>
      <c r="BL120" s="1115"/>
      <c r="BM120" s="1115">
        <v>2</v>
      </c>
      <c r="BN120" s="1115"/>
      <c r="BO120" s="1115"/>
      <c r="BP120" s="1115"/>
      <c r="BQ120" s="1115">
        <v>1</v>
      </c>
      <c r="BR120" s="1115">
        <v>2</v>
      </c>
      <c r="BS120" s="1115"/>
      <c r="BT120" s="1115"/>
      <c r="BU120" s="1115"/>
      <c r="BV120" s="1115"/>
      <c r="BW120" s="1115"/>
      <c r="BX120" s="1115"/>
      <c r="BY120" s="1115"/>
      <c r="BZ120" s="1115"/>
      <c r="CA120" s="1117">
        <f t="shared" si="16"/>
        <v>6</v>
      </c>
      <c r="CB120" s="1117">
        <f t="shared" si="12"/>
        <v>6</v>
      </c>
      <c r="CC120" s="1117">
        <f t="shared" si="13"/>
        <v>0</v>
      </c>
      <c r="CD120" s="1113">
        <v>1.6140000000000001</v>
      </c>
      <c r="CE120" s="1104" t="s">
        <v>3099</v>
      </c>
      <c r="CF120" s="1104"/>
      <c r="CG120" s="1114">
        <v>0.28100000000000003</v>
      </c>
      <c r="CH120" s="1113">
        <v>5.7439999999999998</v>
      </c>
      <c r="CI120" s="1118" t="s">
        <v>3100</v>
      </c>
      <c r="CJ120" s="1109" t="s">
        <v>504</v>
      </c>
      <c r="CK120" s="1104"/>
      <c r="CL120" s="1104"/>
      <c r="CM120" s="1104"/>
      <c r="CN120" s="1104"/>
      <c r="CO120" s="1104">
        <v>2</v>
      </c>
      <c r="CP120" s="1109" t="s">
        <v>500</v>
      </c>
      <c r="CQ120" s="1104" t="s">
        <v>3101</v>
      </c>
      <c r="CR120" s="1115">
        <v>280</v>
      </c>
      <c r="CS120" s="1109" t="s">
        <v>500</v>
      </c>
      <c r="CT120" s="1104" t="s">
        <v>3102</v>
      </c>
      <c r="CU120" s="1115">
        <v>186</v>
      </c>
      <c r="CV120" s="1115" t="s">
        <v>504</v>
      </c>
      <c r="CW120" s="1104"/>
      <c r="CX120" s="1104"/>
      <c r="CY120" s="1115" t="s">
        <v>504</v>
      </c>
      <c r="CZ120" s="1104"/>
      <c r="DA120" s="1104"/>
      <c r="DB120" s="1115" t="s">
        <v>504</v>
      </c>
      <c r="DC120" s="1104"/>
      <c r="DD120" s="1104"/>
      <c r="DE120" s="1115" t="s">
        <v>504</v>
      </c>
      <c r="DF120" s="1104"/>
      <c r="DG120" s="1104"/>
      <c r="DH120" s="1115" t="s">
        <v>504</v>
      </c>
      <c r="DI120" s="1104"/>
      <c r="DJ120" s="1104"/>
      <c r="DK120" s="1115" t="s">
        <v>504</v>
      </c>
      <c r="DL120" s="1104"/>
      <c r="DM120" s="1104"/>
      <c r="DN120" s="1109" t="s">
        <v>500</v>
      </c>
      <c r="DO120" s="1109" t="s">
        <v>3103</v>
      </c>
      <c r="DP120" s="1115">
        <v>25</v>
      </c>
      <c r="DQ120" s="1109" t="s">
        <v>500</v>
      </c>
      <c r="DR120" s="1104" t="s">
        <v>3102</v>
      </c>
      <c r="DS120" s="1115">
        <v>236</v>
      </c>
      <c r="DT120" s="1115" t="s">
        <v>504</v>
      </c>
      <c r="DU120" s="1104"/>
      <c r="DV120" s="1104"/>
      <c r="DW120" s="1115" t="s">
        <v>504</v>
      </c>
      <c r="DX120" s="1104"/>
      <c r="DY120" s="1104"/>
      <c r="DZ120" s="1115" t="s">
        <v>504</v>
      </c>
      <c r="EA120" s="1104"/>
      <c r="EB120" s="1104"/>
      <c r="EC120" s="1115" t="s">
        <v>504</v>
      </c>
      <c r="ED120" s="1104"/>
      <c r="EE120" s="1104"/>
      <c r="EF120" s="1115" t="s">
        <v>504</v>
      </c>
      <c r="EG120" s="1104"/>
      <c r="EH120" s="1104"/>
      <c r="EI120" s="1115" t="s">
        <v>504</v>
      </c>
      <c r="EJ120" s="1104"/>
      <c r="EK120" s="1104"/>
      <c r="EL120" s="1104"/>
      <c r="EM120" s="1104"/>
      <c r="EN120" s="1104"/>
      <c r="EO120" s="1109" t="s">
        <v>504</v>
      </c>
      <c r="EP120" s="1104"/>
      <c r="EQ120" s="1104"/>
      <c r="ER120" s="1111" t="s">
        <v>3104</v>
      </c>
      <c r="ES120" s="1104"/>
      <c r="ET120" s="1109" t="s">
        <v>3105</v>
      </c>
      <c r="EU120" s="1104" t="s">
        <v>3106</v>
      </c>
      <c r="EV120" s="1104" t="s">
        <v>3107</v>
      </c>
      <c r="EW120" s="1104">
        <v>4</v>
      </c>
      <c r="EX120" s="1104" t="s">
        <v>3108</v>
      </c>
    </row>
    <row r="121" spans="3:154" ht="60.95" customHeight="1" x14ac:dyDescent="0.2">
      <c r="C121" s="1156" t="s">
        <v>693</v>
      </c>
      <c r="D121" s="1156" t="s">
        <v>5278</v>
      </c>
      <c r="E121" s="1104" t="s">
        <v>336</v>
      </c>
      <c r="F121" s="1104" t="s">
        <v>421</v>
      </c>
      <c r="G121" s="1109" t="s">
        <v>3109</v>
      </c>
      <c r="H121" s="1109" t="s">
        <v>569</v>
      </c>
      <c r="I121" s="1109" t="s">
        <v>694</v>
      </c>
      <c r="J121" s="1110">
        <v>2016</v>
      </c>
      <c r="K121" s="1105">
        <v>43957</v>
      </c>
      <c r="L121" s="1105">
        <v>44147</v>
      </c>
      <c r="M121" s="1369">
        <f t="shared" si="14"/>
        <v>190</v>
      </c>
      <c r="N121" s="1105"/>
      <c r="O121" s="1105"/>
      <c r="P121" s="1105"/>
      <c r="Q121" s="1105"/>
      <c r="R121" s="1105"/>
      <c r="S121" s="1105"/>
      <c r="T121" s="1105"/>
      <c r="U121" s="1105"/>
      <c r="V121" s="1105"/>
      <c r="W121" s="1105"/>
      <c r="X121" s="1105"/>
      <c r="Y121" s="1109" t="s">
        <v>3110</v>
      </c>
      <c r="Z121" s="1111" t="s">
        <v>3111</v>
      </c>
      <c r="AA121" s="1109" t="s">
        <v>3112</v>
      </c>
      <c r="AB121" s="1109" t="s">
        <v>3113</v>
      </c>
      <c r="AC121" s="1109" t="s">
        <v>2135</v>
      </c>
      <c r="AD121" s="1109" t="s">
        <v>3114</v>
      </c>
      <c r="AE121" s="1112">
        <v>0.8</v>
      </c>
      <c r="AF121" s="1113">
        <f>AH121+AK121+AN121+AP121+AR121</f>
        <v>0.8</v>
      </c>
      <c r="AG121" s="1113">
        <f t="shared" si="11"/>
        <v>0</v>
      </c>
      <c r="AH121" s="1112"/>
      <c r="AI121" s="1113"/>
      <c r="AJ121" s="1113"/>
      <c r="AK121" s="1112">
        <v>0.5</v>
      </c>
      <c r="AL121" s="1114">
        <v>0.217</v>
      </c>
      <c r="AM121" s="1114">
        <v>1E-3</v>
      </c>
      <c r="AN121" s="1112">
        <v>0.3</v>
      </c>
      <c r="AO121" s="1114">
        <v>0.13800000000000001</v>
      </c>
      <c r="AP121" s="1112"/>
      <c r="AQ121" s="1114"/>
      <c r="AR121" s="1112"/>
      <c r="AS121" s="1114"/>
      <c r="AT121" s="1114"/>
      <c r="AU121" s="1114"/>
      <c r="AV121" s="1114"/>
      <c r="AW121" s="1114" t="s">
        <v>500</v>
      </c>
      <c r="AX121" s="1114" t="s">
        <v>3115</v>
      </c>
      <c r="AY121" s="1114"/>
      <c r="AZ121" s="1114"/>
      <c r="BA121" s="1113">
        <v>0.5</v>
      </c>
      <c r="BB121" s="1114">
        <v>1E-3</v>
      </c>
      <c r="BC121" s="1115">
        <v>9</v>
      </c>
      <c r="BD121" s="1115">
        <v>5</v>
      </c>
      <c r="BE121" s="1116">
        <v>5</v>
      </c>
      <c r="BF121" s="1115"/>
      <c r="BG121" s="1115"/>
      <c r="BH121" s="1115"/>
      <c r="BI121" s="1115"/>
      <c r="BJ121" s="1115"/>
      <c r="BK121" s="1115">
        <v>2</v>
      </c>
      <c r="BL121" s="1115"/>
      <c r="BM121" s="1115"/>
      <c r="BN121" s="1115"/>
      <c r="BO121" s="1115">
        <v>1</v>
      </c>
      <c r="BP121" s="1115">
        <v>1</v>
      </c>
      <c r="BQ121" s="1115"/>
      <c r="BR121" s="1115">
        <v>1</v>
      </c>
      <c r="BS121" s="1115"/>
      <c r="BT121" s="1115"/>
      <c r="BU121" s="1115"/>
      <c r="BV121" s="1115"/>
      <c r="BW121" s="1115"/>
      <c r="BX121" s="1115"/>
      <c r="BY121" s="1115"/>
      <c r="BZ121" s="1115"/>
      <c r="CA121" s="1117">
        <f t="shared" si="16"/>
        <v>5</v>
      </c>
      <c r="CB121" s="1117">
        <f t="shared" si="12"/>
        <v>5</v>
      </c>
      <c r="CC121" s="1117">
        <f t="shared" si="13"/>
        <v>0</v>
      </c>
      <c r="CD121" s="1113">
        <v>0.9</v>
      </c>
      <c r="CE121" s="1109" t="s">
        <v>504</v>
      </c>
      <c r="CF121" s="1109" t="s">
        <v>504</v>
      </c>
      <c r="CG121" s="1109">
        <v>100</v>
      </c>
      <c r="CH121" s="1113">
        <v>11.180999999999999</v>
      </c>
      <c r="CI121" s="1118" t="s">
        <v>3116</v>
      </c>
      <c r="CJ121" s="1109" t="s">
        <v>504</v>
      </c>
      <c r="CK121" s="1109" t="s">
        <v>504</v>
      </c>
      <c r="CL121" s="1109" t="s">
        <v>504</v>
      </c>
      <c r="CM121" s="1115"/>
      <c r="CN121" s="1115"/>
      <c r="CO121" s="1115"/>
      <c r="CP121" s="1109" t="s">
        <v>500</v>
      </c>
      <c r="CQ121" s="1109" t="s">
        <v>2154</v>
      </c>
      <c r="CR121" s="1115">
        <v>119</v>
      </c>
      <c r="CS121" s="1109" t="s">
        <v>500</v>
      </c>
      <c r="CT121" s="1109" t="s">
        <v>3117</v>
      </c>
      <c r="CU121" s="1115">
        <v>153</v>
      </c>
      <c r="CV121" s="1115" t="s">
        <v>504</v>
      </c>
      <c r="CW121" s="1115" t="s">
        <v>504</v>
      </c>
      <c r="CX121" s="1115" t="s">
        <v>504</v>
      </c>
      <c r="CY121" s="1115" t="s">
        <v>504</v>
      </c>
      <c r="CZ121" s="1115"/>
      <c r="DA121" s="1115"/>
      <c r="DB121" s="1109" t="s">
        <v>504</v>
      </c>
      <c r="DC121" s="1109"/>
      <c r="DD121" s="1115"/>
      <c r="DE121" s="1109" t="s">
        <v>504</v>
      </c>
      <c r="DF121" s="1109"/>
      <c r="DG121" s="1115"/>
      <c r="DH121" s="1109" t="s">
        <v>504</v>
      </c>
      <c r="DI121" s="1109"/>
      <c r="DJ121" s="1115"/>
      <c r="DK121" s="1109"/>
      <c r="DL121" s="1109"/>
      <c r="DM121" s="1115"/>
      <c r="DN121" s="1109" t="s">
        <v>504</v>
      </c>
      <c r="DO121" s="1109"/>
      <c r="DP121" s="1115"/>
      <c r="DQ121" s="1109" t="s">
        <v>500</v>
      </c>
      <c r="DR121" s="1109" t="s">
        <v>2724</v>
      </c>
      <c r="DS121" s="1115">
        <v>153</v>
      </c>
      <c r="DT121" s="1115" t="s">
        <v>504</v>
      </c>
      <c r="DU121" s="1115"/>
      <c r="DV121" s="1115"/>
      <c r="DW121" s="1109" t="s">
        <v>504</v>
      </c>
      <c r="DX121" s="1109"/>
      <c r="DY121" s="1115"/>
      <c r="DZ121" s="1109" t="s">
        <v>504</v>
      </c>
      <c r="EA121" s="1109"/>
      <c r="EB121" s="1115"/>
      <c r="EC121" s="1109" t="s">
        <v>504</v>
      </c>
      <c r="ED121" s="1109"/>
      <c r="EE121" s="1115"/>
      <c r="EF121" s="1115" t="s">
        <v>504</v>
      </c>
      <c r="EG121" s="1115"/>
      <c r="EH121" s="1115"/>
      <c r="EI121" s="1109"/>
      <c r="EJ121" s="1109"/>
      <c r="EK121" s="1115"/>
      <c r="EL121" s="1115"/>
      <c r="EM121" s="1115"/>
      <c r="EN121" s="1115"/>
      <c r="EO121" s="1109" t="s">
        <v>504</v>
      </c>
      <c r="EP121" s="1109"/>
      <c r="EQ121" s="1111" t="s">
        <v>3118</v>
      </c>
      <c r="ER121" s="1109"/>
      <c r="ES121" s="1111" t="s">
        <v>3119</v>
      </c>
      <c r="ET121" s="1109" t="s">
        <v>3120</v>
      </c>
      <c r="EU121" s="1111" t="s">
        <v>3121</v>
      </c>
      <c r="EV121" s="1109" t="s">
        <v>3122</v>
      </c>
      <c r="EW121" s="1109">
        <v>4</v>
      </c>
      <c r="EX121" s="1109">
        <v>96</v>
      </c>
    </row>
    <row r="122" spans="3:154" customFormat="1" ht="60.95" customHeight="1" x14ac:dyDescent="0.25">
      <c r="C122" s="1156" t="s">
        <v>693</v>
      </c>
      <c r="D122" s="1156" t="s">
        <v>5278</v>
      </c>
      <c r="E122" s="1104" t="s">
        <v>336</v>
      </c>
      <c r="F122" s="1104" t="s">
        <v>421</v>
      </c>
      <c r="G122" s="1109" t="s">
        <v>3123</v>
      </c>
      <c r="H122" s="1109" t="s">
        <v>3082</v>
      </c>
      <c r="I122" s="1109" t="s">
        <v>3082</v>
      </c>
      <c r="J122" s="1110">
        <v>2017</v>
      </c>
      <c r="K122" s="1105">
        <v>43948</v>
      </c>
      <c r="L122" s="1105">
        <v>43980</v>
      </c>
      <c r="M122" s="1369">
        <f t="shared" si="14"/>
        <v>32</v>
      </c>
      <c r="N122" s="1105"/>
      <c r="O122" s="1105"/>
      <c r="P122" s="1105"/>
      <c r="Q122" s="1105"/>
      <c r="R122" s="1105"/>
      <c r="S122" s="1105"/>
      <c r="T122" s="1105"/>
      <c r="U122" s="1105"/>
      <c r="V122" s="1105"/>
      <c r="W122" s="1105"/>
      <c r="X122" s="1105"/>
      <c r="Y122" s="1109" t="s">
        <v>3124</v>
      </c>
      <c r="Z122" s="1111" t="s">
        <v>3125</v>
      </c>
      <c r="AA122" s="1109" t="s">
        <v>3126</v>
      </c>
      <c r="AB122" s="1109" t="s">
        <v>3126</v>
      </c>
      <c r="AC122" s="1109" t="s">
        <v>767</v>
      </c>
      <c r="AD122" s="1109" t="s">
        <v>3127</v>
      </c>
      <c r="AE122" s="1112">
        <v>0.48799999999999999</v>
      </c>
      <c r="AF122" s="1113">
        <f t="shared" si="10"/>
        <v>0.48800000000000004</v>
      </c>
      <c r="AG122" s="1113">
        <f t="shared" si="11"/>
        <v>0</v>
      </c>
      <c r="AH122" s="1112"/>
      <c r="AI122" s="1113"/>
      <c r="AJ122" s="1113"/>
      <c r="AK122" s="1112">
        <v>0.45100000000000001</v>
      </c>
      <c r="AL122" s="1114">
        <f>AK122/AE122</f>
        <v>0.92418032786885251</v>
      </c>
      <c r="AM122" s="1114">
        <f>AK122/64.135</f>
        <v>7.0320417868558506E-3</v>
      </c>
      <c r="AN122" s="1112">
        <v>2.3E-2</v>
      </c>
      <c r="AO122" s="1114">
        <f>AN122/AE122</f>
        <v>4.7131147540983603E-2</v>
      </c>
      <c r="AP122" s="1112">
        <v>1.4E-2</v>
      </c>
      <c r="AQ122" s="1114">
        <f>AP122/AE122</f>
        <v>2.8688524590163935E-2</v>
      </c>
      <c r="AR122" s="1112"/>
      <c r="AS122" s="1114"/>
      <c r="AT122" s="1114"/>
      <c r="AU122" s="1114"/>
      <c r="AV122" s="1114"/>
      <c r="AW122" s="1114" t="s">
        <v>504</v>
      </c>
      <c r="AX122" s="1114"/>
      <c r="AY122" s="1114"/>
      <c r="AZ122" s="1114"/>
      <c r="BA122" s="1113">
        <v>0.6</v>
      </c>
      <c r="BB122" s="1114">
        <f>BA122/577.097</f>
        <v>1.0396865691556186E-3</v>
      </c>
      <c r="BC122" s="1115">
        <v>2</v>
      </c>
      <c r="BD122" s="1115">
        <v>2</v>
      </c>
      <c r="BE122" s="1116">
        <v>2</v>
      </c>
      <c r="BF122" s="1115">
        <v>1</v>
      </c>
      <c r="BG122" s="1115"/>
      <c r="BH122" s="1115"/>
      <c r="BI122" s="1115"/>
      <c r="BJ122" s="1115"/>
      <c r="BK122" s="1115">
        <v>1</v>
      </c>
      <c r="BL122" s="1115"/>
      <c r="BM122" s="1115"/>
      <c r="BN122" s="1115"/>
      <c r="BO122" s="1115"/>
      <c r="BP122" s="1115"/>
      <c r="BQ122" s="1115"/>
      <c r="BR122" s="1115"/>
      <c r="BS122" s="1115"/>
      <c r="BT122" s="1115"/>
      <c r="BU122" s="1115"/>
      <c r="BV122" s="1115"/>
      <c r="BW122" s="1115"/>
      <c r="BX122" s="1115"/>
      <c r="BY122" s="1115"/>
      <c r="BZ122" s="1115"/>
      <c r="CA122" s="1117">
        <f t="shared" si="16"/>
        <v>2</v>
      </c>
      <c r="CB122" s="1117">
        <f t="shared" si="12"/>
        <v>2</v>
      </c>
      <c r="CC122" s="1117">
        <f t="shared" si="13"/>
        <v>0</v>
      </c>
      <c r="CD122" s="1113">
        <v>4.4130000000000003</v>
      </c>
      <c r="CE122" s="1109" t="s">
        <v>504</v>
      </c>
      <c r="CF122" s="1109"/>
      <c r="CG122" s="1109">
        <v>67.2</v>
      </c>
      <c r="CH122" s="1113">
        <v>6.5659999999999998</v>
      </c>
      <c r="CI122" s="1114"/>
      <c r="CJ122" s="1109" t="s">
        <v>504</v>
      </c>
      <c r="CK122" s="1109"/>
      <c r="CL122" s="1109"/>
      <c r="CM122" s="1115"/>
      <c r="CN122" s="1115"/>
      <c r="CO122" s="1115"/>
      <c r="CP122" s="1109" t="s">
        <v>504</v>
      </c>
      <c r="CQ122" s="1109"/>
      <c r="CR122" s="1115"/>
      <c r="CS122" s="1109" t="s">
        <v>500</v>
      </c>
      <c r="CT122" s="1109" t="s">
        <v>1052</v>
      </c>
      <c r="CU122" s="1115">
        <v>320</v>
      </c>
      <c r="CV122" s="1115" t="s">
        <v>504</v>
      </c>
      <c r="CW122" s="1115"/>
      <c r="CX122" s="1115"/>
      <c r="CY122" s="1115" t="s">
        <v>504</v>
      </c>
      <c r="CZ122" s="1115"/>
      <c r="DA122" s="1115"/>
      <c r="DB122" s="1109" t="s">
        <v>504</v>
      </c>
      <c r="DC122" s="1109"/>
      <c r="DD122" s="1115"/>
      <c r="DE122" s="1109" t="s">
        <v>504</v>
      </c>
      <c r="DF122" s="1109"/>
      <c r="DG122" s="1115"/>
      <c r="DH122" s="1109" t="s">
        <v>504</v>
      </c>
      <c r="DI122" s="1109"/>
      <c r="DJ122" s="1115"/>
      <c r="DK122" s="1109" t="s">
        <v>500</v>
      </c>
      <c r="DL122" s="1109" t="s">
        <v>1052</v>
      </c>
      <c r="DM122" s="1115">
        <v>320</v>
      </c>
      <c r="DN122" s="1109" t="s">
        <v>504</v>
      </c>
      <c r="DO122" s="1109"/>
      <c r="DP122" s="1115"/>
      <c r="DQ122" s="1109" t="s">
        <v>500</v>
      </c>
      <c r="DR122" s="1109" t="s">
        <v>1052</v>
      </c>
      <c r="DS122" s="1115">
        <v>320</v>
      </c>
      <c r="DT122" s="1115" t="s">
        <v>504</v>
      </c>
      <c r="DU122" s="1115"/>
      <c r="DV122" s="1115"/>
      <c r="DW122" s="1109" t="s">
        <v>504</v>
      </c>
      <c r="DX122" s="1109"/>
      <c r="DY122" s="1115"/>
      <c r="DZ122" s="1109" t="s">
        <v>504</v>
      </c>
      <c r="EA122" s="1109"/>
      <c r="EB122" s="1115"/>
      <c r="EC122" s="1109" t="s">
        <v>504</v>
      </c>
      <c r="ED122" s="1109"/>
      <c r="EE122" s="1115"/>
      <c r="EF122" s="1115" t="s">
        <v>500</v>
      </c>
      <c r="EG122" s="1115" t="s">
        <v>1052</v>
      </c>
      <c r="EH122" s="1115">
        <v>5</v>
      </c>
      <c r="EI122" s="1109" t="s">
        <v>504</v>
      </c>
      <c r="EJ122" s="1109"/>
      <c r="EK122" s="1115"/>
      <c r="EL122" s="1115"/>
      <c r="EM122" s="1115"/>
      <c r="EN122" s="1115"/>
      <c r="EO122" s="1109" t="s">
        <v>504</v>
      </c>
      <c r="EP122" s="1109"/>
      <c r="EQ122" s="1111" t="s">
        <v>3128</v>
      </c>
      <c r="ER122" s="1109"/>
      <c r="ES122" s="1109"/>
      <c r="ET122" s="1109"/>
      <c r="EU122" s="1109"/>
      <c r="EV122" s="1109" t="s">
        <v>504</v>
      </c>
      <c r="EW122" s="1109"/>
      <c r="EX122" s="1109"/>
    </row>
    <row r="123" spans="3:154" ht="60.95" customHeight="1" x14ac:dyDescent="0.2">
      <c r="C123" s="1156" t="s">
        <v>693</v>
      </c>
      <c r="D123" s="1156" t="s">
        <v>5278</v>
      </c>
      <c r="E123" s="1104" t="s">
        <v>336</v>
      </c>
      <c r="F123" s="1104" t="s">
        <v>421</v>
      </c>
      <c r="G123" s="1104" t="s">
        <v>3129</v>
      </c>
      <c r="H123" s="1104" t="s">
        <v>1316</v>
      </c>
      <c r="I123" s="1104" t="s">
        <v>1316</v>
      </c>
      <c r="J123" s="1104" t="s">
        <v>3130</v>
      </c>
      <c r="K123" s="1123">
        <v>43839</v>
      </c>
      <c r="L123" s="1123">
        <v>44196</v>
      </c>
      <c r="M123" s="1369">
        <f t="shared" si="14"/>
        <v>357</v>
      </c>
      <c r="N123" s="1104"/>
      <c r="O123" s="1104"/>
      <c r="P123" s="1104"/>
      <c r="Q123" s="1104"/>
      <c r="R123" s="1104"/>
      <c r="S123" s="1104"/>
      <c r="T123" s="1104"/>
      <c r="U123" s="1104"/>
      <c r="V123" s="1104"/>
      <c r="W123" s="1104"/>
      <c r="X123" s="1104"/>
      <c r="Y123" s="1104" t="s">
        <v>3132</v>
      </c>
      <c r="Z123" s="1109"/>
      <c r="AA123" s="1104" t="s">
        <v>3133</v>
      </c>
      <c r="AB123" s="1104" t="s">
        <v>3134</v>
      </c>
      <c r="AC123" s="1104" t="s">
        <v>3135</v>
      </c>
      <c r="AD123" s="1104" t="s">
        <v>3136</v>
      </c>
      <c r="AE123" s="1112">
        <v>0.23</v>
      </c>
      <c r="AF123" s="1113">
        <f t="shared" si="10"/>
        <v>0.23039999999999999</v>
      </c>
      <c r="AG123" s="1113">
        <f t="shared" si="11"/>
        <v>3.999999999999837E-4</v>
      </c>
      <c r="AH123" s="1112"/>
      <c r="AI123" s="1113"/>
      <c r="AJ123" s="1113"/>
      <c r="AK123" s="1112">
        <v>0.17</v>
      </c>
      <c r="AL123" s="1114">
        <v>0.74</v>
      </c>
      <c r="AM123" s="1114">
        <v>1.7999999999999999E-2</v>
      </c>
      <c r="AN123" s="1112">
        <v>1.4999999999999999E-2</v>
      </c>
      <c r="AO123" s="1114">
        <v>6.5000000000000002E-2</v>
      </c>
      <c r="AP123" s="1112">
        <v>4.5400000000000003E-2</v>
      </c>
      <c r="AQ123" s="1114">
        <v>0.19600000000000001</v>
      </c>
      <c r="AR123" s="1112"/>
      <c r="AS123" s="1114"/>
      <c r="AT123" s="1114"/>
      <c r="AU123" s="1114"/>
      <c r="AV123" s="1114"/>
      <c r="AW123" s="1114" t="s">
        <v>504</v>
      </c>
      <c r="AX123" s="1114"/>
      <c r="AY123" s="1114"/>
      <c r="AZ123" s="1114"/>
      <c r="BA123" s="1113">
        <v>0.05</v>
      </c>
      <c r="BB123" s="1114">
        <v>5.04E-2</v>
      </c>
      <c r="BC123" s="1115">
        <v>4</v>
      </c>
      <c r="BD123" s="1115">
        <v>2</v>
      </c>
      <c r="BE123" s="1116">
        <v>2</v>
      </c>
      <c r="BF123" s="1115"/>
      <c r="BG123" s="1115"/>
      <c r="BH123" s="1115"/>
      <c r="BI123" s="1115"/>
      <c r="BJ123" s="1115"/>
      <c r="BK123" s="1115"/>
      <c r="BL123" s="1115"/>
      <c r="BM123" s="1115"/>
      <c r="BN123" s="1115"/>
      <c r="BO123" s="1115"/>
      <c r="BP123" s="1115">
        <v>1</v>
      </c>
      <c r="BQ123" s="1115"/>
      <c r="BR123" s="1115"/>
      <c r="BS123" s="1115"/>
      <c r="BT123" s="1115"/>
      <c r="BU123" s="1115"/>
      <c r="BV123" s="1115"/>
      <c r="BW123" s="1115"/>
      <c r="BX123" s="1115"/>
      <c r="BY123" s="1115"/>
      <c r="BZ123" s="1115">
        <v>1</v>
      </c>
      <c r="CA123" s="1117">
        <f t="shared" si="16"/>
        <v>2</v>
      </c>
      <c r="CB123" s="1117">
        <f t="shared" si="12"/>
        <v>2</v>
      </c>
      <c r="CC123" s="1117">
        <f t="shared" si="13"/>
        <v>0</v>
      </c>
      <c r="CD123" s="1113">
        <v>0.11</v>
      </c>
      <c r="CE123" s="1109"/>
      <c r="CF123" s="1109"/>
      <c r="CG123" s="1109">
        <v>73</v>
      </c>
      <c r="CH123" s="1113">
        <v>1.5</v>
      </c>
      <c r="CI123" s="1114" t="s">
        <v>3137</v>
      </c>
      <c r="CJ123" s="1109" t="s">
        <v>504</v>
      </c>
      <c r="CK123" s="1109"/>
      <c r="CL123" s="1109"/>
      <c r="CM123" s="1115"/>
      <c r="CN123" s="1115"/>
      <c r="CO123" s="1115"/>
      <c r="CP123" s="1109" t="s">
        <v>504</v>
      </c>
      <c r="CQ123" s="1109"/>
      <c r="CR123" s="1115"/>
      <c r="CS123" s="1109" t="s">
        <v>500</v>
      </c>
      <c r="CT123" s="1109"/>
      <c r="CU123" s="1115">
        <v>73</v>
      </c>
      <c r="CV123" s="1115" t="s">
        <v>504</v>
      </c>
      <c r="CW123" s="1115"/>
      <c r="CX123" s="1115"/>
      <c r="CY123" s="1115" t="s">
        <v>504</v>
      </c>
      <c r="CZ123" s="1115"/>
      <c r="DA123" s="1115"/>
      <c r="DB123" s="1109" t="s">
        <v>504</v>
      </c>
      <c r="DC123" s="1109"/>
      <c r="DD123" s="1115"/>
      <c r="DE123" s="1109" t="s">
        <v>504</v>
      </c>
      <c r="DF123" s="1109"/>
      <c r="DG123" s="1115"/>
      <c r="DH123" s="1109" t="s">
        <v>504</v>
      </c>
      <c r="DI123" s="1109"/>
      <c r="DJ123" s="1115"/>
      <c r="DK123" s="1109" t="s">
        <v>504</v>
      </c>
      <c r="DL123" s="1109"/>
      <c r="DM123" s="1115"/>
      <c r="DN123" s="1109" t="s">
        <v>504</v>
      </c>
      <c r="DO123" s="1109"/>
      <c r="DP123" s="1115"/>
      <c r="DQ123" s="1109" t="s">
        <v>500</v>
      </c>
      <c r="DR123" s="1104" t="s">
        <v>3138</v>
      </c>
      <c r="DS123" s="1115">
        <v>73</v>
      </c>
      <c r="DT123" s="1115" t="s">
        <v>504</v>
      </c>
      <c r="DU123" s="1115"/>
      <c r="DV123" s="1115"/>
      <c r="DW123" s="1109" t="s">
        <v>504</v>
      </c>
      <c r="DX123" s="1109"/>
      <c r="DY123" s="1115"/>
      <c r="DZ123" s="1109" t="s">
        <v>504</v>
      </c>
      <c r="EA123" s="1109"/>
      <c r="EB123" s="1115"/>
      <c r="EC123" s="1109" t="s">
        <v>504</v>
      </c>
      <c r="ED123" s="1109"/>
      <c r="EE123" s="1115"/>
      <c r="EF123" s="1115" t="s">
        <v>504</v>
      </c>
      <c r="EG123" s="1115"/>
      <c r="EH123" s="1115"/>
      <c r="EI123" s="1109" t="s">
        <v>504</v>
      </c>
      <c r="EJ123" s="1109"/>
      <c r="EK123" s="1115"/>
      <c r="EL123" s="1115"/>
      <c r="EM123" s="1115"/>
      <c r="EN123" s="1115"/>
      <c r="EO123" s="1109" t="s">
        <v>504</v>
      </c>
      <c r="EP123" s="1109"/>
      <c r="EQ123" s="1109"/>
      <c r="ER123" s="1109"/>
      <c r="ES123" s="1109"/>
      <c r="ET123" s="1109"/>
      <c r="EU123" s="1109"/>
      <c r="EV123" s="1104" t="s">
        <v>3139</v>
      </c>
      <c r="EW123" s="1109">
        <v>4</v>
      </c>
      <c r="EX123" s="1109">
        <v>60</v>
      </c>
    </row>
    <row r="124" spans="3:154" ht="60.95" customHeight="1" x14ac:dyDescent="0.2">
      <c r="C124" s="1156" t="s">
        <v>693</v>
      </c>
      <c r="D124" s="1156" t="s">
        <v>5278</v>
      </c>
      <c r="E124" s="1104" t="s">
        <v>336</v>
      </c>
      <c r="F124" s="1104" t="s">
        <v>421</v>
      </c>
      <c r="G124" s="1109" t="s">
        <v>3140</v>
      </c>
      <c r="H124" s="1109" t="s">
        <v>694</v>
      </c>
      <c r="I124" s="1109" t="s">
        <v>694</v>
      </c>
      <c r="J124" s="1110">
        <v>2019</v>
      </c>
      <c r="K124" s="1105">
        <v>43903</v>
      </c>
      <c r="L124" s="1105">
        <v>44196</v>
      </c>
      <c r="M124" s="1369">
        <f t="shared" si="14"/>
        <v>293</v>
      </c>
      <c r="N124" s="1105"/>
      <c r="O124" s="1105"/>
      <c r="P124" s="1105"/>
      <c r="Q124" s="1105"/>
      <c r="R124" s="1105"/>
      <c r="S124" s="1105"/>
      <c r="T124" s="1105"/>
      <c r="U124" s="1105"/>
      <c r="V124" s="1105"/>
      <c r="W124" s="1105"/>
      <c r="X124" s="1105"/>
      <c r="Y124" s="1109" t="s">
        <v>3142</v>
      </c>
      <c r="Z124" s="1119" t="s">
        <v>3143</v>
      </c>
      <c r="AA124" s="1109" t="s">
        <v>3144</v>
      </c>
      <c r="AB124" s="1109" t="s">
        <v>3144</v>
      </c>
      <c r="AC124" s="1109" t="s">
        <v>2135</v>
      </c>
      <c r="AD124" s="1109" t="s">
        <v>3145</v>
      </c>
      <c r="AE124" s="1112">
        <v>0.39900000000000002</v>
      </c>
      <c r="AF124" s="1113">
        <f t="shared" si="10"/>
        <v>0.39940000000000003</v>
      </c>
      <c r="AG124" s="1113">
        <f t="shared" si="11"/>
        <v>4.0000000000001146E-4</v>
      </c>
      <c r="AH124" s="1112"/>
      <c r="AI124" s="1113"/>
      <c r="AJ124" s="1113"/>
      <c r="AK124" s="1112">
        <v>0.36199999999999999</v>
      </c>
      <c r="AL124" s="1114">
        <v>0.89800000000000002</v>
      </c>
      <c r="AM124" s="1114">
        <v>4.0000000000000002E-4</v>
      </c>
      <c r="AN124" s="1112">
        <v>0.03</v>
      </c>
      <c r="AO124" s="1114">
        <v>7.3999999999999996E-2</v>
      </c>
      <c r="AP124" s="1112">
        <v>7.4000000000000003E-3</v>
      </c>
      <c r="AQ124" s="1114">
        <v>1.7000000000000001E-2</v>
      </c>
      <c r="AR124" s="1112"/>
      <c r="AS124" s="1114"/>
      <c r="AT124" s="1114"/>
      <c r="AU124" s="1114"/>
      <c r="AV124" s="1114"/>
      <c r="AW124" s="1114" t="s">
        <v>500</v>
      </c>
      <c r="AX124" s="1114" t="s">
        <v>3146</v>
      </c>
      <c r="AY124" s="1114"/>
      <c r="AZ124" s="1114"/>
      <c r="BA124" s="1113">
        <v>0.2</v>
      </c>
      <c r="BB124" s="1114">
        <v>2.4000000000000001E-4</v>
      </c>
      <c r="BC124" s="1115">
        <v>4</v>
      </c>
      <c r="BD124" s="1115">
        <v>4</v>
      </c>
      <c r="BE124" s="1116">
        <v>4</v>
      </c>
      <c r="BF124" s="1115"/>
      <c r="BG124" s="1115"/>
      <c r="BH124" s="1115"/>
      <c r="BI124" s="1115"/>
      <c r="BJ124" s="1115"/>
      <c r="BK124" s="1115">
        <v>2</v>
      </c>
      <c r="BL124" s="1115"/>
      <c r="BM124" s="1115"/>
      <c r="BN124" s="1115"/>
      <c r="BO124" s="1115"/>
      <c r="BP124" s="1115">
        <v>1</v>
      </c>
      <c r="BQ124" s="1115">
        <v>1</v>
      </c>
      <c r="BR124" s="1115"/>
      <c r="BS124" s="1115"/>
      <c r="BT124" s="1115"/>
      <c r="BU124" s="1115"/>
      <c r="BV124" s="1115"/>
      <c r="BW124" s="1115"/>
      <c r="BX124" s="1115"/>
      <c r="BY124" s="1115"/>
      <c r="BZ124" s="1115"/>
      <c r="CA124" s="1117">
        <f t="shared" si="16"/>
        <v>4</v>
      </c>
      <c r="CB124" s="1117">
        <f t="shared" si="12"/>
        <v>4</v>
      </c>
      <c r="CC124" s="1117">
        <f t="shared" si="13"/>
        <v>0</v>
      </c>
      <c r="CD124" s="1113">
        <v>2.464</v>
      </c>
      <c r="CE124" s="1109" t="s">
        <v>3147</v>
      </c>
      <c r="CF124" s="1119" t="s">
        <v>3143</v>
      </c>
      <c r="CG124" s="1109">
        <v>100</v>
      </c>
      <c r="CH124" s="1113">
        <v>2.464</v>
      </c>
      <c r="CI124" s="1124"/>
      <c r="CJ124" s="1109" t="s">
        <v>504</v>
      </c>
      <c r="CK124" s="1109"/>
      <c r="CL124" s="1109"/>
      <c r="CM124" s="1115"/>
      <c r="CN124" s="1115"/>
      <c r="CO124" s="1115">
        <v>3</v>
      </c>
      <c r="CP124" s="1109" t="s">
        <v>504</v>
      </c>
      <c r="CQ124" s="1109"/>
      <c r="CR124" s="1115"/>
      <c r="CS124" s="1109" t="s">
        <v>500</v>
      </c>
      <c r="CT124" s="1109" t="s">
        <v>2724</v>
      </c>
      <c r="CU124" s="1115">
        <v>228</v>
      </c>
      <c r="CV124" s="1115" t="s">
        <v>504</v>
      </c>
      <c r="CW124" s="1115"/>
      <c r="CX124" s="1115"/>
      <c r="CY124" s="1115" t="s">
        <v>504</v>
      </c>
      <c r="CZ124" s="1115"/>
      <c r="DA124" s="1115"/>
      <c r="DB124" s="1109" t="s">
        <v>504</v>
      </c>
      <c r="DC124" s="1109"/>
      <c r="DD124" s="1115"/>
      <c r="DE124" s="1109" t="s">
        <v>504</v>
      </c>
      <c r="DF124" s="1109"/>
      <c r="DG124" s="1115"/>
      <c r="DH124" s="1109" t="s">
        <v>504</v>
      </c>
      <c r="DI124" s="1109"/>
      <c r="DJ124" s="1115"/>
      <c r="DK124" s="1109" t="s">
        <v>504</v>
      </c>
      <c r="DL124" s="1109"/>
      <c r="DM124" s="1115"/>
      <c r="DN124" s="1109" t="s">
        <v>504</v>
      </c>
      <c r="DO124" s="1109"/>
      <c r="DP124" s="1115"/>
      <c r="DQ124" s="1109" t="s">
        <v>500</v>
      </c>
      <c r="DR124" s="1109"/>
      <c r="DS124" s="1115"/>
      <c r="DT124" s="1115" t="s">
        <v>504</v>
      </c>
      <c r="DU124" s="1115"/>
      <c r="DV124" s="1115"/>
      <c r="DW124" s="1109" t="s">
        <v>504</v>
      </c>
      <c r="DX124" s="1109"/>
      <c r="DY124" s="1115"/>
      <c r="DZ124" s="1109" t="s">
        <v>504</v>
      </c>
      <c r="EA124" s="1109"/>
      <c r="EB124" s="1115"/>
      <c r="EC124" s="1109" t="s">
        <v>500</v>
      </c>
      <c r="ED124" s="1119" t="s">
        <v>3148</v>
      </c>
      <c r="EE124" s="1115">
        <v>8</v>
      </c>
      <c r="EF124" s="1115" t="s">
        <v>504</v>
      </c>
      <c r="EG124" s="1115"/>
      <c r="EH124" s="1115"/>
      <c r="EI124" s="1109" t="s">
        <v>504</v>
      </c>
      <c r="EJ124" s="1109"/>
      <c r="EK124" s="1115"/>
      <c r="EL124" s="1115"/>
      <c r="EM124" s="1115"/>
      <c r="EN124" s="1115"/>
      <c r="EO124" s="1109" t="s">
        <v>504</v>
      </c>
      <c r="EP124" s="1109"/>
      <c r="EQ124" s="1119" t="s">
        <v>3149</v>
      </c>
      <c r="ER124" s="1119" t="s">
        <v>3150</v>
      </c>
      <c r="ES124" s="1119" t="s">
        <v>3151</v>
      </c>
      <c r="ET124" s="1109" t="s">
        <v>3152</v>
      </c>
      <c r="EU124" s="1109"/>
      <c r="EV124" s="1109" t="s">
        <v>3153</v>
      </c>
      <c r="EW124" s="1109"/>
      <c r="EX124" s="1109"/>
    </row>
    <row r="125" spans="3:154" ht="60.95" customHeight="1" x14ac:dyDescent="0.2">
      <c r="C125" s="1156" t="s">
        <v>693</v>
      </c>
      <c r="D125" s="1156" t="s">
        <v>5278</v>
      </c>
      <c r="E125" s="1104" t="s">
        <v>336</v>
      </c>
      <c r="F125" s="1104" t="s">
        <v>421</v>
      </c>
      <c r="G125" s="1109" t="s">
        <v>3154</v>
      </c>
      <c r="H125" s="1109" t="s">
        <v>3155</v>
      </c>
      <c r="I125" s="1109" t="s">
        <v>3156</v>
      </c>
      <c r="J125" s="1110" t="s">
        <v>3157</v>
      </c>
      <c r="K125" s="1105">
        <v>43958</v>
      </c>
      <c r="L125" s="1105">
        <v>44125</v>
      </c>
      <c r="M125" s="1369">
        <f t="shared" si="14"/>
        <v>167</v>
      </c>
      <c r="N125" s="1105"/>
      <c r="O125" s="1105"/>
      <c r="P125" s="1105"/>
      <c r="Q125" s="1105"/>
      <c r="R125" s="1105"/>
      <c r="S125" s="1105"/>
      <c r="T125" s="1105"/>
      <c r="U125" s="1105"/>
      <c r="V125" s="1105"/>
      <c r="W125" s="1105"/>
      <c r="X125" s="1105"/>
      <c r="Y125" s="1109" t="s">
        <v>3158</v>
      </c>
      <c r="Z125" s="1119" t="s">
        <v>3159</v>
      </c>
      <c r="AA125" s="1109" t="s">
        <v>3160</v>
      </c>
      <c r="AB125" s="1109" t="s">
        <v>3160</v>
      </c>
      <c r="AC125" s="1109" t="s">
        <v>767</v>
      </c>
      <c r="AD125" s="1157" t="s">
        <v>3161</v>
      </c>
      <c r="AE125" s="1112">
        <v>1.7350000000000001</v>
      </c>
      <c r="AF125" s="1113">
        <f>AH125+AK125+AN125+AP125+AR125</f>
        <v>1.7350000000000001</v>
      </c>
      <c r="AG125" s="1113">
        <f t="shared" si="11"/>
        <v>0</v>
      </c>
      <c r="AH125" s="1112"/>
      <c r="AI125" s="1113"/>
      <c r="AJ125" s="1113"/>
      <c r="AK125" s="1112">
        <v>1.641</v>
      </c>
      <c r="AL125" s="1114">
        <v>0.75</v>
      </c>
      <c r="AM125" s="1114">
        <v>5.0000000000000001E-4</v>
      </c>
      <c r="AN125" s="1112">
        <v>9.4E-2</v>
      </c>
      <c r="AO125" s="1114">
        <v>4.3200000000000002E-2</v>
      </c>
      <c r="AP125" s="1112"/>
      <c r="AQ125" s="1114"/>
      <c r="AR125" s="1112"/>
      <c r="AS125" s="1114"/>
      <c r="AT125" s="1114"/>
      <c r="AU125" s="1114"/>
      <c r="AV125" s="1114"/>
      <c r="AW125" s="1114" t="s">
        <v>504</v>
      </c>
      <c r="AX125" s="1114"/>
      <c r="AY125" s="1114"/>
      <c r="AZ125" s="1114"/>
      <c r="BA125" s="1113">
        <v>2</v>
      </c>
      <c r="BB125" s="1114">
        <v>5.9999999999999995E-4</v>
      </c>
      <c r="BC125" s="1115">
        <v>3</v>
      </c>
      <c r="BD125" s="1115">
        <v>3</v>
      </c>
      <c r="BE125" s="1116">
        <v>1</v>
      </c>
      <c r="BF125" s="1115"/>
      <c r="BG125" s="1115"/>
      <c r="BH125" s="1115"/>
      <c r="BI125" s="1115"/>
      <c r="BJ125" s="1115"/>
      <c r="BK125" s="1115"/>
      <c r="BL125" s="1115"/>
      <c r="BM125" s="1115"/>
      <c r="BN125" s="1115"/>
      <c r="BO125" s="1115">
        <v>1</v>
      </c>
      <c r="BP125" s="1115"/>
      <c r="BQ125" s="1115"/>
      <c r="BR125" s="1115"/>
      <c r="BS125" s="1115"/>
      <c r="BT125" s="1115"/>
      <c r="BU125" s="1115"/>
      <c r="BV125" s="1115"/>
      <c r="BW125" s="1115"/>
      <c r="BX125" s="1115"/>
      <c r="BY125" s="1115"/>
      <c r="BZ125" s="1115"/>
      <c r="CA125" s="1117">
        <f t="shared" si="16"/>
        <v>1</v>
      </c>
      <c r="CB125" s="1117">
        <f t="shared" si="12"/>
        <v>1</v>
      </c>
      <c r="CC125" s="1117">
        <f t="shared" si="13"/>
        <v>0</v>
      </c>
      <c r="CD125" s="1113">
        <v>1.7370000000000001</v>
      </c>
      <c r="CE125" s="1109" t="s">
        <v>504</v>
      </c>
      <c r="CF125" s="1109"/>
      <c r="CG125" s="1109">
        <v>24.71</v>
      </c>
      <c r="CH125" s="1113">
        <v>7.0279999999999996</v>
      </c>
      <c r="CI125" s="1124" t="s">
        <v>3162</v>
      </c>
      <c r="CJ125" s="1109" t="s">
        <v>504</v>
      </c>
      <c r="CK125" s="1109"/>
      <c r="CL125" s="1109"/>
      <c r="CM125" s="1115"/>
      <c r="CN125" s="1115"/>
      <c r="CO125" s="1115"/>
      <c r="CP125" s="1109"/>
      <c r="CQ125" s="1109"/>
      <c r="CR125" s="1115"/>
      <c r="CS125" s="1109" t="s">
        <v>500</v>
      </c>
      <c r="CT125" s="1109" t="s">
        <v>3163</v>
      </c>
      <c r="CU125" s="1115">
        <v>7</v>
      </c>
      <c r="CV125" s="1115"/>
      <c r="CW125" s="1115"/>
      <c r="CX125" s="1115"/>
      <c r="CY125" s="1115"/>
      <c r="CZ125" s="1115"/>
      <c r="DA125" s="1115"/>
      <c r="DB125" s="1109"/>
      <c r="DC125" s="1109"/>
      <c r="DD125" s="1115"/>
      <c r="DE125" s="1109"/>
      <c r="DF125" s="1109"/>
      <c r="DG125" s="1115"/>
      <c r="DH125" s="1109"/>
      <c r="DI125" s="1109"/>
      <c r="DJ125" s="1115"/>
      <c r="DK125" s="1109"/>
      <c r="DL125" s="1109"/>
      <c r="DM125" s="1115"/>
      <c r="DN125" s="1109" t="s">
        <v>500</v>
      </c>
      <c r="DO125" s="1109"/>
      <c r="DP125" s="1115">
        <v>7487</v>
      </c>
      <c r="DQ125" s="1109"/>
      <c r="DR125" s="1109"/>
      <c r="DS125" s="1115"/>
      <c r="DT125" s="1115"/>
      <c r="DU125" s="1115"/>
      <c r="DV125" s="1115"/>
      <c r="DW125" s="1109"/>
      <c r="DX125" s="1109"/>
      <c r="DY125" s="1115"/>
      <c r="DZ125" s="1109"/>
      <c r="EA125" s="1109"/>
      <c r="EB125" s="1115"/>
      <c r="EC125" s="1109"/>
      <c r="ED125" s="1109"/>
      <c r="EE125" s="1115"/>
      <c r="EF125" s="1115"/>
      <c r="EG125" s="1115"/>
      <c r="EH125" s="1115"/>
      <c r="EI125" s="1109"/>
      <c r="EJ125" s="1109"/>
      <c r="EK125" s="1115"/>
      <c r="EL125" s="1115"/>
      <c r="EM125" s="1115"/>
      <c r="EN125" s="1115"/>
      <c r="EO125" s="1109" t="s">
        <v>500</v>
      </c>
      <c r="EP125" s="1109" t="s">
        <v>3164</v>
      </c>
      <c r="EQ125" s="1119" t="s">
        <v>3165</v>
      </c>
      <c r="ER125" s="1109"/>
      <c r="ES125" s="1119" t="s">
        <v>3166</v>
      </c>
      <c r="ET125" s="1109" t="s">
        <v>3167</v>
      </c>
      <c r="EU125" s="1137"/>
      <c r="EV125" s="1109" t="s">
        <v>3168</v>
      </c>
      <c r="EW125" s="1109">
        <v>2</v>
      </c>
      <c r="EX125" s="1109">
        <v>45</v>
      </c>
    </row>
    <row r="126" spans="3:154" ht="60.95" customHeight="1" x14ac:dyDescent="0.2">
      <c r="C126" s="1156" t="s">
        <v>693</v>
      </c>
      <c r="D126" s="1156" t="s">
        <v>5278</v>
      </c>
      <c r="E126" s="1104" t="s">
        <v>336</v>
      </c>
      <c r="F126" s="1104" t="s">
        <v>421</v>
      </c>
      <c r="G126" s="1109" t="s">
        <v>3169</v>
      </c>
      <c r="H126" s="1109" t="s">
        <v>1316</v>
      </c>
      <c r="I126" s="1109" t="s">
        <v>1316</v>
      </c>
      <c r="J126" s="1110">
        <v>2020</v>
      </c>
      <c r="K126" s="1105">
        <v>43747</v>
      </c>
      <c r="L126" s="1105">
        <v>43761</v>
      </c>
      <c r="M126" s="1369">
        <f t="shared" si="14"/>
        <v>14</v>
      </c>
      <c r="N126" s="1105"/>
      <c r="O126" s="1105"/>
      <c r="P126" s="1105"/>
      <c r="Q126" s="1105"/>
      <c r="R126" s="1105"/>
      <c r="S126" s="1105"/>
      <c r="T126" s="1105"/>
      <c r="U126" s="1105"/>
      <c r="V126" s="1105"/>
      <c r="W126" s="1105"/>
      <c r="X126" s="1105"/>
      <c r="Y126" s="1109" t="s">
        <v>3172</v>
      </c>
      <c r="Z126" s="1109" t="s">
        <v>3173</v>
      </c>
      <c r="AA126" s="1109" t="s">
        <v>3174</v>
      </c>
      <c r="AB126" s="1109" t="s">
        <v>3175</v>
      </c>
      <c r="AC126" s="1109" t="s">
        <v>2135</v>
      </c>
      <c r="AD126" s="1109" t="s">
        <v>3176</v>
      </c>
      <c r="AE126" s="1112">
        <v>0.16300000000000001</v>
      </c>
      <c r="AF126" s="1113">
        <f t="shared" si="10"/>
        <v>0.16300000000000001</v>
      </c>
      <c r="AG126" s="1113">
        <f t="shared" si="11"/>
        <v>0</v>
      </c>
      <c r="AH126" s="1112"/>
      <c r="AI126" s="1113"/>
      <c r="AJ126" s="1113"/>
      <c r="AK126" s="1112">
        <v>0.16300000000000001</v>
      </c>
      <c r="AL126" s="1114">
        <v>0.11899999999999999</v>
      </c>
      <c r="AM126" s="1112">
        <v>2.4E-2</v>
      </c>
      <c r="AN126" s="1112"/>
      <c r="AO126" s="1114"/>
      <c r="AP126" s="1112"/>
      <c r="AQ126" s="1114"/>
      <c r="AR126" s="1112"/>
      <c r="AS126" s="1114"/>
      <c r="AT126" s="1114"/>
      <c r="AU126" s="1114"/>
      <c r="AV126" s="1114"/>
      <c r="AW126" s="1114" t="s">
        <v>504</v>
      </c>
      <c r="AX126" s="1114"/>
      <c r="AY126" s="1114"/>
      <c r="AZ126" s="1114"/>
      <c r="BA126" s="1113">
        <v>1500</v>
      </c>
      <c r="BB126" s="1114">
        <v>2.1000000000000001E-2</v>
      </c>
      <c r="BC126" s="1115">
        <v>3</v>
      </c>
      <c r="BD126" s="1115">
        <v>3</v>
      </c>
      <c r="BE126" s="1116">
        <v>1</v>
      </c>
      <c r="BF126" s="1115">
        <v>1</v>
      </c>
      <c r="BG126" s="1115"/>
      <c r="BH126" s="1115"/>
      <c r="BI126" s="1115"/>
      <c r="BJ126" s="1115"/>
      <c r="BK126" s="1115"/>
      <c r="BL126" s="1115"/>
      <c r="BM126" s="1115"/>
      <c r="BN126" s="1115"/>
      <c r="BO126" s="1115"/>
      <c r="BP126" s="1115"/>
      <c r="BQ126" s="1115"/>
      <c r="BR126" s="1115"/>
      <c r="BS126" s="1115"/>
      <c r="BT126" s="1115"/>
      <c r="BU126" s="1115"/>
      <c r="BV126" s="1115"/>
      <c r="BW126" s="1115"/>
      <c r="BX126" s="1115"/>
      <c r="BY126" s="1115"/>
      <c r="BZ126" s="1115"/>
      <c r="CA126" s="1117">
        <f t="shared" si="16"/>
        <v>1</v>
      </c>
      <c r="CB126" s="1117">
        <f t="shared" si="12"/>
        <v>1</v>
      </c>
      <c r="CC126" s="1117">
        <f t="shared" si="13"/>
        <v>0</v>
      </c>
      <c r="CD126" s="1113">
        <v>0.22500000000000001</v>
      </c>
      <c r="CE126" s="1109" t="s">
        <v>3177</v>
      </c>
      <c r="CF126" s="1109"/>
      <c r="CG126" s="1109">
        <v>4.5</v>
      </c>
      <c r="CH126" s="1113">
        <v>3.048</v>
      </c>
      <c r="CI126" s="1114" t="s">
        <v>3178</v>
      </c>
      <c r="CJ126" s="1109" t="s">
        <v>504</v>
      </c>
      <c r="CK126" s="1109"/>
      <c r="CL126" s="1109"/>
      <c r="CM126" s="1115"/>
      <c r="CN126" s="1115"/>
      <c r="CO126" s="1115"/>
      <c r="CP126" s="1109" t="s">
        <v>500</v>
      </c>
      <c r="CQ126" s="1137" t="s">
        <v>3179</v>
      </c>
      <c r="CR126" s="1115"/>
      <c r="CS126" s="1109"/>
      <c r="CT126" s="1109"/>
      <c r="CU126" s="1115"/>
      <c r="CV126" s="1115"/>
      <c r="CW126" s="1115"/>
      <c r="CX126" s="1115"/>
      <c r="CY126" s="1115"/>
      <c r="CZ126" s="1115"/>
      <c r="DA126" s="1115"/>
      <c r="DB126" s="1109"/>
      <c r="DC126" s="1109"/>
      <c r="DD126" s="1115"/>
      <c r="DE126" s="1109"/>
      <c r="DF126" s="1109"/>
      <c r="DG126" s="1115"/>
      <c r="DH126" s="1109" t="s">
        <v>500</v>
      </c>
      <c r="DI126" s="1137" t="s">
        <v>3180</v>
      </c>
      <c r="DJ126" s="1115"/>
      <c r="DK126" s="1109"/>
      <c r="DL126" s="1137"/>
      <c r="DM126" s="1115"/>
      <c r="DN126" s="1109" t="s">
        <v>500</v>
      </c>
      <c r="DO126" s="1137" t="s">
        <v>3173</v>
      </c>
      <c r="DP126" s="1115">
        <v>672</v>
      </c>
      <c r="DQ126" s="1109" t="s">
        <v>504</v>
      </c>
      <c r="DR126" s="1109"/>
      <c r="DS126" s="1115"/>
      <c r="DT126" s="1115" t="s">
        <v>504</v>
      </c>
      <c r="DU126" s="1115"/>
      <c r="DV126" s="1115"/>
      <c r="DW126" s="1109" t="s">
        <v>504</v>
      </c>
      <c r="DX126" s="1109"/>
      <c r="DY126" s="1115"/>
      <c r="DZ126" s="1109" t="s">
        <v>504</v>
      </c>
      <c r="EA126" s="1109"/>
      <c r="EB126" s="1115"/>
      <c r="EC126" s="1109" t="s">
        <v>504</v>
      </c>
      <c r="ED126" s="1109"/>
      <c r="EE126" s="1115"/>
      <c r="EF126" s="1115" t="s">
        <v>504</v>
      </c>
      <c r="EG126" s="1115"/>
      <c r="EH126" s="1115"/>
      <c r="EI126" s="1109"/>
      <c r="EJ126" s="1109"/>
      <c r="EK126" s="1115"/>
      <c r="EL126" s="1115"/>
      <c r="EM126" s="1115"/>
      <c r="EN126" s="1115"/>
      <c r="EO126" s="1109"/>
      <c r="EP126" s="1109"/>
      <c r="EQ126" s="1109" t="s">
        <v>3173</v>
      </c>
      <c r="ER126" s="1109"/>
      <c r="ES126" s="1109"/>
      <c r="ET126" s="1109" t="s">
        <v>3181</v>
      </c>
      <c r="EU126" s="1109" t="s">
        <v>1104</v>
      </c>
      <c r="EV126" s="1109" t="s">
        <v>3182</v>
      </c>
      <c r="EW126" s="1109">
        <v>3</v>
      </c>
      <c r="EX126" s="1109">
        <v>50</v>
      </c>
    </row>
    <row r="127" spans="3:154" ht="60.95" customHeight="1" x14ac:dyDescent="0.2">
      <c r="C127" s="1156" t="s">
        <v>693</v>
      </c>
      <c r="D127" s="1156" t="s">
        <v>5278</v>
      </c>
      <c r="E127" s="1104" t="s">
        <v>336</v>
      </c>
      <c r="F127" s="1104" t="s">
        <v>421</v>
      </c>
      <c r="G127" s="1104" t="s">
        <v>3183</v>
      </c>
      <c r="H127" s="1104" t="s">
        <v>694</v>
      </c>
      <c r="I127" s="1104" t="s">
        <v>694</v>
      </c>
      <c r="J127" s="1122">
        <v>2017</v>
      </c>
      <c r="K127" s="1125">
        <v>43866</v>
      </c>
      <c r="L127" s="1125">
        <v>44196</v>
      </c>
      <c r="M127" s="1369">
        <f t="shared" si="14"/>
        <v>330</v>
      </c>
      <c r="N127" s="1125"/>
      <c r="O127" s="1125"/>
      <c r="P127" s="1125"/>
      <c r="Q127" s="1125"/>
      <c r="R127" s="1125"/>
      <c r="S127" s="1125"/>
      <c r="T127" s="1125"/>
      <c r="U127" s="1125"/>
      <c r="V127" s="1125"/>
      <c r="W127" s="1125"/>
      <c r="X127" s="1125"/>
      <c r="Y127" s="1104" t="s">
        <v>3184</v>
      </c>
      <c r="Z127" s="1119" t="s">
        <v>3185</v>
      </c>
      <c r="AA127" s="1104" t="s">
        <v>3186</v>
      </c>
      <c r="AB127" s="1104" t="s">
        <v>3186</v>
      </c>
      <c r="AC127" s="1109" t="s">
        <v>1732</v>
      </c>
      <c r="AD127" s="1109" t="s">
        <v>3187</v>
      </c>
      <c r="AE127" s="1112">
        <v>0.85499999999999998</v>
      </c>
      <c r="AF127" s="1113">
        <f t="shared" si="10"/>
        <v>0.85540000000000005</v>
      </c>
      <c r="AG127" s="1113">
        <f t="shared" si="11"/>
        <v>4.0000000000006697E-4</v>
      </c>
      <c r="AH127" s="1112"/>
      <c r="AI127" s="1113"/>
      <c r="AJ127" s="1113"/>
      <c r="AK127" s="1112">
        <v>0.80300000000000005</v>
      </c>
      <c r="AL127" s="1114">
        <v>0.93920000000000003</v>
      </c>
      <c r="AM127" s="1114">
        <v>2.3599999999999999E-2</v>
      </c>
      <c r="AN127" s="1112">
        <v>4.7E-2</v>
      </c>
      <c r="AO127" s="1114">
        <v>5.5E-2</v>
      </c>
      <c r="AP127" s="1112">
        <v>5.4000000000000003E-3</v>
      </c>
      <c r="AQ127" s="1114">
        <v>5.7999999999999996E-3</v>
      </c>
      <c r="AR127" s="1112"/>
      <c r="AS127" s="1114"/>
      <c r="AT127" s="1114"/>
      <c r="AU127" s="1114"/>
      <c r="AV127" s="1114"/>
      <c r="AW127" s="1114" t="s">
        <v>500</v>
      </c>
      <c r="AX127" s="1114" t="s">
        <v>3188</v>
      </c>
      <c r="AY127" s="1114"/>
      <c r="AZ127" s="1114"/>
      <c r="BA127" s="1113">
        <v>1.054</v>
      </c>
      <c r="BB127" s="1114">
        <v>5.3400000000000003E-2</v>
      </c>
      <c r="BC127" s="1115"/>
      <c r="BD127" s="1115">
        <v>7</v>
      </c>
      <c r="BE127" s="1116">
        <v>5</v>
      </c>
      <c r="BF127" s="1115"/>
      <c r="BG127" s="1115"/>
      <c r="BH127" s="1115"/>
      <c r="BI127" s="1115"/>
      <c r="BJ127" s="1115"/>
      <c r="BK127" s="1115">
        <v>1</v>
      </c>
      <c r="BL127" s="1115"/>
      <c r="BM127" s="1115"/>
      <c r="BN127" s="1115">
        <v>1</v>
      </c>
      <c r="BO127" s="1115"/>
      <c r="BP127" s="1115">
        <v>1</v>
      </c>
      <c r="BQ127" s="1115"/>
      <c r="BR127" s="1115">
        <v>2</v>
      </c>
      <c r="BS127" s="1115"/>
      <c r="BT127" s="1115"/>
      <c r="BU127" s="1115"/>
      <c r="BV127" s="1115"/>
      <c r="BW127" s="1115"/>
      <c r="BX127" s="1115"/>
      <c r="BY127" s="1115"/>
      <c r="BZ127" s="1115"/>
      <c r="CA127" s="1117">
        <f t="shared" si="16"/>
        <v>5</v>
      </c>
      <c r="CB127" s="1117">
        <f t="shared" si="12"/>
        <v>5</v>
      </c>
      <c r="CC127" s="1117">
        <f t="shared" si="13"/>
        <v>0</v>
      </c>
      <c r="CD127" s="1113">
        <v>2.2010000000000001</v>
      </c>
      <c r="CE127" s="1109" t="s">
        <v>3189</v>
      </c>
      <c r="CF127" s="1109" t="s">
        <v>3190</v>
      </c>
      <c r="CG127" s="1126">
        <v>0.48</v>
      </c>
      <c r="CH127" s="1113">
        <v>4.5860000000000003</v>
      </c>
      <c r="CI127" s="1114" t="s">
        <v>3191</v>
      </c>
      <c r="CJ127" s="1109" t="s">
        <v>504</v>
      </c>
      <c r="CK127" s="1109"/>
      <c r="CL127" s="1109"/>
      <c r="CM127" s="1115"/>
      <c r="CN127" s="1115"/>
      <c r="CO127" s="1115">
        <v>2</v>
      </c>
      <c r="CP127" s="1109" t="s">
        <v>504</v>
      </c>
      <c r="CQ127" s="1109"/>
      <c r="CR127" s="1115"/>
      <c r="CS127" s="1109" t="s">
        <v>500</v>
      </c>
      <c r="CT127" s="1109" t="s">
        <v>3192</v>
      </c>
      <c r="CU127" s="1115">
        <v>234</v>
      </c>
      <c r="CV127" s="1115" t="s">
        <v>504</v>
      </c>
      <c r="CW127" s="1115"/>
      <c r="CX127" s="1115"/>
      <c r="CY127" s="1115" t="s">
        <v>504</v>
      </c>
      <c r="CZ127" s="1115"/>
      <c r="DA127" s="1115"/>
      <c r="DB127" s="1109" t="s">
        <v>504</v>
      </c>
      <c r="DC127" s="1109"/>
      <c r="DD127" s="1115"/>
      <c r="DE127" s="1109" t="s">
        <v>504</v>
      </c>
      <c r="DF127" s="1109"/>
      <c r="DG127" s="1115"/>
      <c r="DH127" s="1109" t="s">
        <v>504</v>
      </c>
      <c r="DI127" s="1109"/>
      <c r="DJ127" s="1115"/>
      <c r="DK127" s="1109" t="s">
        <v>504</v>
      </c>
      <c r="DL127" s="1109"/>
      <c r="DM127" s="1115"/>
      <c r="DN127" s="1109" t="s">
        <v>500</v>
      </c>
      <c r="DO127" s="1127" t="s">
        <v>3193</v>
      </c>
      <c r="DP127" s="1115">
        <v>8459</v>
      </c>
      <c r="DQ127" s="1109" t="s">
        <v>504</v>
      </c>
      <c r="DR127" s="1109"/>
      <c r="DS127" s="1115"/>
      <c r="DT127" s="1115" t="s">
        <v>504</v>
      </c>
      <c r="DU127" s="1115"/>
      <c r="DV127" s="1115"/>
      <c r="DW127" s="1109" t="s">
        <v>504</v>
      </c>
      <c r="DX127" s="1109"/>
      <c r="DY127" s="1115"/>
      <c r="DZ127" s="1109" t="s">
        <v>504</v>
      </c>
      <c r="EA127" s="1109"/>
      <c r="EB127" s="1115"/>
      <c r="EC127" s="1109" t="s">
        <v>504</v>
      </c>
      <c r="ED127" s="1109"/>
      <c r="EE127" s="1115"/>
      <c r="EF127" s="1115" t="s">
        <v>504</v>
      </c>
      <c r="EG127" s="1115"/>
      <c r="EH127" s="1115"/>
      <c r="EI127" s="1109" t="s">
        <v>504</v>
      </c>
      <c r="EJ127" s="1109"/>
      <c r="EK127" s="1115"/>
      <c r="EL127" s="1115"/>
      <c r="EM127" s="1115"/>
      <c r="EN127" s="1115"/>
      <c r="EO127" s="1109" t="s">
        <v>504</v>
      </c>
      <c r="EP127" s="1109" t="s">
        <v>3194</v>
      </c>
      <c r="EQ127" s="1119" t="s">
        <v>3195</v>
      </c>
      <c r="ER127" s="1109" t="s">
        <v>3196</v>
      </c>
      <c r="ES127" s="1109" t="s">
        <v>504</v>
      </c>
      <c r="ET127" s="1109" t="s">
        <v>3197</v>
      </c>
      <c r="EU127" s="1109" t="s">
        <v>3198</v>
      </c>
      <c r="EV127" s="1109" t="s">
        <v>3199</v>
      </c>
      <c r="EW127" s="1109">
        <v>2</v>
      </c>
      <c r="EX127" s="1109">
        <v>36</v>
      </c>
    </row>
    <row r="128" spans="3:154" ht="60.95" customHeight="1" x14ac:dyDescent="0.2">
      <c r="C128" s="1156" t="s">
        <v>5479</v>
      </c>
      <c r="D128" s="1156" t="s">
        <v>5277</v>
      </c>
      <c r="E128" s="738" t="s">
        <v>337</v>
      </c>
      <c r="F128" s="738" t="s">
        <v>422</v>
      </c>
      <c r="G128" s="632"/>
      <c r="H128" s="632" t="s">
        <v>2597</v>
      </c>
      <c r="I128" s="632" t="s">
        <v>2598</v>
      </c>
      <c r="J128" s="637">
        <v>2018</v>
      </c>
      <c r="K128" s="377">
        <v>43101</v>
      </c>
      <c r="L128" s="377">
        <v>43830</v>
      </c>
      <c r="M128" s="1369">
        <f t="shared" si="14"/>
        <v>729</v>
      </c>
      <c r="N128" s="632" t="s">
        <v>2599</v>
      </c>
      <c r="O128" s="632" t="s">
        <v>2600</v>
      </c>
      <c r="P128" s="653" t="s">
        <v>2601</v>
      </c>
      <c r="Q128" s="632" t="s">
        <v>2602</v>
      </c>
      <c r="R128" s="653" t="s">
        <v>2603</v>
      </c>
      <c r="S128" s="632"/>
      <c r="T128" s="653"/>
      <c r="U128" s="632"/>
      <c r="V128" s="632"/>
      <c r="W128" s="632"/>
      <c r="X128" s="632"/>
      <c r="Y128" s="632"/>
      <c r="Z128" s="632"/>
      <c r="AA128" s="632" t="s">
        <v>2604</v>
      </c>
      <c r="AB128" s="632" t="s">
        <v>2604</v>
      </c>
      <c r="AC128" s="632" t="s">
        <v>519</v>
      </c>
      <c r="AD128" s="632" t="s">
        <v>2605</v>
      </c>
      <c r="AE128" s="702">
        <v>656.04266317999998</v>
      </c>
      <c r="AF128" s="671">
        <f t="shared" si="10"/>
        <v>656.04344117000005</v>
      </c>
      <c r="AG128" s="671">
        <f t="shared" si="11"/>
        <v>7.7799000007416907E-4</v>
      </c>
      <c r="AH128" s="702">
        <v>402.10640000000001</v>
      </c>
      <c r="AI128" s="683">
        <f>AH128/AE128</f>
        <v>0.61292721124399363</v>
      </c>
      <c r="AJ128" s="683">
        <f>AH128/45664.3</f>
        <v>8.8057059891425028E-3</v>
      </c>
      <c r="AK128" s="702">
        <v>3.8236411700000001</v>
      </c>
      <c r="AL128" s="683">
        <f>AK128/AE128</f>
        <v>5.8283422475390121E-3</v>
      </c>
      <c r="AM128" s="683"/>
      <c r="AN128" s="702">
        <v>0</v>
      </c>
      <c r="AO128" s="683">
        <v>0</v>
      </c>
      <c r="AP128" s="702">
        <v>0</v>
      </c>
      <c r="AQ128" s="683">
        <v>0</v>
      </c>
      <c r="AR128" s="702">
        <v>250.11340000000001</v>
      </c>
      <c r="AS128" s="683">
        <f>AR128/AE128</f>
        <v>0.38124563239170894</v>
      </c>
      <c r="AT128" s="632" t="s">
        <v>2606</v>
      </c>
      <c r="AU128" s="632" t="s">
        <v>2607</v>
      </c>
      <c r="AV128" s="632" t="s">
        <v>2604</v>
      </c>
      <c r="AW128" s="632" t="s">
        <v>500</v>
      </c>
      <c r="AX128" s="632" t="s">
        <v>2608</v>
      </c>
      <c r="AY128" s="632"/>
      <c r="AZ128" s="683"/>
      <c r="BA128" s="706">
        <v>367.66138990000002</v>
      </c>
      <c r="BB128" s="683">
        <f>BA128/39812.1</f>
        <v>9.2349157643028135E-3</v>
      </c>
      <c r="BC128" s="710"/>
      <c r="BD128" s="710"/>
      <c r="BE128" s="706"/>
      <c r="BF128" s="710"/>
      <c r="BG128" s="710"/>
      <c r="BH128" s="710"/>
      <c r="BI128" s="710"/>
      <c r="BJ128" s="710"/>
      <c r="BK128" s="710"/>
      <c r="BL128" s="710"/>
      <c r="BM128" s="710"/>
      <c r="BN128" s="710"/>
      <c r="BO128" s="710">
        <v>175</v>
      </c>
      <c r="BP128" s="710"/>
      <c r="BQ128" s="710">
        <v>35</v>
      </c>
      <c r="BR128" s="710"/>
      <c r="BS128" s="710"/>
      <c r="BT128" s="710"/>
      <c r="BU128" s="710"/>
      <c r="BV128" s="710"/>
      <c r="BW128" s="710"/>
      <c r="BX128" s="710"/>
      <c r="BY128" s="710"/>
      <c r="BZ128" s="710">
        <v>1</v>
      </c>
      <c r="CA128" s="717">
        <f t="shared" si="16"/>
        <v>211</v>
      </c>
      <c r="CB128" s="717">
        <f t="shared" si="12"/>
        <v>211</v>
      </c>
      <c r="CC128" s="717">
        <f t="shared" si="13"/>
        <v>0</v>
      </c>
      <c r="CD128" s="671">
        <v>595.42999999999995</v>
      </c>
      <c r="CE128" s="632"/>
      <c r="CF128" s="632"/>
      <c r="CG128" s="683">
        <f>CD128/CH128</f>
        <v>0.81156413814159256</v>
      </c>
      <c r="CH128" s="671">
        <v>733.68200000000002</v>
      </c>
      <c r="CI128" s="733" t="s">
        <v>2609</v>
      </c>
      <c r="CJ128" s="632" t="s">
        <v>504</v>
      </c>
      <c r="CK128" s="632"/>
      <c r="CL128" s="632"/>
      <c r="CM128" s="710"/>
      <c r="CN128" s="710"/>
      <c r="CO128" s="710">
        <v>5</v>
      </c>
      <c r="CP128" s="632" t="s">
        <v>500</v>
      </c>
      <c r="CQ128" s="632" t="s">
        <v>2610</v>
      </c>
      <c r="CR128" s="710">
        <v>68640</v>
      </c>
      <c r="CS128" s="632"/>
      <c r="CT128" s="632"/>
      <c r="CU128" s="710"/>
      <c r="CV128" s="710"/>
      <c r="CW128" s="710"/>
      <c r="CX128" s="710"/>
      <c r="CY128" s="710"/>
      <c r="CZ128" s="710"/>
      <c r="DA128" s="710"/>
      <c r="DB128" s="632"/>
      <c r="DC128" s="632"/>
      <c r="DD128" s="710"/>
      <c r="DE128" s="632"/>
      <c r="DF128" s="632"/>
      <c r="DG128" s="710"/>
      <c r="DH128" s="632"/>
      <c r="DI128" s="632"/>
      <c r="DJ128" s="710"/>
      <c r="DK128" s="632"/>
      <c r="DL128" s="632"/>
      <c r="DM128" s="710"/>
      <c r="DN128" s="632"/>
      <c r="DO128" s="632"/>
      <c r="DP128" s="710"/>
      <c r="DQ128" s="632"/>
      <c r="DR128" s="632"/>
      <c r="DS128" s="710"/>
      <c r="DT128" s="710"/>
      <c r="DU128" s="710"/>
      <c r="DV128" s="710"/>
      <c r="DW128" s="632" t="s">
        <v>471</v>
      </c>
      <c r="DX128" s="632"/>
      <c r="DY128" s="710"/>
      <c r="DZ128" s="632"/>
      <c r="EA128" s="632"/>
      <c r="EB128" s="710"/>
      <c r="EC128" s="632"/>
      <c r="ED128" s="632"/>
      <c r="EE128" s="710"/>
      <c r="EF128" s="710"/>
      <c r="EG128" s="710"/>
      <c r="EH128" s="710"/>
      <c r="EI128" s="632"/>
      <c r="EJ128" s="632"/>
      <c r="EK128" s="710"/>
      <c r="EL128" s="632" t="s">
        <v>2611</v>
      </c>
      <c r="EM128" s="632" t="s">
        <v>2612</v>
      </c>
      <c r="EN128" s="710">
        <v>38</v>
      </c>
      <c r="EO128" s="632" t="s">
        <v>504</v>
      </c>
      <c r="EP128" s="632"/>
      <c r="EQ128" s="653" t="s">
        <v>2616</v>
      </c>
      <c r="ER128" s="653" t="s">
        <v>2613</v>
      </c>
      <c r="ES128" s="653" t="s">
        <v>2614</v>
      </c>
      <c r="ET128" s="632" t="s">
        <v>2615</v>
      </c>
      <c r="EU128" s="632"/>
      <c r="EV128" s="632"/>
      <c r="EW128" s="632"/>
      <c r="EX128" s="632"/>
    </row>
    <row r="129" spans="3:154" ht="60.95" customHeight="1" x14ac:dyDescent="0.2">
      <c r="C129" s="1156" t="s">
        <v>5478</v>
      </c>
      <c r="D129" s="1156" t="s">
        <v>5277</v>
      </c>
      <c r="E129" s="738" t="s">
        <v>337</v>
      </c>
      <c r="F129" s="738" t="s">
        <v>422</v>
      </c>
      <c r="G129" s="632"/>
      <c r="H129" s="632" t="s">
        <v>2617</v>
      </c>
      <c r="I129" s="632" t="s">
        <v>2617</v>
      </c>
      <c r="J129" s="637">
        <v>2014</v>
      </c>
      <c r="K129" s="377">
        <v>43886</v>
      </c>
      <c r="L129" s="377">
        <v>44196</v>
      </c>
      <c r="M129" s="1369">
        <f t="shared" si="14"/>
        <v>310</v>
      </c>
      <c r="N129" s="632" t="s">
        <v>2618</v>
      </c>
      <c r="O129" s="632" t="s">
        <v>2619</v>
      </c>
      <c r="P129" s="1231" t="s">
        <v>2620</v>
      </c>
      <c r="Q129" s="632" t="s">
        <v>504</v>
      </c>
      <c r="R129" s="632" t="s">
        <v>504</v>
      </c>
      <c r="S129" s="632"/>
      <c r="T129" s="632"/>
      <c r="U129" s="632"/>
      <c r="V129" s="632"/>
      <c r="W129" s="632"/>
      <c r="X129" s="632"/>
      <c r="Y129" s="632"/>
      <c r="Z129" s="632"/>
      <c r="AA129" s="632" t="s">
        <v>2621</v>
      </c>
      <c r="AB129" s="632" t="s">
        <v>2621</v>
      </c>
      <c r="AC129" s="632" t="s">
        <v>519</v>
      </c>
      <c r="AD129" s="632" t="s">
        <v>2622</v>
      </c>
      <c r="AE129" s="702">
        <v>43.8</v>
      </c>
      <c r="AF129" s="671">
        <f t="shared" si="10"/>
        <v>43.8</v>
      </c>
      <c r="AG129" s="671">
        <f t="shared" si="11"/>
        <v>0</v>
      </c>
      <c r="AH129" s="702">
        <v>7.8</v>
      </c>
      <c r="AI129" s="683">
        <f>AH129/AE129</f>
        <v>0.17808219178082194</v>
      </c>
      <c r="AJ129" s="683">
        <f>AH129/45664.3</f>
        <v>1.708117719969429E-4</v>
      </c>
      <c r="AK129" s="702">
        <v>1.4</v>
      </c>
      <c r="AL129" s="683">
        <f>AK129/AE129</f>
        <v>3.1963470319634701E-2</v>
      </c>
      <c r="AM129" s="683"/>
      <c r="AN129" s="702">
        <v>5.3</v>
      </c>
      <c r="AO129" s="683">
        <f>AN129/AE129</f>
        <v>0.12100456621004567</v>
      </c>
      <c r="AP129" s="702">
        <v>2.4</v>
      </c>
      <c r="AQ129" s="683">
        <f>AP129/AE129</f>
        <v>5.4794520547945209E-2</v>
      </c>
      <c r="AR129" s="702">
        <v>26.9</v>
      </c>
      <c r="AS129" s="683">
        <f>AR129/AE129</f>
        <v>0.61415525114155256</v>
      </c>
      <c r="AT129" s="632" t="s">
        <v>2623</v>
      </c>
      <c r="AU129" s="632" t="s">
        <v>825</v>
      </c>
      <c r="AV129" s="632" t="s">
        <v>2621</v>
      </c>
      <c r="AW129" s="632" t="s">
        <v>500</v>
      </c>
      <c r="AX129" s="632" t="s">
        <v>838</v>
      </c>
      <c r="AY129" s="632"/>
      <c r="AZ129" s="683"/>
      <c r="BA129" s="632">
        <v>0.1</v>
      </c>
      <c r="BB129" s="683">
        <f>BA129/39812.1</f>
        <v>2.5117991766322303E-6</v>
      </c>
      <c r="BC129" s="710">
        <v>36</v>
      </c>
      <c r="BD129" s="710">
        <v>36</v>
      </c>
      <c r="BE129" s="706">
        <v>20</v>
      </c>
      <c r="BF129" s="710">
        <v>1</v>
      </c>
      <c r="BG129" s="710">
        <v>2</v>
      </c>
      <c r="BH129" s="710">
        <v>5</v>
      </c>
      <c r="BI129" s="710"/>
      <c r="BJ129" s="710"/>
      <c r="BK129" s="710"/>
      <c r="BL129" s="710"/>
      <c r="BM129" s="710"/>
      <c r="BN129" s="710"/>
      <c r="BO129" s="710"/>
      <c r="BP129" s="710">
        <v>3</v>
      </c>
      <c r="BQ129" s="710">
        <v>6</v>
      </c>
      <c r="BR129" s="710">
        <v>1</v>
      </c>
      <c r="BS129" s="710">
        <v>1</v>
      </c>
      <c r="BT129" s="710"/>
      <c r="BU129" s="710"/>
      <c r="BV129" s="710"/>
      <c r="BW129" s="710">
        <v>1</v>
      </c>
      <c r="BX129" s="710"/>
      <c r="BY129" s="710"/>
      <c r="BZ129" s="710"/>
      <c r="CA129" s="717">
        <f t="shared" si="16"/>
        <v>20</v>
      </c>
      <c r="CB129" s="717">
        <f t="shared" si="12"/>
        <v>20</v>
      </c>
      <c r="CC129" s="717">
        <f t="shared" si="13"/>
        <v>0</v>
      </c>
      <c r="CD129" s="671">
        <v>16.829999999999998</v>
      </c>
      <c r="CE129" s="632"/>
      <c r="CF129" s="632"/>
      <c r="CG129" s="1166">
        <f>CD129/733.498</f>
        <v>2.2944847838712576E-2</v>
      </c>
      <c r="CH129" s="671">
        <v>733.49800000000005</v>
      </c>
      <c r="CI129" s="733" t="s">
        <v>2624</v>
      </c>
      <c r="CJ129" s="632" t="s">
        <v>504</v>
      </c>
      <c r="CK129" s="632"/>
      <c r="CL129" s="632"/>
      <c r="CM129" s="710"/>
      <c r="CN129" s="710"/>
      <c r="CO129" s="710">
        <v>2</v>
      </c>
      <c r="CP129" s="632" t="s">
        <v>500</v>
      </c>
      <c r="CQ129" s="632" t="s">
        <v>2625</v>
      </c>
      <c r="CR129" s="710">
        <v>2719</v>
      </c>
      <c r="CS129" s="632"/>
      <c r="CT129" s="632"/>
      <c r="CU129" s="710"/>
      <c r="CV129" s="710"/>
      <c r="CW129" s="710"/>
      <c r="CX129" s="710"/>
      <c r="CY129" s="710"/>
      <c r="CZ129" s="710"/>
      <c r="DA129" s="710"/>
      <c r="DB129" s="632"/>
      <c r="DC129" s="632"/>
      <c r="DD129" s="710"/>
      <c r="DE129" s="632"/>
      <c r="DF129" s="632"/>
      <c r="DG129" s="710"/>
      <c r="DH129" s="632"/>
      <c r="DI129" s="632"/>
      <c r="DJ129" s="710"/>
      <c r="DK129" s="632"/>
      <c r="DL129" s="632"/>
      <c r="DM129" s="710"/>
      <c r="DN129" s="632"/>
      <c r="DO129" s="632"/>
      <c r="DP129" s="710"/>
      <c r="DQ129" s="632" t="s">
        <v>500</v>
      </c>
      <c r="DR129" s="632" t="s">
        <v>2625</v>
      </c>
      <c r="DS129" s="710">
        <v>2719</v>
      </c>
      <c r="DT129" s="710"/>
      <c r="DU129" s="710"/>
      <c r="DV129" s="710"/>
      <c r="DW129" s="632"/>
      <c r="DX129" s="632"/>
      <c r="DY129" s="710"/>
      <c r="DZ129" s="632"/>
      <c r="EA129" s="632"/>
      <c r="EB129" s="710"/>
      <c r="EC129" s="632"/>
      <c r="ED129" s="632"/>
      <c r="EE129" s="710"/>
      <c r="EF129" s="710"/>
      <c r="EG129" s="710"/>
      <c r="EH129" s="710"/>
      <c r="EI129" s="632"/>
      <c r="EJ129" s="632"/>
      <c r="EK129" s="710"/>
      <c r="EL129" s="688">
        <v>1</v>
      </c>
      <c r="EM129" s="632"/>
      <c r="EN129" s="670">
        <v>15</v>
      </c>
      <c r="EO129" s="632"/>
      <c r="EP129" s="632"/>
      <c r="EQ129" s="632"/>
      <c r="ER129" s="632"/>
      <c r="ES129" s="632"/>
      <c r="ET129" s="632"/>
      <c r="EU129" s="632"/>
      <c r="EV129" s="632"/>
      <c r="EW129" s="632"/>
      <c r="EX129" s="632"/>
    </row>
    <row r="130" spans="3:154" ht="60.95" customHeight="1" x14ac:dyDescent="0.2">
      <c r="C130" s="1156" t="s">
        <v>693</v>
      </c>
      <c r="D130" s="1156" t="s">
        <v>5277</v>
      </c>
      <c r="E130" s="738" t="s">
        <v>337</v>
      </c>
      <c r="F130" s="738" t="s">
        <v>422</v>
      </c>
      <c r="G130" s="632"/>
      <c r="H130" s="632" t="s">
        <v>2626</v>
      </c>
      <c r="I130" s="632" t="s">
        <v>2627</v>
      </c>
      <c r="J130" s="637">
        <v>2018</v>
      </c>
      <c r="K130" s="377">
        <v>43896</v>
      </c>
      <c r="L130" s="377">
        <v>44190</v>
      </c>
      <c r="M130" s="1369">
        <f t="shared" si="14"/>
        <v>294</v>
      </c>
      <c r="N130" s="632" t="s">
        <v>465</v>
      </c>
      <c r="O130" s="632" t="s">
        <v>465</v>
      </c>
      <c r="P130" s="632" t="s">
        <v>465</v>
      </c>
      <c r="Q130" s="632" t="s">
        <v>2628</v>
      </c>
      <c r="R130" s="728" t="s">
        <v>2603</v>
      </c>
      <c r="S130" s="632" t="s">
        <v>465</v>
      </c>
      <c r="T130" s="632" t="s">
        <v>465</v>
      </c>
      <c r="U130" s="632" t="s">
        <v>465</v>
      </c>
      <c r="V130" s="632" t="s">
        <v>465</v>
      </c>
      <c r="W130" s="632" t="s">
        <v>2629</v>
      </c>
      <c r="X130" s="728" t="s">
        <v>2630</v>
      </c>
      <c r="Y130" s="728"/>
      <c r="Z130" s="728"/>
      <c r="AA130" s="632" t="s">
        <v>2631</v>
      </c>
      <c r="AB130" s="632" t="s">
        <v>2632</v>
      </c>
      <c r="AC130" s="632" t="s">
        <v>519</v>
      </c>
      <c r="AD130" s="632" t="s">
        <v>2633</v>
      </c>
      <c r="AE130" s="702">
        <v>240.066</v>
      </c>
      <c r="AF130" s="671">
        <f t="shared" si="10"/>
        <v>240.0694</v>
      </c>
      <c r="AG130" s="671">
        <f t="shared" si="11"/>
        <v>3.3999999999991815E-3</v>
      </c>
      <c r="AH130" s="702">
        <v>225.68</v>
      </c>
      <c r="AI130" s="683">
        <f>AH130/AE130</f>
        <v>0.94007481275982441</v>
      </c>
      <c r="AJ130" s="683">
        <f>AH130/45664.3</f>
        <v>4.9421539364448812E-3</v>
      </c>
      <c r="AK130" s="702">
        <v>6.9</v>
      </c>
      <c r="AL130" s="683">
        <f>AK130/AE130</f>
        <v>2.8742095923621005E-2</v>
      </c>
      <c r="AM130" s="683"/>
      <c r="AN130" s="702">
        <v>2.6</v>
      </c>
      <c r="AO130" s="683">
        <f>AN130/AE130</f>
        <v>1.0830354985712262E-2</v>
      </c>
      <c r="AP130" s="702">
        <v>4.8894000000000002</v>
      </c>
      <c r="AQ130" s="683">
        <f>AP130/AE130</f>
        <v>2.0366899102746746E-2</v>
      </c>
      <c r="AR130" s="702">
        <v>0</v>
      </c>
      <c r="AS130" s="683">
        <v>0</v>
      </c>
      <c r="AT130" s="632" t="s">
        <v>465</v>
      </c>
      <c r="AU130" s="632" t="s">
        <v>465</v>
      </c>
      <c r="AV130" s="632" t="s">
        <v>465</v>
      </c>
      <c r="AW130" s="632" t="s">
        <v>504</v>
      </c>
      <c r="AX130" s="632" t="s">
        <v>465</v>
      </c>
      <c r="AY130" s="632" t="s">
        <v>465</v>
      </c>
      <c r="AZ130" s="683" t="s">
        <v>465</v>
      </c>
      <c r="BA130" s="706">
        <v>15</v>
      </c>
      <c r="BB130" s="683">
        <f>BA130/39812.0526</f>
        <v>3.7677032507487442E-4</v>
      </c>
      <c r="BC130" s="710">
        <v>123</v>
      </c>
      <c r="BD130" s="710">
        <v>115</v>
      </c>
      <c r="BE130" s="706">
        <v>95</v>
      </c>
      <c r="BF130" s="710">
        <v>1</v>
      </c>
      <c r="BG130" s="710">
        <v>5</v>
      </c>
      <c r="BH130" s="710"/>
      <c r="BI130" s="710"/>
      <c r="BJ130" s="710"/>
      <c r="BK130" s="710">
        <v>1</v>
      </c>
      <c r="BL130" s="710">
        <f>5+8+3</f>
        <v>16</v>
      </c>
      <c r="BM130" s="710">
        <f>1+1+1+1+1+2+6</f>
        <v>13</v>
      </c>
      <c r="BN130" s="710">
        <v>17</v>
      </c>
      <c r="BO130" s="710">
        <v>1</v>
      </c>
      <c r="BP130" s="710">
        <v>7</v>
      </c>
      <c r="BQ130" s="710">
        <f>10+23</f>
        <v>33</v>
      </c>
      <c r="BR130" s="710"/>
      <c r="BS130" s="710">
        <v>1</v>
      </c>
      <c r="BT130" s="710"/>
      <c r="BU130" s="710"/>
      <c r="BV130" s="710"/>
      <c r="BW130" s="710"/>
      <c r="BX130" s="710"/>
      <c r="BY130" s="710"/>
      <c r="BZ130" s="710"/>
      <c r="CA130" s="717">
        <f t="shared" si="16"/>
        <v>95</v>
      </c>
      <c r="CB130" s="717">
        <f t="shared" si="12"/>
        <v>95</v>
      </c>
      <c r="CC130" s="717">
        <f t="shared" si="13"/>
        <v>0</v>
      </c>
      <c r="CD130" s="671">
        <f>0.596+9.854+13.576+2.229+5.178+6.726+29.33+9.639+17.23+36.627+3.109+68.768+12.928+14.803+5.179+8.564+0.653</f>
        <v>244.989</v>
      </c>
      <c r="CE130" s="632" t="s">
        <v>2634</v>
      </c>
      <c r="CF130" s="728" t="s">
        <v>2635</v>
      </c>
      <c r="CG130" s="683">
        <f>CD130/733.498</f>
        <v>0.33400091070459631</v>
      </c>
      <c r="CH130" s="671">
        <v>733.49800000000005</v>
      </c>
      <c r="CI130" s="1203" t="s">
        <v>2636</v>
      </c>
      <c r="CJ130" s="632" t="s">
        <v>500</v>
      </c>
      <c r="CK130" s="632" t="s">
        <v>2631</v>
      </c>
      <c r="CL130" s="632" t="s">
        <v>465</v>
      </c>
      <c r="CM130" s="710">
        <v>3</v>
      </c>
      <c r="CN130" s="710">
        <v>2</v>
      </c>
      <c r="CO130" s="710" t="s">
        <v>465</v>
      </c>
      <c r="CP130" s="632" t="s">
        <v>465</v>
      </c>
      <c r="CQ130" s="632" t="s">
        <v>465</v>
      </c>
      <c r="CR130" s="710" t="s">
        <v>465</v>
      </c>
      <c r="CS130" s="632" t="s">
        <v>500</v>
      </c>
      <c r="CT130" s="738" t="s">
        <v>2625</v>
      </c>
      <c r="CU130" s="822">
        <v>420</v>
      </c>
      <c r="CV130" s="710"/>
      <c r="CW130" s="710"/>
      <c r="CX130" s="710"/>
      <c r="CY130" s="710"/>
      <c r="CZ130" s="710"/>
      <c r="DA130" s="710"/>
      <c r="DB130" s="632"/>
      <c r="DC130" s="632"/>
      <c r="DD130" s="710"/>
      <c r="DE130" s="738"/>
      <c r="DF130" s="738"/>
      <c r="DG130" s="822"/>
      <c r="DH130" s="632"/>
      <c r="DI130" s="632"/>
      <c r="DJ130" s="710"/>
      <c r="DK130" s="632"/>
      <c r="DL130" s="632"/>
      <c r="DM130" s="710"/>
      <c r="DN130" s="632"/>
      <c r="DO130" s="632"/>
      <c r="DP130" s="710"/>
      <c r="DQ130" s="632"/>
      <c r="DR130" s="632"/>
      <c r="DS130" s="710"/>
      <c r="DT130" s="710"/>
      <c r="DU130" s="710"/>
      <c r="DV130" s="710"/>
      <c r="DW130" s="632"/>
      <c r="DX130" s="632"/>
      <c r="DY130" s="710"/>
      <c r="DZ130" s="632"/>
      <c r="EA130" s="632"/>
      <c r="EB130" s="710"/>
      <c r="EC130" s="632"/>
      <c r="ED130" s="632"/>
      <c r="EE130" s="710"/>
      <c r="EF130" s="710"/>
      <c r="EG130" s="710"/>
      <c r="EH130" s="710"/>
      <c r="EI130" s="632"/>
      <c r="EJ130" s="632"/>
      <c r="EK130" s="710"/>
      <c r="EL130" s="688">
        <v>1</v>
      </c>
      <c r="EM130" s="632" t="s">
        <v>465</v>
      </c>
      <c r="EN130" s="670">
        <v>27</v>
      </c>
      <c r="EO130" s="632" t="s">
        <v>465</v>
      </c>
      <c r="EP130" s="632" t="s">
        <v>465</v>
      </c>
      <c r="EQ130" s="728" t="s">
        <v>2637</v>
      </c>
      <c r="ER130" s="728" t="s">
        <v>2638</v>
      </c>
      <c r="ES130" s="632" t="s">
        <v>465</v>
      </c>
      <c r="ET130" s="632" t="s">
        <v>2639</v>
      </c>
      <c r="EU130" s="632" t="s">
        <v>465</v>
      </c>
      <c r="EV130" s="632"/>
      <c r="EW130" s="632"/>
      <c r="EX130" s="632"/>
    </row>
    <row r="131" spans="3:154" x14ac:dyDescent="0.2">
      <c r="C131" s="1156"/>
      <c r="D131" s="1156"/>
      <c r="E131" s="1454" t="s">
        <v>338</v>
      </c>
      <c r="F131" s="1454" t="s">
        <v>423</v>
      </c>
      <c r="G131" s="1454"/>
      <c r="H131" s="1460"/>
      <c r="I131" s="1460"/>
      <c r="J131" s="1460"/>
      <c r="K131" s="1460"/>
      <c r="L131" s="1460"/>
      <c r="M131" s="1369">
        <f t="shared" si="14"/>
        <v>0</v>
      </c>
      <c r="N131" s="1460"/>
      <c r="O131" s="1460"/>
      <c r="P131" s="1460"/>
      <c r="Q131" s="1460"/>
      <c r="R131" s="1460"/>
      <c r="S131" s="1460"/>
      <c r="T131" s="1460"/>
      <c r="U131" s="1460"/>
      <c r="V131" s="1460"/>
      <c r="W131" s="1460"/>
      <c r="X131" s="1460"/>
      <c r="Y131" s="1460"/>
      <c r="Z131" s="1460"/>
      <c r="AA131" s="1460"/>
      <c r="AB131" s="1460"/>
      <c r="AC131" s="1460"/>
      <c r="AD131" s="1460"/>
      <c r="AE131" s="1461"/>
      <c r="AF131" s="1462">
        <f t="shared" si="10"/>
        <v>0</v>
      </c>
      <c r="AG131" s="1462">
        <f t="shared" si="11"/>
        <v>0</v>
      </c>
      <c r="AH131" s="1461"/>
      <c r="AI131" s="1460"/>
      <c r="AJ131" s="1460"/>
      <c r="AK131" s="1461"/>
      <c r="AL131" s="1460"/>
      <c r="AM131" s="1460"/>
      <c r="AN131" s="1461"/>
      <c r="AO131" s="1460"/>
      <c r="AP131" s="1461"/>
      <c r="AQ131" s="1460"/>
      <c r="AR131" s="1461"/>
      <c r="AS131" s="1460"/>
      <c r="AT131" s="1460"/>
      <c r="AU131" s="1460"/>
      <c r="AV131" s="1460"/>
      <c r="AW131" s="1460"/>
      <c r="AX131" s="1460"/>
      <c r="AY131" s="1460"/>
      <c r="AZ131" s="1460"/>
      <c r="BA131" s="1460"/>
      <c r="BB131" s="1460"/>
      <c r="BC131" s="1460"/>
      <c r="BD131" s="1460"/>
      <c r="BE131" s="1463"/>
      <c r="BF131" s="1460"/>
      <c r="BG131" s="1460"/>
      <c r="BH131" s="1460"/>
      <c r="BI131" s="1460"/>
      <c r="BJ131" s="1460"/>
      <c r="BK131" s="1460"/>
      <c r="BL131" s="1460"/>
      <c r="BM131" s="1460"/>
      <c r="BN131" s="1460"/>
      <c r="BO131" s="1460"/>
      <c r="BP131" s="1460"/>
      <c r="BQ131" s="1460"/>
      <c r="BR131" s="1460"/>
      <c r="BS131" s="1460"/>
      <c r="BT131" s="1460"/>
      <c r="BU131" s="1460"/>
      <c r="BV131" s="1460"/>
      <c r="BW131" s="1460"/>
      <c r="BX131" s="1460"/>
      <c r="BY131" s="1460"/>
      <c r="BZ131" s="1460"/>
      <c r="CA131" s="1460"/>
      <c r="CB131" s="1464">
        <f t="shared" si="12"/>
        <v>0</v>
      </c>
      <c r="CC131" s="1464">
        <f t="shared" si="13"/>
        <v>0</v>
      </c>
      <c r="CD131" s="1460"/>
      <c r="CE131" s="1460"/>
      <c r="CF131" s="1460"/>
      <c r="CG131" s="1460"/>
      <c r="CH131" s="1460"/>
      <c r="CI131" s="1460"/>
      <c r="CJ131" s="1460"/>
      <c r="CK131" s="1460"/>
      <c r="CL131" s="1460"/>
      <c r="CM131" s="1460"/>
      <c r="CN131" s="1460"/>
      <c r="CO131" s="1460"/>
      <c r="CP131" s="1460"/>
      <c r="CQ131" s="1460"/>
      <c r="CR131" s="1460"/>
      <c r="CS131" s="1460"/>
      <c r="CT131" s="1460"/>
      <c r="CU131" s="1460"/>
      <c r="CV131" s="1460"/>
      <c r="CW131" s="1460"/>
      <c r="CX131" s="1460"/>
      <c r="CY131" s="1460"/>
      <c r="CZ131" s="1460"/>
      <c r="DA131" s="1460"/>
      <c r="DB131" s="1460"/>
      <c r="DC131" s="1460"/>
      <c r="DD131" s="1460"/>
      <c r="DE131" s="1460"/>
      <c r="DF131" s="1460"/>
      <c r="DG131" s="1460"/>
      <c r="DH131" s="1460"/>
      <c r="DI131" s="1460"/>
      <c r="DJ131" s="1460"/>
      <c r="DK131" s="1460"/>
      <c r="DL131" s="1460"/>
      <c r="DM131" s="1460"/>
      <c r="DN131" s="1460"/>
      <c r="DO131" s="1460"/>
      <c r="DP131" s="1460"/>
      <c r="DQ131" s="1460"/>
      <c r="DR131" s="1460"/>
      <c r="DS131" s="1460"/>
      <c r="DT131" s="1460"/>
      <c r="DU131" s="1460"/>
      <c r="DV131" s="1460"/>
      <c r="DW131" s="1460"/>
      <c r="DX131" s="1460"/>
      <c r="DY131" s="1460"/>
      <c r="DZ131" s="1460"/>
      <c r="EA131" s="1460"/>
      <c r="EB131" s="1460"/>
      <c r="EC131" s="1460"/>
      <c r="ED131" s="1460"/>
      <c r="EE131" s="1460"/>
      <c r="EF131" s="1460"/>
      <c r="EG131" s="1460"/>
      <c r="EH131" s="1460"/>
      <c r="EI131" s="1460"/>
      <c r="EJ131" s="1460"/>
      <c r="EK131" s="1460"/>
      <c r="EL131" s="1460"/>
      <c r="EM131" s="1460"/>
      <c r="EN131" s="1460"/>
      <c r="EO131" s="1460"/>
      <c r="EP131" s="1460"/>
      <c r="EQ131" s="1460"/>
      <c r="ER131" s="1460"/>
      <c r="ES131" s="1460"/>
      <c r="ET131" s="1460"/>
      <c r="EU131" s="1460"/>
      <c r="EV131" s="1460"/>
      <c r="EW131" s="1460"/>
      <c r="EX131" s="1460"/>
    </row>
    <row r="132" spans="3:154" ht="122.1" customHeight="1" x14ac:dyDescent="0.2">
      <c r="C132" s="1156" t="s">
        <v>5482</v>
      </c>
      <c r="D132" s="1156" t="s">
        <v>5278</v>
      </c>
      <c r="E132" s="1104" t="s">
        <v>338</v>
      </c>
      <c r="F132" s="1104" t="s">
        <v>423</v>
      </c>
      <c r="G132" s="1109" t="s">
        <v>3200</v>
      </c>
      <c r="H132" s="1109" t="s">
        <v>3201</v>
      </c>
      <c r="I132" s="1109" t="s">
        <v>3202</v>
      </c>
      <c r="J132" s="1110">
        <v>2015</v>
      </c>
      <c r="K132" s="1105">
        <v>43997</v>
      </c>
      <c r="L132" s="1105">
        <v>44196</v>
      </c>
      <c r="M132" s="1369">
        <f t="shared" si="14"/>
        <v>199</v>
      </c>
      <c r="N132" s="1105"/>
      <c r="O132" s="1105"/>
      <c r="P132" s="1105"/>
      <c r="Q132" s="1105"/>
      <c r="R132" s="1105"/>
      <c r="S132" s="1105"/>
      <c r="T132" s="1105"/>
      <c r="U132" s="1105"/>
      <c r="V132" s="1105"/>
      <c r="W132" s="1105"/>
      <c r="X132" s="1105"/>
      <c r="Y132" s="1109" t="s">
        <v>3203</v>
      </c>
      <c r="Z132" s="1109" t="s">
        <v>3204</v>
      </c>
      <c r="AA132" s="1109" t="s">
        <v>3205</v>
      </c>
      <c r="AB132" s="1109" t="s">
        <v>3206</v>
      </c>
      <c r="AC132" s="1109" t="s">
        <v>3207</v>
      </c>
      <c r="AD132" s="1109" t="s">
        <v>3206</v>
      </c>
      <c r="AE132" s="1112">
        <v>39.283000000000001</v>
      </c>
      <c r="AF132" s="1113">
        <f t="shared" si="10"/>
        <v>39.283000000000001</v>
      </c>
      <c r="AG132" s="1113">
        <f t="shared" si="11"/>
        <v>0</v>
      </c>
      <c r="AH132" s="1112"/>
      <c r="AI132" s="1113"/>
      <c r="AJ132" s="1113"/>
      <c r="AK132" s="1112">
        <v>17.997</v>
      </c>
      <c r="AL132" s="1114">
        <v>0.46</v>
      </c>
      <c r="AM132" s="1114">
        <v>1.1000000000000001E-3</v>
      </c>
      <c r="AN132" s="1112">
        <v>21.286000000000001</v>
      </c>
      <c r="AO132" s="1114">
        <v>0.54</v>
      </c>
      <c r="AP132" s="1112">
        <v>0</v>
      </c>
      <c r="AQ132" s="1114"/>
      <c r="AR132" s="1112"/>
      <c r="AS132" s="1114"/>
      <c r="AT132" s="1114"/>
      <c r="AU132" s="1114"/>
      <c r="AV132" s="1114"/>
      <c r="AW132" s="1114" t="s">
        <v>504</v>
      </c>
      <c r="AX132" s="1114"/>
      <c r="AY132" s="1114"/>
      <c r="AZ132" s="1114"/>
      <c r="BA132" s="1113">
        <v>18</v>
      </c>
      <c r="BB132" s="1114">
        <v>1.1000000000000001E-3</v>
      </c>
      <c r="BC132" s="1115">
        <v>67</v>
      </c>
      <c r="BD132" s="1115">
        <v>67</v>
      </c>
      <c r="BE132" s="1116">
        <v>46</v>
      </c>
      <c r="BF132" s="1115">
        <v>3</v>
      </c>
      <c r="BG132" s="1115"/>
      <c r="BH132" s="1115"/>
      <c r="BI132" s="1115"/>
      <c r="BJ132" s="1115"/>
      <c r="BK132" s="1115"/>
      <c r="BL132" s="1115">
        <v>1</v>
      </c>
      <c r="BM132" s="1115">
        <v>1</v>
      </c>
      <c r="BN132" s="1115">
        <v>2</v>
      </c>
      <c r="BO132" s="1115">
        <v>7</v>
      </c>
      <c r="BP132" s="1115">
        <v>2</v>
      </c>
      <c r="BQ132" s="1115">
        <v>2</v>
      </c>
      <c r="BR132" s="1115"/>
      <c r="BS132" s="1115"/>
      <c r="BT132" s="1115"/>
      <c r="BU132" s="1115">
        <v>26</v>
      </c>
      <c r="BV132" s="1115"/>
      <c r="BW132" s="1115">
        <v>1</v>
      </c>
      <c r="BX132" s="1115">
        <v>1</v>
      </c>
      <c r="BY132" s="1115"/>
      <c r="BZ132" s="1115"/>
      <c r="CA132" s="1117">
        <f>SUM(BF132:BZ132)</f>
        <v>46</v>
      </c>
      <c r="CB132" s="1117">
        <f t="shared" si="12"/>
        <v>46</v>
      </c>
      <c r="CC132" s="1117">
        <f t="shared" si="13"/>
        <v>0</v>
      </c>
      <c r="CD132" s="1113">
        <v>42</v>
      </c>
      <c r="CE132" s="1109" t="s">
        <v>3208</v>
      </c>
      <c r="CF132" s="1109"/>
      <c r="CG132" s="1114">
        <v>8.1000000000000003E-2</v>
      </c>
      <c r="CH132" s="1113">
        <v>520.29999999999995</v>
      </c>
      <c r="CI132" s="1114" t="s">
        <v>3209</v>
      </c>
      <c r="CJ132" s="1109" t="s">
        <v>504</v>
      </c>
      <c r="CK132" s="1109"/>
      <c r="CL132" s="1109"/>
      <c r="CM132" s="1115"/>
      <c r="CN132" s="1115"/>
      <c r="CO132" s="1115">
        <v>3</v>
      </c>
      <c r="CP132" s="1109" t="s">
        <v>504</v>
      </c>
      <c r="CQ132" s="1109"/>
      <c r="CR132" s="1115"/>
      <c r="CS132" s="1109" t="s">
        <v>504</v>
      </c>
      <c r="CT132" s="1109"/>
      <c r="CU132" s="1115"/>
      <c r="CV132" s="1115" t="s">
        <v>504</v>
      </c>
      <c r="CW132" s="1115"/>
      <c r="CX132" s="1115"/>
      <c r="CY132" s="1115" t="s">
        <v>504</v>
      </c>
      <c r="CZ132" s="1115"/>
      <c r="DA132" s="1115"/>
      <c r="DB132" s="1109" t="s">
        <v>504</v>
      </c>
      <c r="DC132" s="1109"/>
      <c r="DD132" s="1115"/>
      <c r="DE132" s="1109" t="s">
        <v>504</v>
      </c>
      <c r="DF132" s="1109"/>
      <c r="DG132" s="1115"/>
      <c r="DH132" s="1109" t="s">
        <v>504</v>
      </c>
      <c r="DI132" s="1109"/>
      <c r="DJ132" s="1115"/>
      <c r="DK132" s="1109" t="s">
        <v>500</v>
      </c>
      <c r="DL132" s="1104" t="s">
        <v>3210</v>
      </c>
      <c r="DM132" s="1115">
        <v>67</v>
      </c>
      <c r="DN132" s="1109" t="s">
        <v>504</v>
      </c>
      <c r="DO132" s="1137" t="s">
        <v>3211</v>
      </c>
      <c r="DP132" s="1115"/>
      <c r="DQ132" s="1109" t="s">
        <v>504</v>
      </c>
      <c r="DR132" s="1109"/>
      <c r="DS132" s="1115"/>
      <c r="DT132" s="1115" t="s">
        <v>504</v>
      </c>
      <c r="DU132" s="1115"/>
      <c r="DV132" s="1115"/>
      <c r="DW132" s="1109" t="s">
        <v>504</v>
      </c>
      <c r="DX132" s="1109"/>
      <c r="DY132" s="1115"/>
      <c r="DZ132" s="1109" t="s">
        <v>504</v>
      </c>
      <c r="EA132" s="1109"/>
      <c r="EB132" s="1115"/>
      <c r="EC132" s="1109" t="s">
        <v>504</v>
      </c>
      <c r="ED132" s="1109"/>
      <c r="EE132" s="1115"/>
      <c r="EF132" s="1115" t="s">
        <v>504</v>
      </c>
      <c r="EG132" s="1115"/>
      <c r="EH132" s="1115"/>
      <c r="EI132" s="1109" t="s">
        <v>500</v>
      </c>
      <c r="EJ132" s="1109" t="s">
        <v>3212</v>
      </c>
      <c r="EK132" s="1115">
        <v>22</v>
      </c>
      <c r="EL132" s="1115"/>
      <c r="EM132" s="1115"/>
      <c r="EN132" s="1115"/>
      <c r="EO132" s="1109" t="s">
        <v>504</v>
      </c>
      <c r="EP132" s="1109"/>
      <c r="EQ132" s="1131" t="s">
        <v>3204</v>
      </c>
      <c r="ER132" s="1131" t="s">
        <v>3213</v>
      </c>
      <c r="ES132" s="1109" t="s">
        <v>504</v>
      </c>
      <c r="ET132" s="1109" t="s">
        <v>3214</v>
      </c>
      <c r="EU132" s="1109"/>
      <c r="EV132" s="1109" t="s">
        <v>3215</v>
      </c>
      <c r="EW132" s="1109">
        <v>12</v>
      </c>
      <c r="EX132" s="1109">
        <v>230</v>
      </c>
    </row>
    <row r="133" spans="3:154" ht="62.1" customHeight="1" x14ac:dyDescent="0.2">
      <c r="C133" s="1156" t="s">
        <v>693</v>
      </c>
      <c r="D133" s="1156" t="s">
        <v>5277</v>
      </c>
      <c r="E133" s="738" t="s">
        <v>339</v>
      </c>
      <c r="F133" s="738" t="s">
        <v>424</v>
      </c>
      <c r="G133" s="738"/>
      <c r="H133" s="738" t="s">
        <v>1859</v>
      </c>
      <c r="I133" s="738" t="s">
        <v>1860</v>
      </c>
      <c r="J133" s="1165">
        <v>2017</v>
      </c>
      <c r="K133" s="1096">
        <v>43723</v>
      </c>
      <c r="L133" s="1096">
        <v>44196</v>
      </c>
      <c r="M133" s="1369">
        <f t="shared" si="14"/>
        <v>473</v>
      </c>
      <c r="N133" s="738" t="s">
        <v>1861</v>
      </c>
      <c r="O133" s="632" t="s">
        <v>1862</v>
      </c>
      <c r="P133" s="653" t="s">
        <v>1863</v>
      </c>
      <c r="Q133" s="632" t="s">
        <v>465</v>
      </c>
      <c r="R133" s="632" t="s">
        <v>465</v>
      </c>
      <c r="S133" s="738" t="s">
        <v>1864</v>
      </c>
      <c r="T133" s="653" t="s">
        <v>1865</v>
      </c>
      <c r="U133" s="738" t="s">
        <v>465</v>
      </c>
      <c r="V133" s="738" t="s">
        <v>465</v>
      </c>
      <c r="W133" s="738" t="s">
        <v>465</v>
      </c>
      <c r="X133" s="738" t="s">
        <v>465</v>
      </c>
      <c r="Y133" s="738"/>
      <c r="Z133" s="738"/>
      <c r="AA133" s="738" t="s">
        <v>1866</v>
      </c>
      <c r="AB133" s="738" t="s">
        <v>1866</v>
      </c>
      <c r="AC133" s="738" t="s">
        <v>469</v>
      </c>
      <c r="AD133" s="738" t="s">
        <v>1879</v>
      </c>
      <c r="AE133" s="702">
        <v>231.30797294000001</v>
      </c>
      <c r="AF133" s="671">
        <f t="shared" si="10"/>
        <v>231.31176630000002</v>
      </c>
      <c r="AG133" s="671">
        <f t="shared" si="11"/>
        <v>3.7933600000030765E-3</v>
      </c>
      <c r="AH133" s="702">
        <v>207.636</v>
      </c>
      <c r="AI133" s="683">
        <f>AH133/AE133</f>
        <v>0.89766036752161416</v>
      </c>
      <c r="AJ133" s="683">
        <f>AH133/141203.5485</f>
        <v>1.4704729605290337E-3</v>
      </c>
      <c r="AK133" s="702">
        <v>0.11976630000000001</v>
      </c>
      <c r="AL133" s="683">
        <f>AK133/AE133</f>
        <v>5.1777852046227006E-4</v>
      </c>
      <c r="AM133" s="683"/>
      <c r="AN133" s="702">
        <v>23.396000000000001</v>
      </c>
      <c r="AO133" s="683">
        <f>AN133/AE133</f>
        <v>0.10114653508320179</v>
      </c>
      <c r="AP133" s="702">
        <v>0.16</v>
      </c>
      <c r="AQ133" s="683">
        <f>AP133/AE133</f>
        <v>6.9171848236075759E-4</v>
      </c>
      <c r="AR133" s="702"/>
      <c r="AS133" s="683" t="s">
        <v>465</v>
      </c>
      <c r="AT133" s="632" t="s">
        <v>465</v>
      </c>
      <c r="AU133" s="632" t="s">
        <v>465</v>
      </c>
      <c r="AV133" s="632" t="s">
        <v>465</v>
      </c>
      <c r="AW133" s="632" t="s">
        <v>504</v>
      </c>
      <c r="AX133" s="632" t="s">
        <v>465</v>
      </c>
      <c r="AY133" s="632" t="s">
        <v>465</v>
      </c>
      <c r="AZ133" s="683" t="s">
        <v>465</v>
      </c>
      <c r="BA133" s="706">
        <v>154.00703562999999</v>
      </c>
      <c r="BB133" s="683">
        <f>BA133/156520.5185</f>
        <v>9.8394151198777174E-4</v>
      </c>
      <c r="BC133" s="710">
        <v>475</v>
      </c>
      <c r="BD133" s="822">
        <v>475</v>
      </c>
      <c r="BE133" s="1201">
        <v>185</v>
      </c>
      <c r="BF133" s="710">
        <v>27</v>
      </c>
      <c r="BG133" s="710" t="s">
        <v>465</v>
      </c>
      <c r="BH133" s="710" t="s">
        <v>465</v>
      </c>
      <c r="BI133" s="710" t="s">
        <v>465</v>
      </c>
      <c r="BJ133" s="710" t="s">
        <v>465</v>
      </c>
      <c r="BK133" s="710">
        <v>54</v>
      </c>
      <c r="BL133" s="710" t="s">
        <v>465</v>
      </c>
      <c r="BM133" s="710" t="s">
        <v>465</v>
      </c>
      <c r="BN133" s="710">
        <v>103</v>
      </c>
      <c r="BO133" s="710" t="s">
        <v>465</v>
      </c>
      <c r="BP133" s="710" t="s">
        <v>465</v>
      </c>
      <c r="BQ133" s="710" t="s">
        <v>465</v>
      </c>
      <c r="BR133" s="710" t="s">
        <v>465</v>
      </c>
      <c r="BS133" s="710" t="s">
        <v>465</v>
      </c>
      <c r="BT133" s="710" t="s">
        <v>465</v>
      </c>
      <c r="BU133" s="710" t="s">
        <v>465</v>
      </c>
      <c r="BV133" s="710" t="s">
        <v>465</v>
      </c>
      <c r="BW133" s="710" t="s">
        <v>465</v>
      </c>
      <c r="BX133" s="710" t="s">
        <v>465</v>
      </c>
      <c r="BY133" s="710" t="s">
        <v>465</v>
      </c>
      <c r="BZ133" s="710">
        <v>1</v>
      </c>
      <c r="CA133" s="717">
        <f>SUM(BF133:BZ133)</f>
        <v>185</v>
      </c>
      <c r="CB133" s="717">
        <f t="shared" si="12"/>
        <v>185</v>
      </c>
      <c r="CC133" s="717">
        <f t="shared" si="13"/>
        <v>0</v>
      </c>
      <c r="CD133" s="671" t="s">
        <v>465</v>
      </c>
      <c r="CE133" s="632" t="s">
        <v>465</v>
      </c>
      <c r="CF133" s="632" t="s">
        <v>465</v>
      </c>
      <c r="CG133" s="683" t="s">
        <v>465</v>
      </c>
      <c r="CH133" s="671" t="s">
        <v>465</v>
      </c>
      <c r="CI133" s="683" t="s">
        <v>465</v>
      </c>
      <c r="CJ133" s="632" t="s">
        <v>504</v>
      </c>
      <c r="CK133" s="632" t="s">
        <v>465</v>
      </c>
      <c r="CL133" s="632" t="s">
        <v>465</v>
      </c>
      <c r="CM133" s="710" t="s">
        <v>465</v>
      </c>
      <c r="CN133" s="710" t="s">
        <v>465</v>
      </c>
      <c r="CO133" s="710">
        <v>5</v>
      </c>
      <c r="CP133" s="738" t="s">
        <v>500</v>
      </c>
      <c r="CQ133" s="738" t="s">
        <v>1867</v>
      </c>
      <c r="CR133" s="822" t="s">
        <v>1868</v>
      </c>
      <c r="CS133" s="738" t="s">
        <v>500</v>
      </c>
      <c r="CT133" s="738" t="s">
        <v>1869</v>
      </c>
      <c r="CU133" s="822" t="s">
        <v>1868</v>
      </c>
      <c r="CV133" s="710" t="s">
        <v>500</v>
      </c>
      <c r="CW133" s="710" t="s">
        <v>1870</v>
      </c>
      <c r="CX133" s="822"/>
      <c r="CY133" s="710" t="s">
        <v>504</v>
      </c>
      <c r="CZ133" s="710" t="s">
        <v>465</v>
      </c>
      <c r="DA133" s="710" t="s">
        <v>465</v>
      </c>
      <c r="DB133" s="738" t="s">
        <v>504</v>
      </c>
      <c r="DC133" s="738" t="s">
        <v>465</v>
      </c>
      <c r="DD133" s="822" t="s">
        <v>465</v>
      </c>
      <c r="DE133" s="738" t="s">
        <v>504</v>
      </c>
      <c r="DF133" s="738" t="s">
        <v>465</v>
      </c>
      <c r="DG133" s="822" t="s">
        <v>465</v>
      </c>
      <c r="DH133" s="738" t="s">
        <v>504</v>
      </c>
      <c r="DI133" s="738" t="s">
        <v>465</v>
      </c>
      <c r="DJ133" s="822" t="s">
        <v>465</v>
      </c>
      <c r="DK133" s="738" t="s">
        <v>500</v>
      </c>
      <c r="DL133" s="738" t="s">
        <v>1871</v>
      </c>
      <c r="DM133" s="822" t="s">
        <v>1868</v>
      </c>
      <c r="DN133" s="738" t="s">
        <v>504</v>
      </c>
      <c r="DO133" s="738" t="s">
        <v>465</v>
      </c>
      <c r="DP133" s="822" t="s">
        <v>465</v>
      </c>
      <c r="DQ133" s="738" t="s">
        <v>500</v>
      </c>
      <c r="DR133" s="738" t="s">
        <v>1870</v>
      </c>
      <c r="DS133" s="822" t="s">
        <v>1868</v>
      </c>
      <c r="DT133" s="738" t="s">
        <v>500</v>
      </c>
      <c r="DU133" s="738" t="s">
        <v>1870</v>
      </c>
      <c r="DV133" s="822" t="s">
        <v>1868</v>
      </c>
      <c r="DW133" s="738" t="s">
        <v>504</v>
      </c>
      <c r="DX133" s="738" t="s">
        <v>465</v>
      </c>
      <c r="DY133" s="822" t="s">
        <v>465</v>
      </c>
      <c r="DZ133" s="738" t="s">
        <v>504</v>
      </c>
      <c r="EA133" s="738" t="s">
        <v>465</v>
      </c>
      <c r="EB133" s="822" t="s">
        <v>465</v>
      </c>
      <c r="EC133" s="738"/>
      <c r="ED133" s="738"/>
      <c r="EE133" s="738"/>
      <c r="EF133" s="738" t="s">
        <v>500</v>
      </c>
      <c r="EG133" s="738" t="s">
        <v>1880</v>
      </c>
      <c r="EH133" s="738">
        <v>11</v>
      </c>
      <c r="EI133" s="738" t="s">
        <v>504</v>
      </c>
      <c r="EJ133" s="738" t="s">
        <v>465</v>
      </c>
      <c r="EK133" s="822" t="s">
        <v>465</v>
      </c>
      <c r="EL133" s="1200">
        <v>1</v>
      </c>
      <c r="EM133" s="738" t="s">
        <v>504</v>
      </c>
      <c r="EN133" s="710">
        <v>99</v>
      </c>
      <c r="EO133" s="738" t="s">
        <v>500</v>
      </c>
      <c r="EP133" s="738" t="s">
        <v>1872</v>
      </c>
      <c r="EQ133" s="653" t="s">
        <v>1873</v>
      </c>
      <c r="ER133" s="653" t="s">
        <v>1874</v>
      </c>
      <c r="ES133" s="653" t="s">
        <v>1875</v>
      </c>
      <c r="ET133" s="738" t="s">
        <v>1876</v>
      </c>
      <c r="EU133" s="738" t="s">
        <v>1877</v>
      </c>
      <c r="EV133" s="738" t="s">
        <v>1878</v>
      </c>
      <c r="EW133" s="738">
        <v>6</v>
      </c>
      <c r="EX133" s="738">
        <v>114</v>
      </c>
    </row>
    <row r="134" spans="3:154" x14ac:dyDescent="0.2">
      <c r="C134" s="1156"/>
      <c r="D134" s="1156"/>
      <c r="E134" s="1454" t="s">
        <v>340</v>
      </c>
      <c r="F134" s="1454" t="s">
        <v>425</v>
      </c>
      <c r="G134" s="1454"/>
      <c r="H134" s="1460"/>
      <c r="I134" s="1460"/>
      <c r="J134" s="1460"/>
      <c r="K134" s="1460"/>
      <c r="L134" s="1460"/>
      <c r="M134" s="1369">
        <f t="shared" si="14"/>
        <v>0</v>
      </c>
      <c r="N134" s="1460"/>
      <c r="O134" s="1460"/>
      <c r="P134" s="1460"/>
      <c r="Q134" s="1460"/>
      <c r="R134" s="1460"/>
      <c r="S134" s="1460"/>
      <c r="T134" s="1460"/>
      <c r="U134" s="1460"/>
      <c r="V134" s="1460"/>
      <c r="W134" s="1460"/>
      <c r="X134" s="1460"/>
      <c r="Y134" s="1460"/>
      <c r="Z134" s="1460"/>
      <c r="AA134" s="1460"/>
      <c r="AB134" s="1460"/>
      <c r="AC134" s="1460"/>
      <c r="AD134" s="1460"/>
      <c r="AE134" s="1461"/>
      <c r="AF134" s="1462">
        <f t="shared" si="10"/>
        <v>0</v>
      </c>
      <c r="AG134" s="1462">
        <f t="shared" si="11"/>
        <v>0</v>
      </c>
      <c r="AH134" s="1461"/>
      <c r="AI134" s="1460"/>
      <c r="AJ134" s="1460"/>
      <c r="AK134" s="1461"/>
      <c r="AL134" s="1460"/>
      <c r="AM134" s="1460"/>
      <c r="AN134" s="1461"/>
      <c r="AO134" s="1460"/>
      <c r="AP134" s="1461"/>
      <c r="AQ134" s="1460"/>
      <c r="AR134" s="1461"/>
      <c r="AS134" s="1460"/>
      <c r="AT134" s="1460"/>
      <c r="AU134" s="1460"/>
      <c r="AV134" s="1460"/>
      <c r="AW134" s="1460"/>
      <c r="AX134" s="1460"/>
      <c r="AY134" s="1460"/>
      <c r="AZ134" s="1460"/>
      <c r="BA134" s="1460"/>
      <c r="BB134" s="1460"/>
      <c r="BC134" s="1460"/>
      <c r="BD134" s="1460"/>
      <c r="BE134" s="1463"/>
      <c r="BF134" s="1460"/>
      <c r="BG134" s="1460"/>
      <c r="BH134" s="1460"/>
      <c r="BI134" s="1460"/>
      <c r="BJ134" s="1460"/>
      <c r="BK134" s="1460"/>
      <c r="BL134" s="1460"/>
      <c r="BM134" s="1460"/>
      <c r="BN134" s="1460"/>
      <c r="BO134" s="1460"/>
      <c r="BP134" s="1460"/>
      <c r="BQ134" s="1460"/>
      <c r="BR134" s="1460"/>
      <c r="BS134" s="1460"/>
      <c r="BT134" s="1460"/>
      <c r="BU134" s="1460"/>
      <c r="BV134" s="1460"/>
      <c r="BW134" s="1460"/>
      <c r="BX134" s="1460"/>
      <c r="BY134" s="1460"/>
      <c r="BZ134" s="1460"/>
      <c r="CA134" s="1460"/>
      <c r="CB134" s="1464">
        <f t="shared" si="12"/>
        <v>0</v>
      </c>
      <c r="CC134" s="1464">
        <f t="shared" si="13"/>
        <v>0</v>
      </c>
      <c r="CD134" s="1460"/>
      <c r="CE134" s="1460"/>
      <c r="CF134" s="1460"/>
      <c r="CG134" s="1460"/>
      <c r="CH134" s="1460"/>
      <c r="CI134" s="1460"/>
      <c r="CJ134" s="1460"/>
      <c r="CK134" s="1460"/>
      <c r="CL134" s="1460"/>
      <c r="CM134" s="1460"/>
      <c r="CN134" s="1460"/>
      <c r="CO134" s="1460"/>
      <c r="CP134" s="1460"/>
      <c r="CQ134" s="1460"/>
      <c r="CR134" s="1460"/>
      <c r="CS134" s="1460"/>
      <c r="CT134" s="1460"/>
      <c r="CU134" s="1460"/>
      <c r="CV134" s="1460"/>
      <c r="CW134" s="1460"/>
      <c r="CX134" s="1460"/>
      <c r="CY134" s="1460"/>
      <c r="CZ134" s="1460"/>
      <c r="DA134" s="1460"/>
      <c r="DB134" s="1460"/>
      <c r="DC134" s="1460"/>
      <c r="DD134" s="1460"/>
      <c r="DE134" s="1460"/>
      <c r="DF134" s="1460"/>
      <c r="DG134" s="1460"/>
      <c r="DH134" s="1460"/>
      <c r="DI134" s="1460"/>
      <c r="DJ134" s="1460"/>
      <c r="DK134" s="1460"/>
      <c r="DL134" s="1460"/>
      <c r="DM134" s="1460"/>
      <c r="DN134" s="1460"/>
      <c r="DO134" s="1460"/>
      <c r="DP134" s="1460"/>
      <c r="DQ134" s="1460"/>
      <c r="DR134" s="1460"/>
      <c r="DS134" s="1460"/>
      <c r="DT134" s="1460"/>
      <c r="DU134" s="1460"/>
      <c r="DV134" s="1460"/>
      <c r="DW134" s="1460"/>
      <c r="DX134" s="1460"/>
      <c r="DY134" s="1460"/>
      <c r="DZ134" s="1460"/>
      <c r="EA134" s="1460"/>
      <c r="EB134" s="1460"/>
      <c r="EC134" s="1460"/>
      <c r="ED134" s="1460"/>
      <c r="EE134" s="1460"/>
      <c r="EF134" s="1460"/>
      <c r="EG134" s="1460"/>
      <c r="EH134" s="1460"/>
      <c r="EI134" s="1460"/>
      <c r="EJ134" s="1460"/>
      <c r="EK134" s="1460"/>
      <c r="EL134" s="1460"/>
      <c r="EM134" s="1460"/>
      <c r="EN134" s="1460"/>
      <c r="EO134" s="1460"/>
      <c r="EP134" s="1460"/>
      <c r="EQ134" s="1460"/>
      <c r="ER134" s="1460"/>
      <c r="ES134" s="1460"/>
      <c r="ET134" s="1460"/>
      <c r="EU134" s="1460"/>
      <c r="EV134" s="1460"/>
      <c r="EW134" s="1460"/>
      <c r="EX134" s="1460"/>
    </row>
    <row r="135" spans="3:154" ht="60" customHeight="1" x14ac:dyDescent="0.2">
      <c r="C135" s="1156" t="s">
        <v>1423</v>
      </c>
      <c r="D135" s="1156" t="s">
        <v>5277</v>
      </c>
      <c r="E135" s="738" t="s">
        <v>341</v>
      </c>
      <c r="F135" s="738" t="s">
        <v>426</v>
      </c>
      <c r="G135" s="738"/>
      <c r="H135" s="632" t="s">
        <v>1627</v>
      </c>
      <c r="I135" s="632"/>
      <c r="J135" s="637">
        <v>2019</v>
      </c>
      <c r="K135" s="377">
        <v>43891</v>
      </c>
      <c r="L135" s="377">
        <v>44104</v>
      </c>
      <c r="M135" s="1369">
        <f t="shared" si="14"/>
        <v>213</v>
      </c>
      <c r="N135" s="738" t="s">
        <v>1629</v>
      </c>
      <c r="O135" s="738" t="s">
        <v>1630</v>
      </c>
      <c r="P135" s="632" t="s">
        <v>1631</v>
      </c>
      <c r="Q135" s="632"/>
      <c r="R135" s="632"/>
      <c r="S135" s="632"/>
      <c r="T135" s="632"/>
      <c r="U135" s="632"/>
      <c r="V135" s="632"/>
      <c r="W135" s="632"/>
      <c r="X135" s="632"/>
      <c r="Y135" s="632"/>
      <c r="Z135" s="632"/>
      <c r="AA135" s="738" t="s">
        <v>1632</v>
      </c>
      <c r="AB135" s="738" t="s">
        <v>1633</v>
      </c>
      <c r="AC135" s="738" t="s">
        <v>622</v>
      </c>
      <c r="AD135" s="738" t="s">
        <v>1634</v>
      </c>
      <c r="AE135" s="702">
        <f>AH135+AK135+AN135+AP135</f>
        <v>14.3164</v>
      </c>
      <c r="AF135" s="671">
        <f t="shared" si="10"/>
        <v>14.3164</v>
      </c>
      <c r="AG135" s="671">
        <f t="shared" si="11"/>
        <v>0</v>
      </c>
      <c r="AH135" s="702">
        <v>11.9864</v>
      </c>
      <c r="AI135" s="683">
        <f>AH135/AE135</f>
        <v>0.83724958788522252</v>
      </c>
      <c r="AJ135" s="683">
        <f>AH135/46673.9</f>
        <v>2.568116227698992E-4</v>
      </c>
      <c r="AK135" s="702">
        <v>2.2400000000000002</v>
      </c>
      <c r="AL135" s="683">
        <f>AK135/AE135</f>
        <v>0.15646391550948563</v>
      </c>
      <c r="AM135" s="683"/>
      <c r="AN135" s="702">
        <v>0.04</v>
      </c>
      <c r="AO135" s="683">
        <f>AN135/AE135</f>
        <v>2.7939984912408147E-3</v>
      </c>
      <c r="AP135" s="702">
        <v>0.05</v>
      </c>
      <c r="AQ135" s="683">
        <f>AP135/AE135</f>
        <v>3.4924981140510188E-3</v>
      </c>
      <c r="AR135" s="702">
        <v>0</v>
      </c>
      <c r="AS135" s="683">
        <v>0</v>
      </c>
      <c r="AT135" s="632" t="s">
        <v>1628</v>
      </c>
      <c r="AU135" s="632"/>
      <c r="AV135" s="632"/>
      <c r="AW135" s="632" t="s">
        <v>500</v>
      </c>
      <c r="AX135" s="632" t="s">
        <v>1635</v>
      </c>
      <c r="AY135" s="632"/>
      <c r="AZ135" s="683"/>
      <c r="BA135" s="671">
        <v>20</v>
      </c>
      <c r="BB135" s="683">
        <f>BA135/47508</f>
        <v>4.2098172939294433E-4</v>
      </c>
      <c r="BC135" s="710">
        <v>148</v>
      </c>
      <c r="BD135" s="710">
        <v>148</v>
      </c>
      <c r="BE135" s="706">
        <v>78</v>
      </c>
      <c r="BF135" s="710">
        <v>2</v>
      </c>
      <c r="BG135" s="710">
        <v>3</v>
      </c>
      <c r="BH135" s="710">
        <v>2</v>
      </c>
      <c r="BI135" s="710"/>
      <c r="BJ135" s="710"/>
      <c r="BK135" s="710">
        <v>1</v>
      </c>
      <c r="BL135" s="710"/>
      <c r="BM135" s="710">
        <v>2</v>
      </c>
      <c r="BN135" s="710">
        <v>5</v>
      </c>
      <c r="BO135" s="710">
        <v>8</v>
      </c>
      <c r="BP135" s="710">
        <v>22</v>
      </c>
      <c r="BQ135" s="710">
        <v>25</v>
      </c>
      <c r="BR135" s="710">
        <v>4</v>
      </c>
      <c r="BS135" s="710">
        <v>3</v>
      </c>
      <c r="BT135" s="710">
        <v>1</v>
      </c>
      <c r="BU135" s="710"/>
      <c r="BV135" s="710"/>
      <c r="BW135" s="710"/>
      <c r="BX135" s="710"/>
      <c r="BY135" s="710"/>
      <c r="BZ135" s="710"/>
      <c r="CA135" s="717">
        <f>SUM(BF135:BZ135)</f>
        <v>78</v>
      </c>
      <c r="CB135" s="717">
        <f t="shared" si="12"/>
        <v>78</v>
      </c>
      <c r="CC135" s="717">
        <f t="shared" si="13"/>
        <v>0</v>
      </c>
      <c r="CD135" s="671">
        <v>11</v>
      </c>
      <c r="CE135" s="632" t="s">
        <v>1636</v>
      </c>
      <c r="CF135" s="632"/>
      <c r="CG135" s="683">
        <f>CD135/CH135</f>
        <v>1.7474019310379885E-2</v>
      </c>
      <c r="CH135" s="671">
        <v>629.50599999999997</v>
      </c>
      <c r="CI135" s="1203" t="s">
        <v>1637</v>
      </c>
      <c r="CJ135" s="632" t="s">
        <v>504</v>
      </c>
      <c r="CK135" s="632"/>
      <c r="CL135" s="632"/>
      <c r="CM135" s="710"/>
      <c r="CN135" s="710"/>
      <c r="CO135" s="710">
        <v>2</v>
      </c>
      <c r="CP135" s="632" t="s">
        <v>504</v>
      </c>
      <c r="CQ135" s="632"/>
      <c r="CR135" s="710"/>
      <c r="CS135" s="632" t="s">
        <v>504</v>
      </c>
      <c r="CT135" s="632"/>
      <c r="CU135" s="710"/>
      <c r="CV135" s="710" t="s">
        <v>500</v>
      </c>
      <c r="CW135" s="710"/>
      <c r="CX135" s="710">
        <v>63</v>
      </c>
      <c r="CY135" s="710" t="s">
        <v>504</v>
      </c>
      <c r="CZ135" s="710"/>
      <c r="DA135" s="710"/>
      <c r="DB135" s="632" t="s">
        <v>504</v>
      </c>
      <c r="DC135" s="632"/>
      <c r="DD135" s="710"/>
      <c r="DE135" s="632" t="s">
        <v>504</v>
      </c>
      <c r="DF135" s="632"/>
      <c r="DG135" s="710"/>
      <c r="DH135" s="632" t="s">
        <v>504</v>
      </c>
      <c r="DI135" s="632"/>
      <c r="DJ135" s="710"/>
      <c r="DK135" s="632" t="s">
        <v>504</v>
      </c>
      <c r="DL135" s="632"/>
      <c r="DM135" s="710"/>
      <c r="DN135" s="632" t="s">
        <v>504</v>
      </c>
      <c r="DO135" s="632"/>
      <c r="DP135" s="710"/>
      <c r="DQ135" s="632" t="s">
        <v>504</v>
      </c>
      <c r="DR135" s="632"/>
      <c r="DS135" s="710"/>
      <c r="DT135" s="710" t="s">
        <v>500</v>
      </c>
      <c r="DU135" s="710"/>
      <c r="DV135" s="710">
        <v>148</v>
      </c>
      <c r="DW135" s="632" t="s">
        <v>504</v>
      </c>
      <c r="DX135" s="632"/>
      <c r="DY135" s="710"/>
      <c r="DZ135" s="632" t="s">
        <v>504</v>
      </c>
      <c r="EA135" s="632"/>
      <c r="EB135" s="710"/>
      <c r="EC135" s="632" t="s">
        <v>504</v>
      </c>
      <c r="ED135" s="738"/>
      <c r="EE135" s="822"/>
      <c r="EF135" s="710" t="s">
        <v>500</v>
      </c>
      <c r="EG135" s="738" t="s">
        <v>1638</v>
      </c>
      <c r="EH135" s="822">
        <v>7</v>
      </c>
      <c r="EI135" s="632" t="s">
        <v>504</v>
      </c>
      <c r="EJ135" s="632"/>
      <c r="EK135" s="710"/>
      <c r="EL135" s="632" t="s">
        <v>1639</v>
      </c>
      <c r="EM135" s="632" t="s">
        <v>1639</v>
      </c>
      <c r="EN135" s="700">
        <v>45</v>
      </c>
      <c r="EO135" s="632" t="s">
        <v>504</v>
      </c>
      <c r="EP135" s="632"/>
      <c r="EQ135" s="728" t="s">
        <v>1640</v>
      </c>
      <c r="ER135" s="632"/>
      <c r="ES135" s="632"/>
      <c r="ET135" s="632" t="s">
        <v>1641</v>
      </c>
      <c r="EU135" s="632"/>
      <c r="EV135" s="632" t="s">
        <v>504</v>
      </c>
      <c r="EW135" s="632"/>
      <c r="EX135" s="632"/>
    </row>
    <row r="136" spans="3:154" ht="68.099999999999994" customHeight="1" x14ac:dyDescent="0.2">
      <c r="C136" s="1156" t="s">
        <v>693</v>
      </c>
      <c r="D136" s="1156" t="s">
        <v>5277</v>
      </c>
      <c r="E136" s="738" t="s">
        <v>342</v>
      </c>
      <c r="F136" s="738" t="s">
        <v>427</v>
      </c>
      <c r="G136" s="738"/>
      <c r="H136" s="632" t="s">
        <v>2495</v>
      </c>
      <c r="I136" s="632" t="s">
        <v>2496</v>
      </c>
      <c r="J136" s="637">
        <v>2019</v>
      </c>
      <c r="K136" s="377">
        <v>43763</v>
      </c>
      <c r="L136" s="377">
        <v>44105</v>
      </c>
      <c r="M136" s="1369">
        <f t="shared" si="14"/>
        <v>342</v>
      </c>
      <c r="N136" s="632" t="s">
        <v>2499</v>
      </c>
      <c r="O136" s="632" t="s">
        <v>2499</v>
      </c>
      <c r="P136" s="632" t="s">
        <v>2499</v>
      </c>
      <c r="Q136" s="632" t="s">
        <v>2500</v>
      </c>
      <c r="R136" s="653" t="s">
        <v>2501</v>
      </c>
      <c r="S136" s="632" t="s">
        <v>2502</v>
      </c>
      <c r="T136" s="653" t="s">
        <v>2503</v>
      </c>
      <c r="U136" s="632" t="s">
        <v>2499</v>
      </c>
      <c r="V136" s="632" t="s">
        <v>2499</v>
      </c>
      <c r="W136" s="632" t="s">
        <v>2504</v>
      </c>
      <c r="X136" s="653" t="s">
        <v>2505</v>
      </c>
      <c r="Y136" s="653"/>
      <c r="Z136" s="653"/>
      <c r="AA136" s="632" t="s">
        <v>2506</v>
      </c>
      <c r="AB136" s="632" t="s">
        <v>2507</v>
      </c>
      <c r="AC136" s="632" t="s">
        <v>519</v>
      </c>
      <c r="AD136" s="632" t="s">
        <v>2508</v>
      </c>
      <c r="AE136" s="702">
        <v>257.81200000000001</v>
      </c>
      <c r="AF136" s="671">
        <f t="shared" si="10"/>
        <v>257.81240000000003</v>
      </c>
      <c r="AG136" s="671">
        <f t="shared" si="11"/>
        <v>4.0000000001327862E-4</v>
      </c>
      <c r="AH136" s="702">
        <v>197.3</v>
      </c>
      <c r="AI136" s="683">
        <v>0.76529999999999998</v>
      </c>
      <c r="AJ136" s="683">
        <v>8.9999999999999998E-4</v>
      </c>
      <c r="AK136" s="702">
        <v>37.875999999999998</v>
      </c>
      <c r="AL136" s="683">
        <v>0.1469</v>
      </c>
      <c r="AM136" s="683"/>
      <c r="AN136" s="702">
        <v>14.231999999999999</v>
      </c>
      <c r="AO136" s="683">
        <v>5.5199999999999999E-2</v>
      </c>
      <c r="AP136" s="702">
        <v>8.4044000000000008</v>
      </c>
      <c r="AQ136" s="683">
        <v>3.2599999999999997E-2</v>
      </c>
      <c r="AR136" s="702"/>
      <c r="AS136" s="683" t="s">
        <v>2499</v>
      </c>
      <c r="AT136" s="632" t="s">
        <v>2499</v>
      </c>
      <c r="AU136" s="632" t="s">
        <v>2499</v>
      </c>
      <c r="AV136" s="632" t="s">
        <v>2499</v>
      </c>
      <c r="AW136" s="632" t="s">
        <v>500</v>
      </c>
      <c r="AX136" s="632" t="s">
        <v>2509</v>
      </c>
      <c r="AY136" s="632" t="s">
        <v>2499</v>
      </c>
      <c r="AZ136" s="683" t="s">
        <v>2499</v>
      </c>
      <c r="BA136" s="710">
        <v>300</v>
      </c>
      <c r="BB136" s="683">
        <v>1.2999999999999999E-3</v>
      </c>
      <c r="BC136" s="710">
        <v>376</v>
      </c>
      <c r="BD136" s="710">
        <v>376</v>
      </c>
      <c r="BE136" s="706">
        <v>160</v>
      </c>
      <c r="BF136" s="710" t="s">
        <v>2499</v>
      </c>
      <c r="BG136" s="710">
        <v>8</v>
      </c>
      <c r="BH136" s="710">
        <v>1</v>
      </c>
      <c r="BI136" s="710" t="s">
        <v>2499</v>
      </c>
      <c r="BJ136" s="710" t="s">
        <v>2499</v>
      </c>
      <c r="BK136" s="710">
        <v>7</v>
      </c>
      <c r="BL136" s="710">
        <v>23</v>
      </c>
      <c r="BM136" s="710">
        <v>27</v>
      </c>
      <c r="BN136" s="710">
        <v>22</v>
      </c>
      <c r="BO136" s="710">
        <v>3</v>
      </c>
      <c r="BP136" s="710">
        <v>13</v>
      </c>
      <c r="BQ136" s="710">
        <v>39</v>
      </c>
      <c r="BR136" s="710">
        <v>5</v>
      </c>
      <c r="BS136" s="710">
        <v>1</v>
      </c>
      <c r="BT136" s="710" t="s">
        <v>2499</v>
      </c>
      <c r="BU136" s="710" t="s">
        <v>2499</v>
      </c>
      <c r="BV136" s="710" t="s">
        <v>2499</v>
      </c>
      <c r="BW136" s="710" t="s">
        <v>2499</v>
      </c>
      <c r="BX136" s="710">
        <v>1</v>
      </c>
      <c r="BY136" s="710">
        <v>5</v>
      </c>
      <c r="BZ136" s="710">
        <v>5</v>
      </c>
      <c r="CA136" s="717">
        <f>SUM(BF136:BZ136)</f>
        <v>160</v>
      </c>
      <c r="CB136" s="717">
        <f t="shared" si="12"/>
        <v>160</v>
      </c>
      <c r="CC136" s="717">
        <f t="shared" si="13"/>
        <v>0</v>
      </c>
      <c r="CD136" s="700">
        <v>645.346</v>
      </c>
      <c r="CE136" s="632" t="s">
        <v>2510</v>
      </c>
      <c r="CF136" s="632" t="s">
        <v>2499</v>
      </c>
      <c r="CG136" s="683">
        <v>0.15373000000000001</v>
      </c>
      <c r="CH136" s="700">
        <v>4197.8</v>
      </c>
      <c r="CI136" s="733" t="s">
        <v>2511</v>
      </c>
      <c r="CJ136" s="632" t="s">
        <v>504</v>
      </c>
      <c r="CK136" s="632" t="s">
        <v>2499</v>
      </c>
      <c r="CL136" s="632" t="s">
        <v>2499</v>
      </c>
      <c r="CM136" s="710" t="s">
        <v>2499</v>
      </c>
      <c r="CN136" s="710" t="s">
        <v>2499</v>
      </c>
      <c r="CO136" s="710">
        <v>20</v>
      </c>
      <c r="CP136" s="710" t="s">
        <v>2499</v>
      </c>
      <c r="CQ136" s="710" t="s">
        <v>2499</v>
      </c>
      <c r="CR136" s="710" t="s">
        <v>2499</v>
      </c>
      <c r="CS136" s="710" t="s">
        <v>2499</v>
      </c>
      <c r="CT136" s="710" t="s">
        <v>2499</v>
      </c>
      <c r="CU136" s="710" t="s">
        <v>2499</v>
      </c>
      <c r="CV136" s="710" t="s">
        <v>2499</v>
      </c>
      <c r="CW136" s="710" t="s">
        <v>2499</v>
      </c>
      <c r="CX136" s="710" t="s">
        <v>2499</v>
      </c>
      <c r="CY136" s="710" t="s">
        <v>2499</v>
      </c>
      <c r="CZ136" s="710" t="s">
        <v>2499</v>
      </c>
      <c r="DA136" s="710" t="s">
        <v>2499</v>
      </c>
      <c r="DB136" s="710" t="s">
        <v>2499</v>
      </c>
      <c r="DC136" s="710" t="s">
        <v>2499</v>
      </c>
      <c r="DD136" s="710" t="s">
        <v>2499</v>
      </c>
      <c r="DE136" s="710" t="s">
        <v>2499</v>
      </c>
      <c r="DF136" s="710" t="s">
        <v>2499</v>
      </c>
      <c r="DG136" s="710" t="s">
        <v>2499</v>
      </c>
      <c r="DH136" s="710" t="s">
        <v>2499</v>
      </c>
      <c r="DI136" s="710" t="s">
        <v>2499</v>
      </c>
      <c r="DJ136" s="710" t="s">
        <v>2499</v>
      </c>
      <c r="DK136" s="710" t="s">
        <v>2499</v>
      </c>
      <c r="DL136" s="710" t="s">
        <v>2499</v>
      </c>
      <c r="DM136" s="710" t="s">
        <v>2499</v>
      </c>
      <c r="DN136" s="710" t="s">
        <v>2499</v>
      </c>
      <c r="DO136" s="710" t="s">
        <v>2499</v>
      </c>
      <c r="DP136" s="710" t="s">
        <v>2499</v>
      </c>
      <c r="DQ136" s="632" t="s">
        <v>500</v>
      </c>
      <c r="DR136" s="632" t="s">
        <v>2512</v>
      </c>
      <c r="DS136" s="710">
        <v>34835</v>
      </c>
      <c r="DT136" s="710" t="s">
        <v>2499</v>
      </c>
      <c r="DU136" s="710" t="s">
        <v>2499</v>
      </c>
      <c r="DV136" s="710" t="s">
        <v>2499</v>
      </c>
      <c r="DW136" s="710" t="s">
        <v>2499</v>
      </c>
      <c r="DX136" s="710" t="s">
        <v>2499</v>
      </c>
      <c r="DY136" s="710" t="s">
        <v>2499</v>
      </c>
      <c r="DZ136" s="710" t="s">
        <v>2499</v>
      </c>
      <c r="EA136" s="710" t="s">
        <v>2499</v>
      </c>
      <c r="EB136" s="710" t="s">
        <v>2499</v>
      </c>
      <c r="EC136" s="710" t="s">
        <v>2499</v>
      </c>
      <c r="ED136" s="710" t="s">
        <v>2499</v>
      </c>
      <c r="EE136" s="710" t="s">
        <v>2499</v>
      </c>
      <c r="EF136" s="710" t="s">
        <v>2499</v>
      </c>
      <c r="EG136" s="710" t="s">
        <v>2499</v>
      </c>
      <c r="EH136" s="710" t="s">
        <v>2499</v>
      </c>
      <c r="EI136" s="710" t="s">
        <v>2499</v>
      </c>
      <c r="EJ136" s="710" t="s">
        <v>2499</v>
      </c>
      <c r="EK136" s="710" t="s">
        <v>2499</v>
      </c>
      <c r="EL136" s="632" t="s">
        <v>2513</v>
      </c>
      <c r="EM136" s="710" t="s">
        <v>2499</v>
      </c>
      <c r="EN136" s="710">
        <v>53</v>
      </c>
      <c r="EO136" s="632" t="s">
        <v>504</v>
      </c>
      <c r="EP136" s="632" t="s">
        <v>2499</v>
      </c>
      <c r="EQ136" s="653" t="s">
        <v>2514</v>
      </c>
      <c r="ER136" s="653" t="s">
        <v>2515</v>
      </c>
      <c r="ES136" s="653" t="s">
        <v>2516</v>
      </c>
      <c r="ET136" s="632" t="s">
        <v>2517</v>
      </c>
      <c r="EU136" s="653" t="s">
        <v>2519</v>
      </c>
      <c r="EV136" s="632" t="s">
        <v>2518</v>
      </c>
      <c r="EW136" s="632">
        <v>2</v>
      </c>
      <c r="EX136" s="632">
        <v>2442</v>
      </c>
    </row>
    <row r="137" spans="3:154" ht="68.099999999999994" customHeight="1" x14ac:dyDescent="0.2">
      <c r="C137" s="1156" t="s">
        <v>693</v>
      </c>
      <c r="D137" s="1156" t="s">
        <v>5278</v>
      </c>
      <c r="E137" s="1104" t="s">
        <v>342</v>
      </c>
      <c r="F137" s="1104" t="s">
        <v>427</v>
      </c>
      <c r="G137" s="1109" t="s">
        <v>3216</v>
      </c>
      <c r="H137" s="1109" t="s">
        <v>3217</v>
      </c>
      <c r="I137" s="1109" t="s">
        <v>219</v>
      </c>
      <c r="J137" s="1110" t="s">
        <v>2936</v>
      </c>
      <c r="K137" s="1105">
        <v>43831</v>
      </c>
      <c r="L137" s="1105">
        <v>44196</v>
      </c>
      <c r="M137" s="1369">
        <f t="shared" si="14"/>
        <v>365</v>
      </c>
      <c r="N137" s="1105"/>
      <c r="O137" s="1105"/>
      <c r="P137" s="1105"/>
      <c r="Q137" s="1105"/>
      <c r="R137" s="1105"/>
      <c r="S137" s="1105"/>
      <c r="T137" s="1105"/>
      <c r="U137" s="1105"/>
      <c r="V137" s="1105"/>
      <c r="W137" s="1105"/>
      <c r="X137" s="1105"/>
      <c r="Y137" s="1109" t="s">
        <v>3218</v>
      </c>
      <c r="Z137" s="1109"/>
      <c r="AA137" s="1109" t="s">
        <v>3219</v>
      </c>
      <c r="AB137" s="1109"/>
      <c r="AC137" s="1109"/>
      <c r="AD137" s="1109"/>
      <c r="AE137" s="1112">
        <v>11.814</v>
      </c>
      <c r="AF137" s="1113">
        <f t="shared" si="10"/>
        <v>11.8142</v>
      </c>
      <c r="AG137" s="1113">
        <f t="shared" si="11"/>
        <v>1.9999999999953388E-4</v>
      </c>
      <c r="AH137" s="1112"/>
      <c r="AI137" s="1113"/>
      <c r="AJ137" s="1113"/>
      <c r="AK137" s="1112"/>
      <c r="AL137" s="1114"/>
      <c r="AM137" s="1114"/>
      <c r="AN137" s="1112">
        <v>2.2128000000000001</v>
      </c>
      <c r="AO137" s="1114">
        <f>AN137/AE137*100%</f>
        <v>0.1873031995937024</v>
      </c>
      <c r="AP137" s="1112">
        <v>9.6013999999999999</v>
      </c>
      <c r="AQ137" s="1114">
        <f>AP137/AE137*100%</f>
        <v>0.81271372947350595</v>
      </c>
      <c r="AR137" s="1112"/>
      <c r="AS137" s="1114"/>
      <c r="AT137" s="1114"/>
      <c r="AU137" s="1114"/>
      <c r="AV137" s="1114"/>
      <c r="AW137" s="1114" t="s">
        <v>504</v>
      </c>
      <c r="AX137" s="1114"/>
      <c r="AY137" s="1114"/>
      <c r="AZ137" s="1114"/>
      <c r="BA137" s="1113"/>
      <c r="BB137" s="1114"/>
      <c r="BC137" s="1115">
        <v>98</v>
      </c>
      <c r="BD137" s="1115">
        <v>5</v>
      </c>
      <c r="BE137" s="1116">
        <v>5</v>
      </c>
      <c r="BF137" s="1115">
        <v>2</v>
      </c>
      <c r="BG137" s="1115">
        <v>48</v>
      </c>
      <c r="BH137" s="1115">
        <v>7</v>
      </c>
      <c r="BI137" s="1115"/>
      <c r="BJ137" s="1115"/>
      <c r="BK137" s="1115"/>
      <c r="BL137" s="1115"/>
      <c r="BM137" s="1115">
        <v>2</v>
      </c>
      <c r="BN137" s="1115">
        <v>4</v>
      </c>
      <c r="BO137" s="1115">
        <v>28</v>
      </c>
      <c r="BP137" s="1115">
        <v>7</v>
      </c>
      <c r="BQ137" s="1115"/>
      <c r="BR137" s="1115"/>
      <c r="BS137" s="1115"/>
      <c r="BT137" s="1115"/>
      <c r="BU137" s="1115"/>
      <c r="BV137" s="1115"/>
      <c r="BW137" s="1115"/>
      <c r="BX137" s="1115"/>
      <c r="BY137" s="1115"/>
      <c r="BZ137" s="1115"/>
      <c r="CA137" s="1117">
        <f>SUM(BF137:BZ137)</f>
        <v>98</v>
      </c>
      <c r="CB137" s="1117">
        <f t="shared" si="12"/>
        <v>98</v>
      </c>
      <c r="CC137" s="1117">
        <f t="shared" si="13"/>
        <v>0</v>
      </c>
      <c r="CD137" s="1113">
        <v>52.774000000000001</v>
      </c>
      <c r="CE137" s="1109" t="s">
        <v>3220</v>
      </c>
      <c r="CF137" s="1127"/>
      <c r="CG137" s="1109">
        <v>73</v>
      </c>
      <c r="CH137" s="1113">
        <v>72.260999999999996</v>
      </c>
      <c r="CI137" s="1114"/>
      <c r="CJ137" s="1109" t="s">
        <v>504</v>
      </c>
      <c r="CK137" s="1109"/>
      <c r="CL137" s="1109"/>
      <c r="CM137" s="1115"/>
      <c r="CN137" s="1115"/>
      <c r="CO137" s="1115">
        <v>12</v>
      </c>
      <c r="CP137" s="1109" t="s">
        <v>479</v>
      </c>
      <c r="CQ137" s="1109"/>
      <c r="CR137" s="1115"/>
      <c r="CS137" s="1109" t="s">
        <v>471</v>
      </c>
      <c r="CT137" s="1109" t="s">
        <v>1348</v>
      </c>
      <c r="CU137" s="1115">
        <v>1172</v>
      </c>
      <c r="CV137" s="1115" t="s">
        <v>504</v>
      </c>
      <c r="CW137" s="1115"/>
      <c r="CX137" s="1115"/>
      <c r="CY137" s="1115" t="s">
        <v>479</v>
      </c>
      <c r="CZ137" s="1115"/>
      <c r="DA137" s="1115"/>
      <c r="DB137" s="1109" t="s">
        <v>504</v>
      </c>
      <c r="DC137" s="1109"/>
      <c r="DD137" s="1115"/>
      <c r="DE137" s="1109" t="s">
        <v>479</v>
      </c>
      <c r="DF137" s="1109"/>
      <c r="DG137" s="1115"/>
      <c r="DH137" s="1115" t="s">
        <v>479</v>
      </c>
      <c r="DI137" s="1109"/>
      <c r="DJ137" s="1115"/>
      <c r="DK137" s="1109" t="s">
        <v>471</v>
      </c>
      <c r="DL137" s="1109" t="s">
        <v>3221</v>
      </c>
      <c r="DM137" s="1115">
        <v>7</v>
      </c>
      <c r="DN137" s="1115" t="s">
        <v>479</v>
      </c>
      <c r="DO137" s="1109"/>
      <c r="DP137" s="1115"/>
      <c r="DQ137" s="1115" t="s">
        <v>479</v>
      </c>
      <c r="DR137" s="1109"/>
      <c r="DS137" s="1115"/>
      <c r="DT137" s="1115" t="s">
        <v>479</v>
      </c>
      <c r="DU137" s="1115"/>
      <c r="DV137" s="1115"/>
      <c r="DW137" s="1115" t="s">
        <v>479</v>
      </c>
      <c r="DX137" s="1109"/>
      <c r="DY137" s="1115"/>
      <c r="DZ137" s="1115" t="s">
        <v>479</v>
      </c>
      <c r="EA137" s="1109"/>
      <c r="EB137" s="1115"/>
      <c r="EC137" s="1109" t="s">
        <v>471</v>
      </c>
      <c r="ED137" s="1109" t="s">
        <v>3222</v>
      </c>
      <c r="EE137" s="1115">
        <v>5</v>
      </c>
      <c r="EF137" s="1115" t="s">
        <v>479</v>
      </c>
      <c r="EG137" s="1115"/>
      <c r="EH137" s="1115"/>
      <c r="EI137" s="1109"/>
      <c r="EJ137" s="1109"/>
      <c r="EK137" s="1115"/>
      <c r="EL137" s="1115"/>
      <c r="EM137" s="1115"/>
      <c r="EN137" s="1115"/>
      <c r="EO137" s="1109" t="s">
        <v>479</v>
      </c>
      <c r="EP137" s="1109"/>
      <c r="EQ137" s="1109"/>
      <c r="ER137" s="1109"/>
      <c r="ES137" s="1109"/>
      <c r="ET137" s="1109"/>
      <c r="EU137" s="1109"/>
      <c r="EV137" s="1109"/>
      <c r="EW137" s="1109"/>
      <c r="EX137" s="1109"/>
    </row>
    <row r="138" spans="3:154" ht="78.95" customHeight="1" x14ac:dyDescent="0.2">
      <c r="C138" s="1156" t="s">
        <v>5478</v>
      </c>
      <c r="D138" s="1156" t="s">
        <v>5277</v>
      </c>
      <c r="E138" s="738" t="s">
        <v>343</v>
      </c>
      <c r="F138" s="738" t="s">
        <v>428</v>
      </c>
      <c r="G138" s="738"/>
      <c r="H138" s="738" t="s">
        <v>1982</v>
      </c>
      <c r="I138" s="738" t="s">
        <v>1982</v>
      </c>
      <c r="J138" s="1165">
        <v>2017</v>
      </c>
      <c r="K138" s="1096">
        <v>43845</v>
      </c>
      <c r="L138" s="1096">
        <v>44196</v>
      </c>
      <c r="M138" s="1369">
        <f t="shared" si="14"/>
        <v>351</v>
      </c>
      <c r="N138" s="738" t="s">
        <v>1983</v>
      </c>
      <c r="O138" s="738" t="s">
        <v>1984</v>
      </c>
      <c r="P138" s="738" t="s">
        <v>1985</v>
      </c>
      <c r="Q138" s="738" t="s">
        <v>1986</v>
      </c>
      <c r="R138" s="653" t="s">
        <v>1987</v>
      </c>
      <c r="S138" s="738" t="s">
        <v>504</v>
      </c>
      <c r="T138" s="738" t="s">
        <v>504</v>
      </c>
      <c r="U138" s="738" t="s">
        <v>504</v>
      </c>
      <c r="V138" s="738" t="s">
        <v>504</v>
      </c>
      <c r="W138" s="738" t="s">
        <v>1988</v>
      </c>
      <c r="X138" s="653" t="s">
        <v>1989</v>
      </c>
      <c r="Y138" s="653"/>
      <c r="Z138" s="653"/>
      <c r="AA138" s="738" t="s">
        <v>1990</v>
      </c>
      <c r="AB138" s="738" t="s">
        <v>1991</v>
      </c>
      <c r="AC138" s="697" t="s">
        <v>622</v>
      </c>
      <c r="AD138" s="697" t="s">
        <v>1992</v>
      </c>
      <c r="AE138" s="1167">
        <v>11.834</v>
      </c>
      <c r="AF138" s="671">
        <f t="shared" si="10"/>
        <v>11.835000000000001</v>
      </c>
      <c r="AG138" s="671">
        <f t="shared" si="11"/>
        <v>1.0000000000012221E-3</v>
      </c>
      <c r="AH138" s="1167">
        <v>2.08</v>
      </c>
      <c r="AI138" s="697">
        <v>14.48</v>
      </c>
      <c r="AJ138" s="1437">
        <v>3.0000000000000001E-5</v>
      </c>
      <c r="AK138" s="1167">
        <v>0.71799999999999997</v>
      </c>
      <c r="AL138" s="1168">
        <v>4.99E-2</v>
      </c>
      <c r="AM138" s="1168"/>
      <c r="AN138" s="1167">
        <v>0.22500000000000001</v>
      </c>
      <c r="AO138" s="1168">
        <v>1.5699999999999999E-2</v>
      </c>
      <c r="AP138" s="1167">
        <v>0.84</v>
      </c>
      <c r="AQ138" s="1168">
        <v>5.8400000000000001E-2</v>
      </c>
      <c r="AR138" s="1167">
        <v>7.9720000000000004</v>
      </c>
      <c r="AS138" s="738">
        <v>55.51</v>
      </c>
      <c r="AT138" s="738" t="s">
        <v>1994</v>
      </c>
      <c r="AU138" s="738" t="s">
        <v>825</v>
      </c>
      <c r="AV138" s="1168" t="s">
        <v>1990</v>
      </c>
      <c r="AW138" s="697" t="s">
        <v>500</v>
      </c>
      <c r="AX138" s="1168" t="s">
        <v>1995</v>
      </c>
      <c r="AY138" s="1232">
        <v>2.5259999999999998</v>
      </c>
      <c r="AZ138" s="1233">
        <f>17.59</f>
        <v>17.59</v>
      </c>
      <c r="BA138" s="822">
        <v>8.2685999999999993</v>
      </c>
      <c r="BB138" s="697">
        <v>1.0999999999999999E-2</v>
      </c>
      <c r="BC138" s="822">
        <v>13</v>
      </c>
      <c r="BD138" s="822">
        <v>13</v>
      </c>
      <c r="BE138" s="1201">
        <v>13</v>
      </c>
      <c r="BF138" s="822" t="s">
        <v>465</v>
      </c>
      <c r="BG138" s="822" t="s">
        <v>465</v>
      </c>
      <c r="BH138" s="822" t="s">
        <v>465</v>
      </c>
      <c r="BI138" s="822" t="s">
        <v>465</v>
      </c>
      <c r="BJ138" s="822" t="s">
        <v>465</v>
      </c>
      <c r="BK138" s="822" t="s">
        <v>465</v>
      </c>
      <c r="BL138" s="822" t="s">
        <v>465</v>
      </c>
      <c r="BM138" s="822" t="s">
        <v>465</v>
      </c>
      <c r="BN138" s="822">
        <v>3</v>
      </c>
      <c r="BO138" s="822" t="s">
        <v>465</v>
      </c>
      <c r="BP138" s="822">
        <v>3</v>
      </c>
      <c r="BQ138" s="822">
        <v>1</v>
      </c>
      <c r="BR138" s="822" t="s">
        <v>465</v>
      </c>
      <c r="BS138" s="822">
        <v>6</v>
      </c>
      <c r="BT138" s="822" t="s">
        <v>465</v>
      </c>
      <c r="BU138" s="822" t="s">
        <v>465</v>
      </c>
      <c r="BV138" s="1234" t="s">
        <v>465</v>
      </c>
      <c r="BW138" s="697" t="s">
        <v>465</v>
      </c>
      <c r="BX138" s="738" t="s">
        <v>465</v>
      </c>
      <c r="BY138" s="738" t="s">
        <v>465</v>
      </c>
      <c r="BZ138" s="1168" t="s">
        <v>465</v>
      </c>
      <c r="CA138" s="1235">
        <f>SUM(BF138:BZ138)</f>
        <v>13</v>
      </c>
      <c r="CB138" s="717">
        <f t="shared" si="12"/>
        <v>13</v>
      </c>
      <c r="CC138" s="717">
        <f t="shared" si="13"/>
        <v>0</v>
      </c>
      <c r="CD138" s="738">
        <v>9.4529999999999994</v>
      </c>
      <c r="CE138" s="738" t="s">
        <v>504</v>
      </c>
      <c r="CF138" s="738" t="s">
        <v>504</v>
      </c>
      <c r="CG138" s="822">
        <v>0.85</v>
      </c>
      <c r="CH138" s="1232">
        <v>1108.847</v>
      </c>
      <c r="CI138" s="1168" t="s">
        <v>1996</v>
      </c>
      <c r="CJ138" s="738" t="s">
        <v>504</v>
      </c>
      <c r="CK138" s="738" t="s">
        <v>504</v>
      </c>
      <c r="CL138" s="822" t="s">
        <v>504</v>
      </c>
      <c r="CM138" s="738" t="s">
        <v>504</v>
      </c>
      <c r="CN138" s="738" t="s">
        <v>504</v>
      </c>
      <c r="CO138" s="822">
        <v>2</v>
      </c>
      <c r="CP138" s="738" t="s">
        <v>504</v>
      </c>
      <c r="CQ138" s="738" t="s">
        <v>504</v>
      </c>
      <c r="CR138" s="822" t="s">
        <v>504</v>
      </c>
      <c r="CS138" s="738" t="s">
        <v>500</v>
      </c>
      <c r="CT138" s="738" t="s">
        <v>1997</v>
      </c>
      <c r="CU138" s="822">
        <v>1419</v>
      </c>
      <c r="CV138" s="738" t="s">
        <v>504</v>
      </c>
      <c r="CW138" s="738" t="s">
        <v>504</v>
      </c>
      <c r="CX138" s="822" t="s">
        <v>504</v>
      </c>
      <c r="CY138" s="738" t="s">
        <v>504</v>
      </c>
      <c r="CZ138" s="738" t="s">
        <v>504</v>
      </c>
      <c r="DA138" s="822" t="s">
        <v>504</v>
      </c>
      <c r="DB138" s="738" t="s">
        <v>504</v>
      </c>
      <c r="DC138" s="738" t="s">
        <v>504</v>
      </c>
      <c r="DD138" s="822" t="s">
        <v>504</v>
      </c>
      <c r="DE138" s="738" t="s">
        <v>504</v>
      </c>
      <c r="DF138" s="738" t="s">
        <v>504</v>
      </c>
      <c r="DG138" s="822" t="s">
        <v>504</v>
      </c>
      <c r="DH138" s="738" t="s">
        <v>504</v>
      </c>
      <c r="DI138" s="738" t="s">
        <v>504</v>
      </c>
      <c r="DJ138" s="822" t="s">
        <v>504</v>
      </c>
      <c r="DK138" s="738" t="s">
        <v>504</v>
      </c>
      <c r="DL138" s="738" t="s">
        <v>504</v>
      </c>
      <c r="DM138" s="822" t="s">
        <v>504</v>
      </c>
      <c r="DN138" s="738" t="s">
        <v>504</v>
      </c>
      <c r="DO138" s="738" t="s">
        <v>504</v>
      </c>
      <c r="DP138" s="822" t="s">
        <v>504</v>
      </c>
      <c r="DQ138" s="738" t="s">
        <v>500</v>
      </c>
      <c r="DR138" s="738" t="s">
        <v>1998</v>
      </c>
      <c r="DS138" s="822">
        <v>1419</v>
      </c>
      <c r="DT138" s="738" t="s">
        <v>504</v>
      </c>
      <c r="DU138" s="738" t="s">
        <v>504</v>
      </c>
      <c r="DV138" s="822" t="s">
        <v>504</v>
      </c>
      <c r="DW138" s="1200" t="s">
        <v>504</v>
      </c>
      <c r="DX138" s="738" t="s">
        <v>504</v>
      </c>
      <c r="DY138" s="1208" t="s">
        <v>504</v>
      </c>
      <c r="DZ138" s="738" t="s">
        <v>504</v>
      </c>
      <c r="EA138" s="738" t="s">
        <v>504</v>
      </c>
      <c r="EB138" s="738" t="s">
        <v>504</v>
      </c>
      <c r="EC138" s="738" t="s">
        <v>500</v>
      </c>
      <c r="ED138" s="738" t="s">
        <v>1999</v>
      </c>
      <c r="EE138" s="738">
        <v>6</v>
      </c>
      <c r="EF138" s="738" t="s">
        <v>504</v>
      </c>
      <c r="EG138" s="738" t="s">
        <v>504</v>
      </c>
      <c r="EH138" s="738" t="s">
        <v>504</v>
      </c>
      <c r="EI138" s="738" t="s">
        <v>504</v>
      </c>
      <c r="EJ138" s="738" t="s">
        <v>504</v>
      </c>
      <c r="EK138" s="738" t="s">
        <v>504</v>
      </c>
      <c r="EL138" s="738" t="s">
        <v>2000</v>
      </c>
      <c r="EM138" s="738" t="s">
        <v>2001</v>
      </c>
      <c r="EN138" s="738">
        <v>12</v>
      </c>
      <c r="EO138" s="738" t="s">
        <v>504</v>
      </c>
      <c r="EP138" s="738" t="s">
        <v>504</v>
      </c>
      <c r="EQ138" s="738" t="s">
        <v>2002</v>
      </c>
      <c r="ER138" s="632" t="s">
        <v>465</v>
      </c>
      <c r="ES138" s="632" t="s">
        <v>465</v>
      </c>
      <c r="ET138" s="632" t="s">
        <v>465</v>
      </c>
      <c r="EU138" s="632" t="s">
        <v>465</v>
      </c>
      <c r="EV138" s="632" t="s">
        <v>465</v>
      </c>
      <c r="EW138" s="632" t="s">
        <v>465</v>
      </c>
      <c r="EX138" s="632" t="s">
        <v>465</v>
      </c>
    </row>
    <row r="139" spans="3:154" ht="99" customHeight="1" x14ac:dyDescent="0.2">
      <c r="C139" s="1156" t="s">
        <v>693</v>
      </c>
      <c r="D139" s="1156" t="s">
        <v>5277</v>
      </c>
      <c r="E139" s="738" t="s">
        <v>343</v>
      </c>
      <c r="F139" s="738" t="s">
        <v>428</v>
      </c>
      <c r="G139" s="738"/>
      <c r="H139" s="632" t="s">
        <v>2003</v>
      </c>
      <c r="I139" s="632" t="s">
        <v>2004</v>
      </c>
      <c r="J139" s="637">
        <v>2017</v>
      </c>
      <c r="K139" s="377">
        <v>43843</v>
      </c>
      <c r="L139" s="377">
        <v>44195</v>
      </c>
      <c r="M139" s="1369">
        <f t="shared" si="14"/>
        <v>352</v>
      </c>
      <c r="N139" s="632" t="s">
        <v>2005</v>
      </c>
      <c r="O139" s="632" t="s">
        <v>2006</v>
      </c>
      <c r="P139" s="653" t="s">
        <v>2007</v>
      </c>
      <c r="Q139" s="632" t="s">
        <v>2008</v>
      </c>
      <c r="R139" s="632" t="s">
        <v>2008</v>
      </c>
      <c r="S139" s="632" t="s">
        <v>2008</v>
      </c>
      <c r="T139" s="632" t="s">
        <v>2008</v>
      </c>
      <c r="U139" s="632" t="s">
        <v>2009</v>
      </c>
      <c r="V139" s="632" t="s">
        <v>2008</v>
      </c>
      <c r="W139" s="632" t="s">
        <v>2010</v>
      </c>
      <c r="X139" s="653" t="s">
        <v>2011</v>
      </c>
      <c r="Y139" s="653"/>
      <c r="Z139" s="653"/>
      <c r="AA139" s="632" t="s">
        <v>2012</v>
      </c>
      <c r="AB139" s="632" t="s">
        <v>2012</v>
      </c>
      <c r="AC139" s="632" t="s">
        <v>1974</v>
      </c>
      <c r="AD139" s="632" t="s">
        <v>2013</v>
      </c>
      <c r="AE139" s="702">
        <v>241.95780730999999</v>
      </c>
      <c r="AF139" s="671">
        <f t="shared" ref="AF139:AF202" si="17">AH139+AK139+AN139+AP139+AR139</f>
        <v>241.95814364000003</v>
      </c>
      <c r="AG139" s="671">
        <f t="shared" ref="AG139:AG202" si="18">AF139-AE139</f>
        <v>3.3633000003874258E-4</v>
      </c>
      <c r="AH139" s="702">
        <v>168.84200000000001</v>
      </c>
      <c r="AI139" s="683">
        <v>0.69779999999999998</v>
      </c>
      <c r="AJ139" s="683">
        <f>AH139/67379.591</f>
        <v>2.5058329606067217E-3</v>
      </c>
      <c r="AK139" s="702">
        <v>39.370343640000002</v>
      </c>
      <c r="AL139" s="683">
        <v>0.16270000000000001</v>
      </c>
      <c r="AM139" s="683"/>
      <c r="AN139" s="702">
        <v>28.4114</v>
      </c>
      <c r="AO139" s="683">
        <v>0.1174</v>
      </c>
      <c r="AP139" s="702">
        <v>5.3343999999999996</v>
      </c>
      <c r="AQ139" s="683">
        <v>2.2100000000000002E-2</v>
      </c>
      <c r="AR139" s="702">
        <v>0</v>
      </c>
      <c r="AS139" s="683">
        <v>0</v>
      </c>
      <c r="AT139" s="632" t="s">
        <v>2008</v>
      </c>
      <c r="AU139" s="632" t="s">
        <v>2008</v>
      </c>
      <c r="AV139" s="632" t="s">
        <v>2008</v>
      </c>
      <c r="AW139" s="632" t="s">
        <v>504</v>
      </c>
      <c r="AX139" s="632" t="s">
        <v>2014</v>
      </c>
      <c r="AY139" s="632">
        <v>0</v>
      </c>
      <c r="AZ139" s="683">
        <v>0</v>
      </c>
      <c r="BA139" s="700">
        <v>177.45</v>
      </c>
      <c r="BB139" s="683">
        <f>BA139/69871.875</f>
        <v>2.5396484637058899E-3</v>
      </c>
      <c r="BC139" s="710">
        <v>0</v>
      </c>
      <c r="BD139" s="710">
        <v>314</v>
      </c>
      <c r="BE139" s="706">
        <v>202</v>
      </c>
      <c r="BF139" s="710">
        <v>6</v>
      </c>
      <c r="BG139" s="710">
        <v>19</v>
      </c>
      <c r="BH139" s="710">
        <v>0</v>
      </c>
      <c r="BI139" s="710">
        <v>1</v>
      </c>
      <c r="BJ139" s="710">
        <v>0</v>
      </c>
      <c r="BK139" s="710">
        <v>33</v>
      </c>
      <c r="BL139" s="710">
        <v>1</v>
      </c>
      <c r="BM139" s="710">
        <v>11</v>
      </c>
      <c r="BN139" s="710">
        <v>22</v>
      </c>
      <c r="BO139" s="710">
        <v>1</v>
      </c>
      <c r="BP139" s="710">
        <v>23</v>
      </c>
      <c r="BQ139" s="710">
        <v>42</v>
      </c>
      <c r="BR139" s="710">
        <v>39</v>
      </c>
      <c r="BS139" s="710">
        <v>2</v>
      </c>
      <c r="BT139" s="710">
        <v>0</v>
      </c>
      <c r="BU139" s="710">
        <v>0</v>
      </c>
      <c r="BV139" s="710">
        <v>0</v>
      </c>
      <c r="BW139" s="710">
        <v>0</v>
      </c>
      <c r="BX139" s="710">
        <v>0</v>
      </c>
      <c r="BY139" s="710">
        <v>0</v>
      </c>
      <c r="BZ139" s="710">
        <v>2</v>
      </c>
      <c r="CA139" s="717">
        <f>SUM(BF139:BZ139)</f>
        <v>202</v>
      </c>
      <c r="CB139" s="717">
        <f t="shared" ref="CB139:CB202" si="19">SUM(BF139:BZ139)</f>
        <v>202</v>
      </c>
      <c r="CC139" s="717">
        <f t="shared" ref="CC139:CC202" si="20">CB139-CA139</f>
        <v>0</v>
      </c>
      <c r="CD139" s="671">
        <v>500</v>
      </c>
      <c r="CE139" s="632" t="s">
        <v>2015</v>
      </c>
      <c r="CF139" s="632" t="s">
        <v>2008</v>
      </c>
      <c r="CG139" s="683">
        <v>0.45</v>
      </c>
      <c r="CH139" s="671">
        <v>1108.847</v>
      </c>
      <c r="CI139" s="1186" t="s">
        <v>2016</v>
      </c>
      <c r="CJ139" s="632" t="s">
        <v>504</v>
      </c>
      <c r="CK139" s="632" t="s">
        <v>2008</v>
      </c>
      <c r="CL139" s="632" t="s">
        <v>2008</v>
      </c>
      <c r="CM139" s="710">
        <v>0</v>
      </c>
      <c r="CN139" s="710">
        <v>0</v>
      </c>
      <c r="CO139" s="710">
        <v>10</v>
      </c>
      <c r="CP139" s="632" t="s">
        <v>504</v>
      </c>
      <c r="CQ139" s="632" t="s">
        <v>2008</v>
      </c>
      <c r="CR139" s="710">
        <v>0</v>
      </c>
      <c r="CS139" s="632" t="s">
        <v>504</v>
      </c>
      <c r="CT139" s="632" t="s">
        <v>2008</v>
      </c>
      <c r="CU139" s="710">
        <v>0</v>
      </c>
      <c r="CV139" s="710" t="s">
        <v>500</v>
      </c>
      <c r="CW139" s="710" t="s">
        <v>2017</v>
      </c>
      <c r="CX139" s="710">
        <v>25</v>
      </c>
      <c r="CY139" s="710" t="s">
        <v>504</v>
      </c>
      <c r="CZ139" s="710" t="s">
        <v>2008</v>
      </c>
      <c r="DA139" s="710">
        <v>0</v>
      </c>
      <c r="DB139" s="632" t="s">
        <v>504</v>
      </c>
      <c r="DC139" s="632" t="s">
        <v>2008</v>
      </c>
      <c r="DD139" s="710">
        <v>0</v>
      </c>
      <c r="DE139" s="632" t="s">
        <v>504</v>
      </c>
      <c r="DF139" s="632" t="s">
        <v>2008</v>
      </c>
      <c r="DG139" s="710">
        <v>0</v>
      </c>
      <c r="DH139" s="632" t="s">
        <v>504</v>
      </c>
      <c r="DI139" s="632" t="s">
        <v>2008</v>
      </c>
      <c r="DJ139" s="710">
        <v>0</v>
      </c>
      <c r="DK139" s="632" t="s">
        <v>504</v>
      </c>
      <c r="DL139" s="632" t="s">
        <v>2008</v>
      </c>
      <c r="DM139" s="710">
        <v>0</v>
      </c>
      <c r="DN139" s="632" t="s">
        <v>504</v>
      </c>
      <c r="DO139" s="632" t="s">
        <v>2008</v>
      </c>
      <c r="DP139" s="710">
        <v>0</v>
      </c>
      <c r="DQ139" s="632" t="s">
        <v>500</v>
      </c>
      <c r="DR139" s="632" t="s">
        <v>2018</v>
      </c>
      <c r="DS139" s="710">
        <v>6000</v>
      </c>
      <c r="DT139" s="710" t="s">
        <v>504</v>
      </c>
      <c r="DU139" s="710" t="s">
        <v>2008</v>
      </c>
      <c r="DV139" s="710">
        <v>0</v>
      </c>
      <c r="DW139" s="632" t="s">
        <v>504</v>
      </c>
      <c r="DX139" s="632" t="s">
        <v>2008</v>
      </c>
      <c r="DY139" s="710">
        <v>0</v>
      </c>
      <c r="DZ139" s="632" t="s">
        <v>504</v>
      </c>
      <c r="EA139" s="632" t="s">
        <v>2008</v>
      </c>
      <c r="EB139" s="710">
        <v>0</v>
      </c>
      <c r="EC139" s="632" t="s">
        <v>504</v>
      </c>
      <c r="ED139" s="632" t="s">
        <v>2008</v>
      </c>
      <c r="EE139" s="710">
        <v>0</v>
      </c>
      <c r="EF139" s="710" t="s">
        <v>500</v>
      </c>
      <c r="EG139" s="710" t="s">
        <v>2019</v>
      </c>
      <c r="EH139" s="710">
        <v>8</v>
      </c>
      <c r="EI139" s="632" t="s">
        <v>504</v>
      </c>
      <c r="EJ139" s="632" t="s">
        <v>2008</v>
      </c>
      <c r="EK139" s="710">
        <v>0</v>
      </c>
      <c r="EL139" s="688">
        <v>1</v>
      </c>
      <c r="EM139" s="632" t="s">
        <v>2008</v>
      </c>
      <c r="EN139" s="670">
        <v>194</v>
      </c>
      <c r="EO139" s="632" t="s">
        <v>504</v>
      </c>
      <c r="EP139" s="632" t="s">
        <v>2008</v>
      </c>
      <c r="EQ139" s="653" t="s">
        <v>2011</v>
      </c>
      <c r="ER139" s="1176" t="s">
        <v>2008</v>
      </c>
      <c r="ES139" s="632"/>
      <c r="ET139" s="653" t="s">
        <v>2020</v>
      </c>
      <c r="EU139" s="653" t="s">
        <v>2021</v>
      </c>
      <c r="EV139" s="632" t="s">
        <v>2022</v>
      </c>
      <c r="EW139" s="632">
        <v>12</v>
      </c>
      <c r="EX139" s="632">
        <v>300</v>
      </c>
    </row>
    <row r="140" spans="3:154" ht="90.95" customHeight="1" x14ac:dyDescent="0.2">
      <c r="C140" s="1156" t="s">
        <v>693</v>
      </c>
      <c r="D140" s="1156" t="s">
        <v>5277</v>
      </c>
      <c r="E140" s="738" t="s">
        <v>344</v>
      </c>
      <c r="F140" s="738" t="s">
        <v>429</v>
      </c>
      <c r="G140" s="738"/>
      <c r="H140" s="1422" t="s">
        <v>1665</v>
      </c>
      <c r="I140" s="1422" t="s">
        <v>1666</v>
      </c>
      <c r="J140" s="1438">
        <v>2017</v>
      </c>
      <c r="K140" s="1439">
        <v>43709</v>
      </c>
      <c r="L140" s="1439">
        <v>44196</v>
      </c>
      <c r="M140" s="1369">
        <f t="shared" ref="M140:M203" si="21">L140-K140</f>
        <v>487</v>
      </c>
      <c r="N140" s="1422" t="s">
        <v>1665</v>
      </c>
      <c r="O140" s="1422" t="s">
        <v>1668</v>
      </c>
      <c r="P140" s="1425" t="s">
        <v>1669</v>
      </c>
      <c r="Q140" s="1422" t="s">
        <v>1670</v>
      </c>
      <c r="R140" s="1426" t="s">
        <v>1669</v>
      </c>
      <c r="S140" s="1422" t="s">
        <v>1671</v>
      </c>
      <c r="T140" s="1422" t="s">
        <v>1672</v>
      </c>
      <c r="U140" s="1422" t="s">
        <v>1673</v>
      </c>
      <c r="V140" s="1426" t="s">
        <v>1669</v>
      </c>
      <c r="W140" s="1426" t="s">
        <v>1674</v>
      </c>
      <c r="X140" s="1426" t="s">
        <v>1669</v>
      </c>
      <c r="Y140" s="1426"/>
      <c r="Z140" s="1426"/>
      <c r="AA140" s="1426" t="s">
        <v>1675</v>
      </c>
      <c r="AB140" s="1422" t="s">
        <v>1676</v>
      </c>
      <c r="AC140" s="1422" t="s">
        <v>622</v>
      </c>
      <c r="AD140" s="1422" t="s">
        <v>1677</v>
      </c>
      <c r="AE140" s="1427">
        <v>349.31799999999998</v>
      </c>
      <c r="AF140" s="671">
        <f t="shared" si="17"/>
        <v>349.31800000000004</v>
      </c>
      <c r="AG140" s="671">
        <f t="shared" si="18"/>
        <v>0</v>
      </c>
      <c r="AH140" s="1427">
        <v>244.25800000000001</v>
      </c>
      <c r="AI140" s="1428">
        <v>0.69920000000000004</v>
      </c>
      <c r="AJ140" s="1428">
        <v>1.4E-3</v>
      </c>
      <c r="AK140" s="1427">
        <v>59.72</v>
      </c>
      <c r="AL140" s="1428">
        <v>0.1709</v>
      </c>
      <c r="AM140" s="1428"/>
      <c r="AN140" s="1427">
        <v>18.3</v>
      </c>
      <c r="AO140" s="1428">
        <v>5.2499999999999998E-2</v>
      </c>
      <c r="AP140" s="1427">
        <v>27.04</v>
      </c>
      <c r="AQ140" s="1428">
        <v>7.7399999999999997E-2</v>
      </c>
      <c r="AR140" s="1427">
        <v>0</v>
      </c>
      <c r="AS140" s="1428">
        <v>0</v>
      </c>
      <c r="AT140" s="1426" t="s">
        <v>465</v>
      </c>
      <c r="AU140" s="1426" t="s">
        <v>465</v>
      </c>
      <c r="AV140" s="1426" t="s">
        <v>465</v>
      </c>
      <c r="AW140" s="1422" t="s">
        <v>471</v>
      </c>
      <c r="AX140" s="1422" t="s">
        <v>1678</v>
      </c>
      <c r="AY140" s="1426" t="s">
        <v>465</v>
      </c>
      <c r="AZ140" s="1428" t="s">
        <v>465</v>
      </c>
      <c r="BA140" s="1429">
        <v>253</v>
      </c>
      <c r="BB140" s="1428">
        <v>1.5E-3</v>
      </c>
      <c r="BC140" s="1430">
        <v>291</v>
      </c>
      <c r="BD140" s="1430">
        <v>432</v>
      </c>
      <c r="BE140" s="1429">
        <v>277</v>
      </c>
      <c r="BF140" s="1430">
        <v>23</v>
      </c>
      <c r="BG140" s="1430">
        <v>36</v>
      </c>
      <c r="BH140" s="1430">
        <v>10</v>
      </c>
      <c r="BI140" s="1430">
        <v>3</v>
      </c>
      <c r="BJ140" s="1430">
        <v>0</v>
      </c>
      <c r="BK140" s="1430">
        <v>1</v>
      </c>
      <c r="BL140" s="1430">
        <v>0</v>
      </c>
      <c r="BM140" s="1430">
        <v>15</v>
      </c>
      <c r="BN140" s="1430">
        <v>32</v>
      </c>
      <c r="BO140" s="1430">
        <v>7</v>
      </c>
      <c r="BP140" s="1430">
        <v>43</v>
      </c>
      <c r="BQ140" s="1430">
        <v>55</v>
      </c>
      <c r="BR140" s="1430">
        <v>26</v>
      </c>
      <c r="BS140" s="1430">
        <v>0</v>
      </c>
      <c r="BT140" s="1430">
        <v>3</v>
      </c>
      <c r="BU140" s="1430">
        <v>0</v>
      </c>
      <c r="BV140" s="1430">
        <v>0</v>
      </c>
      <c r="BW140" s="1430">
        <v>6</v>
      </c>
      <c r="BX140" s="1430">
        <v>0</v>
      </c>
      <c r="BY140" s="1430">
        <v>0</v>
      </c>
      <c r="BZ140" s="1430">
        <v>17</v>
      </c>
      <c r="CA140" s="1431">
        <v>277</v>
      </c>
      <c r="CB140" s="717">
        <f t="shared" si="19"/>
        <v>277</v>
      </c>
      <c r="CC140" s="717">
        <f t="shared" si="20"/>
        <v>0</v>
      </c>
      <c r="CD140" s="1432">
        <v>4948</v>
      </c>
      <c r="CE140" s="1426" t="s">
        <v>1679</v>
      </c>
      <c r="CF140" s="1426" t="s">
        <v>1669</v>
      </c>
      <c r="CG140" s="1428">
        <v>1.5565</v>
      </c>
      <c r="CH140" s="1432">
        <v>3179</v>
      </c>
      <c r="CI140" s="1428" t="s">
        <v>1680</v>
      </c>
      <c r="CJ140" s="1426" t="s">
        <v>504</v>
      </c>
      <c r="CK140" s="1426" t="s">
        <v>465</v>
      </c>
      <c r="CL140" s="1426" t="s">
        <v>465</v>
      </c>
      <c r="CM140" s="1430" t="s">
        <v>465</v>
      </c>
      <c r="CN140" s="1430" t="s">
        <v>465</v>
      </c>
      <c r="CO140" s="1430" t="s">
        <v>1681</v>
      </c>
      <c r="CP140" s="1426" t="s">
        <v>500</v>
      </c>
      <c r="CQ140" s="1426" t="s">
        <v>1682</v>
      </c>
      <c r="CR140" s="1430">
        <v>2717</v>
      </c>
      <c r="CS140" s="1426" t="s">
        <v>500</v>
      </c>
      <c r="CT140" s="1426" t="s">
        <v>1683</v>
      </c>
      <c r="CU140" s="1430">
        <v>21580</v>
      </c>
      <c r="CV140" s="1430" t="s">
        <v>500</v>
      </c>
      <c r="CW140" s="1430" t="s">
        <v>1684</v>
      </c>
      <c r="CX140" s="1430">
        <v>1230</v>
      </c>
      <c r="CY140" s="1430" t="s">
        <v>504</v>
      </c>
      <c r="CZ140" s="1430" t="s">
        <v>465</v>
      </c>
      <c r="DA140" s="1430" t="s">
        <v>465</v>
      </c>
      <c r="DB140" s="1426" t="s">
        <v>500</v>
      </c>
      <c r="DC140" s="1426" t="s">
        <v>1685</v>
      </c>
      <c r="DD140" s="1430" t="s">
        <v>465</v>
      </c>
      <c r="DE140" s="1426" t="s">
        <v>500</v>
      </c>
      <c r="DF140" s="1426" t="s">
        <v>1686</v>
      </c>
      <c r="DG140" s="1430">
        <v>5378</v>
      </c>
      <c r="DH140" s="1426" t="s">
        <v>500</v>
      </c>
      <c r="DI140" s="1426" t="s">
        <v>1687</v>
      </c>
      <c r="DJ140" s="1430">
        <v>851</v>
      </c>
      <c r="DK140" s="1426" t="s">
        <v>471</v>
      </c>
      <c r="DL140" s="1426" t="s">
        <v>1688</v>
      </c>
      <c r="DM140" s="1430">
        <v>8676</v>
      </c>
      <c r="DN140" s="1426" t="s">
        <v>479</v>
      </c>
      <c r="DO140" s="1426" t="s">
        <v>465</v>
      </c>
      <c r="DP140" s="1430" t="s">
        <v>465</v>
      </c>
      <c r="DQ140" s="1426" t="s">
        <v>479</v>
      </c>
      <c r="DR140" s="1426" t="s">
        <v>465</v>
      </c>
      <c r="DS140" s="1430" t="s">
        <v>465</v>
      </c>
      <c r="DT140" s="1430" t="s">
        <v>479</v>
      </c>
      <c r="DU140" s="1430" t="s">
        <v>465</v>
      </c>
      <c r="DV140" s="1430" t="s">
        <v>465</v>
      </c>
      <c r="DW140" s="1422" t="s">
        <v>479</v>
      </c>
      <c r="DX140" s="1422" t="s">
        <v>465</v>
      </c>
      <c r="DY140" s="1430" t="s">
        <v>465</v>
      </c>
      <c r="DZ140" s="1426" t="s">
        <v>479</v>
      </c>
      <c r="EA140" s="1426" t="s">
        <v>465</v>
      </c>
      <c r="EB140" s="1430" t="s">
        <v>465</v>
      </c>
      <c r="EC140" s="1426" t="s">
        <v>479</v>
      </c>
      <c r="ED140" s="1426" t="s">
        <v>465</v>
      </c>
      <c r="EE140" s="1430" t="s">
        <v>465</v>
      </c>
      <c r="EF140" s="1426" t="s">
        <v>471</v>
      </c>
      <c r="EG140" s="1422" t="s">
        <v>1689</v>
      </c>
      <c r="EH140" s="1435">
        <v>24</v>
      </c>
      <c r="EI140" s="1422" t="s">
        <v>471</v>
      </c>
      <c r="EJ140" s="1422" t="s">
        <v>1690</v>
      </c>
      <c r="EK140" s="1435">
        <v>3</v>
      </c>
      <c r="EL140" s="1426" t="s">
        <v>1691</v>
      </c>
      <c r="EM140" s="1426" t="s">
        <v>1692</v>
      </c>
      <c r="EN140" s="1436">
        <v>163</v>
      </c>
      <c r="EO140" s="1422" t="s">
        <v>471</v>
      </c>
      <c r="EP140" s="1422" t="s">
        <v>1693</v>
      </c>
      <c r="EQ140" s="1425" t="s">
        <v>1694</v>
      </c>
      <c r="ER140" s="1425" t="s">
        <v>1695</v>
      </c>
      <c r="ES140" s="1433" t="s">
        <v>1669</v>
      </c>
      <c r="ET140" s="1433" t="s">
        <v>1696</v>
      </c>
      <c r="EU140" s="1433" t="s">
        <v>1669</v>
      </c>
      <c r="EV140" s="1426" t="s">
        <v>1697</v>
      </c>
      <c r="EW140" s="1426">
        <v>5</v>
      </c>
      <c r="EX140" s="1426">
        <v>877</v>
      </c>
    </row>
    <row r="141" spans="3:154" ht="90.95" customHeight="1" x14ac:dyDescent="0.2">
      <c r="C141" s="1156" t="s">
        <v>5482</v>
      </c>
      <c r="D141" s="1156" t="s">
        <v>5278</v>
      </c>
      <c r="E141" s="1104" t="s">
        <v>344</v>
      </c>
      <c r="F141" s="1104" t="s">
        <v>429</v>
      </c>
      <c r="G141" s="1104" t="s">
        <v>3223</v>
      </c>
      <c r="H141" s="1104" t="s">
        <v>3224</v>
      </c>
      <c r="I141" s="1104" t="s">
        <v>3224</v>
      </c>
      <c r="J141" s="1122">
        <v>2018</v>
      </c>
      <c r="K141" s="1125">
        <v>44012</v>
      </c>
      <c r="L141" s="1125">
        <v>44196</v>
      </c>
      <c r="M141" s="1369">
        <f t="shared" si="21"/>
        <v>184</v>
      </c>
      <c r="N141" s="1125"/>
      <c r="O141" s="1125"/>
      <c r="P141" s="1125"/>
      <c r="Q141" s="1125"/>
      <c r="R141" s="1125"/>
      <c r="S141" s="1125"/>
      <c r="T141" s="1125"/>
      <c r="U141" s="1125"/>
      <c r="V141" s="1125"/>
      <c r="W141" s="1125"/>
      <c r="X141" s="1125"/>
      <c r="Y141" s="1104" t="s">
        <v>3226</v>
      </c>
      <c r="Z141" s="1131" t="s">
        <v>3227</v>
      </c>
      <c r="AA141" s="1104" t="s">
        <v>3228</v>
      </c>
      <c r="AB141" s="1104" t="s">
        <v>3228</v>
      </c>
      <c r="AC141" s="1182" t="s">
        <v>671</v>
      </c>
      <c r="AD141" s="1104" t="s">
        <v>3229</v>
      </c>
      <c r="AE141" s="1178">
        <v>0.3</v>
      </c>
      <c r="AF141" s="1113">
        <f>AH141+AK141+AN141+AP141+AR141</f>
        <v>0.3</v>
      </c>
      <c r="AG141" s="1113">
        <f t="shared" si="18"/>
        <v>0</v>
      </c>
      <c r="AH141" s="1178"/>
      <c r="AI141" s="1182"/>
      <c r="AJ141" s="1182"/>
      <c r="AK141" s="1178">
        <v>0.3</v>
      </c>
      <c r="AL141" s="1179">
        <v>0.40682000000000001</v>
      </c>
      <c r="AM141" s="1179">
        <v>5.0000000000000002E-5</v>
      </c>
      <c r="AN141" s="1178"/>
      <c r="AO141" s="1179"/>
      <c r="AP141" s="1178"/>
      <c r="AQ141" s="1179"/>
      <c r="AR141" s="1178"/>
      <c r="AS141" s="1179"/>
      <c r="AT141" s="1179"/>
      <c r="AU141" s="1179"/>
      <c r="AV141" s="1179"/>
      <c r="AW141" s="1114" t="s">
        <v>500</v>
      </c>
      <c r="AX141" s="1114" t="s">
        <v>3230</v>
      </c>
      <c r="AY141" s="1116">
        <v>0.437419</v>
      </c>
      <c r="AZ141" s="1114">
        <v>0.59319999999999995</v>
      </c>
      <c r="BA141" s="1182">
        <v>3.8</v>
      </c>
      <c r="BB141" s="1179">
        <v>1.8699999999999999E-3</v>
      </c>
      <c r="BC141" s="1130">
        <v>20</v>
      </c>
      <c r="BD141" s="1130">
        <v>20</v>
      </c>
      <c r="BE141" s="1180">
        <v>15</v>
      </c>
      <c r="BF141" s="1130"/>
      <c r="BG141" s="1130"/>
      <c r="BH141" s="1130"/>
      <c r="BI141" s="1130"/>
      <c r="BJ141" s="1130"/>
      <c r="BK141" s="1130"/>
      <c r="BL141" s="1130">
        <v>1</v>
      </c>
      <c r="BM141" s="1130"/>
      <c r="BN141" s="1130">
        <v>1</v>
      </c>
      <c r="BO141" s="1130"/>
      <c r="BP141" s="1130">
        <v>3</v>
      </c>
      <c r="BQ141" s="1130">
        <v>7</v>
      </c>
      <c r="BR141" s="1130"/>
      <c r="BS141" s="1130"/>
      <c r="BT141" s="1130"/>
      <c r="BU141" s="1130"/>
      <c r="BV141" s="1130"/>
      <c r="BW141" s="1130"/>
      <c r="BX141" s="1130">
        <v>1</v>
      </c>
      <c r="BY141" s="1130"/>
      <c r="BZ141" s="1130">
        <v>2</v>
      </c>
      <c r="CA141" s="1117">
        <f>SUM(BF141:BZ141)</f>
        <v>15</v>
      </c>
      <c r="CB141" s="1117">
        <f t="shared" si="19"/>
        <v>15</v>
      </c>
      <c r="CC141" s="1117">
        <f t="shared" si="20"/>
        <v>0</v>
      </c>
      <c r="CD141" s="1182">
        <v>7.12</v>
      </c>
      <c r="CE141" s="1104" t="s">
        <v>3231</v>
      </c>
      <c r="CF141" s="1104"/>
      <c r="CG141" s="1236">
        <v>4.2590000000000003E-2</v>
      </c>
      <c r="CH141" s="1182">
        <v>167.16</v>
      </c>
      <c r="CI141" s="1179" t="s">
        <v>3232</v>
      </c>
      <c r="CJ141" s="1104" t="s">
        <v>500</v>
      </c>
      <c r="CK141" s="1104" t="s">
        <v>3233</v>
      </c>
      <c r="CL141" s="1104" t="s">
        <v>3234</v>
      </c>
      <c r="CM141" s="1130">
        <v>10</v>
      </c>
      <c r="CN141" s="1130">
        <v>55</v>
      </c>
      <c r="CO141" s="1130"/>
      <c r="CP141" s="1104" t="s">
        <v>504</v>
      </c>
      <c r="CQ141" s="1104"/>
      <c r="CR141" s="1130"/>
      <c r="CS141" s="1104" t="s">
        <v>504</v>
      </c>
      <c r="CT141" s="1104"/>
      <c r="CU141" s="1130"/>
      <c r="CV141" s="1130" t="s">
        <v>504</v>
      </c>
      <c r="CW141" s="1130"/>
      <c r="CX141" s="1130"/>
      <c r="CY141" s="1104" t="s">
        <v>504</v>
      </c>
      <c r="CZ141" s="1104"/>
      <c r="DA141" s="1130"/>
      <c r="DB141" s="1104" t="s">
        <v>504</v>
      </c>
      <c r="DC141" s="1104"/>
      <c r="DD141" s="1130"/>
      <c r="DE141" s="1104" t="s">
        <v>504</v>
      </c>
      <c r="DF141" s="1104"/>
      <c r="DG141" s="1104"/>
      <c r="DH141" s="1104" t="s">
        <v>504</v>
      </c>
      <c r="DI141" s="1104"/>
      <c r="DJ141" s="1130"/>
      <c r="DK141" s="1104" t="s">
        <v>500</v>
      </c>
      <c r="DL141" s="1104" t="s">
        <v>3235</v>
      </c>
      <c r="DM141" s="1130">
        <v>20</v>
      </c>
      <c r="DN141" s="1104" t="s">
        <v>504</v>
      </c>
      <c r="DO141" s="1104"/>
      <c r="DP141" s="1130"/>
      <c r="DQ141" s="1104" t="s">
        <v>504</v>
      </c>
      <c r="DR141" s="1104"/>
      <c r="DS141" s="1130"/>
      <c r="DT141" s="1104" t="s">
        <v>504</v>
      </c>
      <c r="DU141" s="1104"/>
      <c r="DV141" s="1130"/>
      <c r="DW141" s="1104" t="s">
        <v>504</v>
      </c>
      <c r="DX141" s="1104"/>
      <c r="DY141" s="1130"/>
      <c r="DZ141" s="1104" t="s">
        <v>504</v>
      </c>
      <c r="EA141" s="1104"/>
      <c r="EB141" s="1130"/>
      <c r="EC141" s="1104" t="s">
        <v>504</v>
      </c>
      <c r="ED141" s="1104"/>
      <c r="EE141" s="1130"/>
      <c r="EF141" s="1104" t="s">
        <v>500</v>
      </c>
      <c r="EG141" s="1104" t="s">
        <v>3236</v>
      </c>
      <c r="EH141" s="1130">
        <v>9</v>
      </c>
      <c r="EI141" s="1104" t="s">
        <v>504</v>
      </c>
      <c r="EJ141" s="1104"/>
      <c r="EK141" s="1130"/>
      <c r="EL141" s="1130"/>
      <c r="EM141" s="1130"/>
      <c r="EN141" s="1130"/>
      <c r="EO141" s="1109" t="s">
        <v>504</v>
      </c>
      <c r="EP141" s="1109" t="s">
        <v>3237</v>
      </c>
      <c r="EQ141" s="1131" t="s">
        <v>3238</v>
      </c>
      <c r="ER141" s="1104" t="s">
        <v>3239</v>
      </c>
      <c r="ES141" s="1131" t="s">
        <v>3240</v>
      </c>
      <c r="ET141" s="1104" t="s">
        <v>3241</v>
      </c>
      <c r="EU141" s="1109" t="s">
        <v>3242</v>
      </c>
      <c r="EV141" s="1109" t="s">
        <v>3243</v>
      </c>
      <c r="EW141" s="1109">
        <v>21</v>
      </c>
      <c r="EX141" s="1109">
        <v>375</v>
      </c>
    </row>
    <row r="142" spans="3:154" ht="90.95" customHeight="1" x14ac:dyDescent="0.2">
      <c r="C142" s="1156" t="s">
        <v>5482</v>
      </c>
      <c r="D142" s="1156" t="s">
        <v>5278</v>
      </c>
      <c r="E142" s="1104" t="s">
        <v>344</v>
      </c>
      <c r="F142" s="1104" t="s">
        <v>429</v>
      </c>
      <c r="G142" s="1104" t="s">
        <v>3244</v>
      </c>
      <c r="H142" s="1104" t="s">
        <v>3245</v>
      </c>
      <c r="I142" s="1104" t="s">
        <v>3245</v>
      </c>
      <c r="J142" s="1122">
        <v>2013</v>
      </c>
      <c r="K142" s="1125">
        <v>43895</v>
      </c>
      <c r="L142" s="1125">
        <v>44377</v>
      </c>
      <c r="M142" s="1369">
        <f t="shared" si="21"/>
        <v>482</v>
      </c>
      <c r="N142" s="1125"/>
      <c r="O142" s="1125"/>
      <c r="P142" s="1125"/>
      <c r="Q142" s="1125"/>
      <c r="R142" s="1125"/>
      <c r="S142" s="1125"/>
      <c r="T142" s="1125"/>
      <c r="U142" s="1125"/>
      <c r="V142" s="1125"/>
      <c r="W142" s="1125"/>
      <c r="X142" s="1125"/>
      <c r="Y142" s="1104" t="s">
        <v>3247</v>
      </c>
      <c r="Z142" s="1120" t="s">
        <v>3248</v>
      </c>
      <c r="AA142" s="1104" t="s">
        <v>3249</v>
      </c>
      <c r="AB142" s="1104" t="s">
        <v>3250</v>
      </c>
      <c r="AC142" s="1104" t="s">
        <v>3251</v>
      </c>
      <c r="AD142" s="1104" t="s">
        <v>3252</v>
      </c>
      <c r="AE142" s="1178">
        <v>1.01</v>
      </c>
      <c r="AF142" s="1113">
        <f t="shared" si="17"/>
        <v>1.01</v>
      </c>
      <c r="AG142" s="1113">
        <f t="shared" si="18"/>
        <v>0</v>
      </c>
      <c r="AH142" s="1178"/>
      <c r="AI142" s="1182"/>
      <c r="AJ142" s="1182"/>
      <c r="AK142" s="1178">
        <v>1.01</v>
      </c>
      <c r="AL142" s="1114">
        <v>1</v>
      </c>
      <c r="AM142" s="1114">
        <v>1E-3</v>
      </c>
      <c r="AN142" s="1178"/>
      <c r="AO142" s="1114"/>
      <c r="AP142" s="1112"/>
      <c r="AQ142" s="1114"/>
      <c r="AR142" s="1112"/>
      <c r="AS142" s="1114"/>
      <c r="AT142" s="1114"/>
      <c r="AU142" s="1114"/>
      <c r="AV142" s="1114"/>
      <c r="AW142" s="1114" t="s">
        <v>504</v>
      </c>
      <c r="AX142" s="1114"/>
      <c r="AY142" s="1114"/>
      <c r="AZ142" s="1114"/>
      <c r="BA142" s="1182">
        <v>1.01</v>
      </c>
      <c r="BB142" s="1114">
        <v>1E-3</v>
      </c>
      <c r="BC142" s="1115">
        <v>21</v>
      </c>
      <c r="BD142" s="1115">
        <v>21</v>
      </c>
      <c r="BE142" s="1116">
        <v>13</v>
      </c>
      <c r="BF142" s="1115"/>
      <c r="BG142" s="1115"/>
      <c r="BH142" s="1115"/>
      <c r="BI142" s="1115"/>
      <c r="BJ142" s="1115"/>
      <c r="BK142" s="1115"/>
      <c r="BL142" s="1115"/>
      <c r="BM142" s="1115"/>
      <c r="BN142" s="1115"/>
      <c r="BO142" s="1115"/>
      <c r="BP142" s="1115"/>
      <c r="BQ142" s="1115">
        <v>1</v>
      </c>
      <c r="BR142" s="1115"/>
      <c r="BS142" s="1115"/>
      <c r="BT142" s="1115">
        <v>9</v>
      </c>
      <c r="BU142" s="1115"/>
      <c r="BV142" s="1115"/>
      <c r="BW142" s="1115"/>
      <c r="BX142" s="1115">
        <v>3</v>
      </c>
      <c r="BY142" s="1115"/>
      <c r="BZ142" s="1115"/>
      <c r="CA142" s="1117">
        <f>SUM(BF142:BZ142)</f>
        <v>13</v>
      </c>
      <c r="CB142" s="1117">
        <f t="shared" si="19"/>
        <v>13</v>
      </c>
      <c r="CC142" s="1117">
        <f t="shared" si="20"/>
        <v>0</v>
      </c>
      <c r="CD142" s="1113">
        <v>1.0349999999999999</v>
      </c>
      <c r="CE142" s="1109" t="s">
        <v>3253</v>
      </c>
      <c r="CF142" s="1109"/>
      <c r="CG142" s="1237">
        <v>2.1999999999999999E-2</v>
      </c>
      <c r="CH142" s="1113">
        <v>47.067</v>
      </c>
      <c r="CI142" s="1121" t="s">
        <v>3254</v>
      </c>
      <c r="CJ142" s="1104" t="s">
        <v>500</v>
      </c>
      <c r="CK142" s="1104" t="s">
        <v>3250</v>
      </c>
      <c r="CL142" s="1104" t="s">
        <v>3255</v>
      </c>
      <c r="CM142" s="1115">
        <v>1</v>
      </c>
      <c r="CN142" s="1115">
        <v>0</v>
      </c>
      <c r="CO142" s="1115" t="s">
        <v>465</v>
      </c>
      <c r="CP142" s="1104" t="s">
        <v>504</v>
      </c>
      <c r="CQ142" s="1104"/>
      <c r="CR142" s="1130"/>
      <c r="CS142" s="1104" t="s">
        <v>504</v>
      </c>
      <c r="CT142" s="1104"/>
      <c r="CU142" s="1130"/>
      <c r="CV142" s="1104" t="s">
        <v>504</v>
      </c>
      <c r="CW142" s="1104"/>
      <c r="CX142" s="1130"/>
      <c r="CY142" s="1104" t="s">
        <v>504</v>
      </c>
      <c r="CZ142" s="1104"/>
      <c r="DA142" s="1130"/>
      <c r="DB142" s="1104" t="s">
        <v>504</v>
      </c>
      <c r="DC142" s="1104"/>
      <c r="DD142" s="1130"/>
      <c r="DE142" s="1104" t="s">
        <v>500</v>
      </c>
      <c r="DF142" s="1104" t="s">
        <v>3256</v>
      </c>
      <c r="DG142" s="1130" t="s">
        <v>3257</v>
      </c>
      <c r="DH142" s="1104" t="s">
        <v>504</v>
      </c>
      <c r="DI142" s="1104"/>
      <c r="DJ142" s="1130"/>
      <c r="DK142" s="1104" t="s">
        <v>504</v>
      </c>
      <c r="DL142" s="1104"/>
      <c r="DM142" s="1130"/>
      <c r="DN142" s="1104" t="s">
        <v>504</v>
      </c>
      <c r="DO142" s="1104"/>
      <c r="DP142" s="1130"/>
      <c r="DQ142" s="1104" t="s">
        <v>504</v>
      </c>
      <c r="DR142" s="1104"/>
      <c r="DS142" s="1130"/>
      <c r="DT142" s="1104" t="s">
        <v>504</v>
      </c>
      <c r="DU142" s="1104"/>
      <c r="DV142" s="1130"/>
      <c r="DW142" s="1104" t="s">
        <v>504</v>
      </c>
      <c r="DX142" s="1104"/>
      <c r="DY142" s="1130"/>
      <c r="DZ142" s="1104" t="s">
        <v>504</v>
      </c>
      <c r="EA142" s="1104"/>
      <c r="EB142" s="1130"/>
      <c r="EC142" s="1104" t="s">
        <v>500</v>
      </c>
      <c r="ED142" s="1104" t="s">
        <v>3258</v>
      </c>
      <c r="EE142" s="1130"/>
      <c r="EF142" s="1104" t="s">
        <v>500</v>
      </c>
      <c r="EG142" s="1104" t="s">
        <v>3259</v>
      </c>
      <c r="EH142" s="1115"/>
      <c r="EI142" s="1109" t="s">
        <v>504</v>
      </c>
      <c r="EJ142" s="1109"/>
      <c r="EK142" s="1115"/>
      <c r="EL142" s="1115"/>
      <c r="EM142" s="1115"/>
      <c r="EN142" s="1115"/>
      <c r="EO142" s="1104" t="s">
        <v>504</v>
      </c>
      <c r="EP142" s="1104" t="s">
        <v>465</v>
      </c>
      <c r="EQ142" s="1104" t="s">
        <v>504</v>
      </c>
      <c r="ER142" s="1135" t="s">
        <v>3260</v>
      </c>
      <c r="ES142" s="1109" t="s">
        <v>504</v>
      </c>
      <c r="ET142" s="1109" t="s">
        <v>3261</v>
      </c>
      <c r="EU142" s="1109" t="s">
        <v>504</v>
      </c>
      <c r="EV142" s="1104" t="s">
        <v>3262</v>
      </c>
      <c r="EW142" s="1104">
        <v>21</v>
      </c>
      <c r="EX142" s="1104">
        <v>21</v>
      </c>
    </row>
    <row r="143" spans="3:154" ht="90.95" customHeight="1" x14ac:dyDescent="0.2">
      <c r="C143" s="1156" t="s">
        <v>693</v>
      </c>
      <c r="D143" s="1156" t="s">
        <v>5278</v>
      </c>
      <c r="E143" s="1104" t="s">
        <v>344</v>
      </c>
      <c r="F143" s="1104" t="s">
        <v>429</v>
      </c>
      <c r="G143" s="1109" t="s">
        <v>3263</v>
      </c>
      <c r="H143" s="1109" t="s">
        <v>3264</v>
      </c>
      <c r="I143" s="1109" t="s">
        <v>3265</v>
      </c>
      <c r="J143" s="1110">
        <v>2019</v>
      </c>
      <c r="K143" s="1105">
        <v>43703</v>
      </c>
      <c r="L143" s="1105">
        <v>44196</v>
      </c>
      <c r="M143" s="1369">
        <f t="shared" si="21"/>
        <v>493</v>
      </c>
      <c r="N143" s="1105"/>
      <c r="O143" s="1105"/>
      <c r="P143" s="1105"/>
      <c r="Q143" s="1105"/>
      <c r="R143" s="1105"/>
      <c r="S143" s="1105"/>
      <c r="T143" s="1105"/>
      <c r="U143" s="1105"/>
      <c r="V143" s="1105"/>
      <c r="W143" s="1105"/>
      <c r="X143" s="1105"/>
      <c r="Y143" s="1109" t="s">
        <v>3267</v>
      </c>
      <c r="Z143" s="1238" t="s">
        <v>3268</v>
      </c>
      <c r="AA143" s="1109" t="s">
        <v>3269</v>
      </c>
      <c r="AB143" s="1109" t="s">
        <v>3270</v>
      </c>
      <c r="AC143" s="1109" t="s">
        <v>3271</v>
      </c>
      <c r="AD143" s="1109" t="s">
        <v>3269</v>
      </c>
      <c r="AE143" s="1112">
        <v>2.4580000000000002</v>
      </c>
      <c r="AF143" s="1113">
        <f t="shared" si="17"/>
        <v>2.4579999999999997</v>
      </c>
      <c r="AG143" s="1113">
        <f t="shared" si="18"/>
        <v>0</v>
      </c>
      <c r="AH143" s="1112"/>
      <c r="AI143" s="1113"/>
      <c r="AJ143" s="1113"/>
      <c r="AK143" s="1112">
        <v>2.4</v>
      </c>
      <c r="AL143" s="1114">
        <v>1</v>
      </c>
      <c r="AM143" s="1114">
        <v>1.1900000000000001E-2</v>
      </c>
      <c r="AN143" s="1112">
        <v>5.8000000000000003E-2</v>
      </c>
      <c r="AO143" s="1114">
        <v>2.4199999999999999E-2</v>
      </c>
      <c r="AP143" s="1112"/>
      <c r="AQ143" s="1114"/>
      <c r="AR143" s="1112"/>
      <c r="AS143" s="1114"/>
      <c r="AT143" s="1114"/>
      <c r="AU143" s="1114"/>
      <c r="AV143" s="1114"/>
      <c r="AW143" s="1113"/>
      <c r="AX143" s="1114"/>
      <c r="AY143" s="1113"/>
      <c r="AZ143" s="1114"/>
      <c r="BA143" s="1113">
        <f>2.4+2+1.5</f>
        <v>5.9</v>
      </c>
      <c r="BB143" s="1114">
        <f>5.9/212.795</f>
        <v>2.7726215371601779E-2</v>
      </c>
      <c r="BC143" s="1115">
        <v>43</v>
      </c>
      <c r="BD143" s="1115">
        <v>43</v>
      </c>
      <c r="BE143" s="1116">
        <v>8</v>
      </c>
      <c r="BF143" s="1115"/>
      <c r="BG143" s="1115"/>
      <c r="BH143" s="1115"/>
      <c r="BI143" s="1115"/>
      <c r="BJ143" s="1115"/>
      <c r="BK143" s="1115"/>
      <c r="BL143" s="1115"/>
      <c r="BM143" s="1115"/>
      <c r="BN143" s="1115"/>
      <c r="BO143" s="1115">
        <v>8</v>
      </c>
      <c r="BP143" s="1115"/>
      <c r="BQ143" s="1115"/>
      <c r="BR143" s="1115"/>
      <c r="BS143" s="1115"/>
      <c r="BT143" s="1115"/>
      <c r="BU143" s="1115"/>
      <c r="BV143" s="1115"/>
      <c r="BW143" s="1115"/>
      <c r="BX143" s="1117"/>
      <c r="BY143" s="1115"/>
      <c r="BZ143" s="1109"/>
      <c r="CA143" s="1117">
        <f>SUM(BG143:BZ143)</f>
        <v>8</v>
      </c>
      <c r="CB143" s="1117">
        <f t="shared" si="19"/>
        <v>8</v>
      </c>
      <c r="CC143" s="1117">
        <f t="shared" si="20"/>
        <v>0</v>
      </c>
      <c r="CD143" s="1205">
        <v>3.286</v>
      </c>
      <c r="CE143" s="1109" t="s">
        <v>3272</v>
      </c>
      <c r="CF143" s="1127" t="s">
        <v>3273</v>
      </c>
      <c r="CG143" s="1109">
        <v>3.6</v>
      </c>
      <c r="CH143" s="1239"/>
      <c r="CI143" s="1115"/>
      <c r="CJ143" s="1115" t="s">
        <v>504</v>
      </c>
      <c r="CK143" s="1115"/>
      <c r="CL143" s="1109"/>
      <c r="CM143" s="1109"/>
      <c r="CN143" s="1115"/>
      <c r="CO143" s="1109">
        <v>3</v>
      </c>
      <c r="CP143" s="1109" t="s">
        <v>504</v>
      </c>
      <c r="CQ143" s="1109"/>
      <c r="CR143" s="1115"/>
      <c r="CS143" s="1109" t="s">
        <v>3274</v>
      </c>
      <c r="CT143" s="1109" t="s">
        <v>3275</v>
      </c>
      <c r="CU143" s="1115">
        <v>387</v>
      </c>
      <c r="CV143" s="1109" t="s">
        <v>504</v>
      </c>
      <c r="CW143" s="1109"/>
      <c r="CX143" s="1115"/>
      <c r="CY143" s="1109" t="s">
        <v>504</v>
      </c>
      <c r="CZ143" s="1109"/>
      <c r="DA143" s="1115"/>
      <c r="DB143" s="1109" t="s">
        <v>504</v>
      </c>
      <c r="DC143" s="1109"/>
      <c r="DD143" s="1115"/>
      <c r="DE143" s="1109" t="s">
        <v>504</v>
      </c>
      <c r="DF143" s="1109"/>
      <c r="DG143" s="1115"/>
      <c r="DH143" s="1109" t="s">
        <v>504</v>
      </c>
      <c r="DI143" s="1109"/>
      <c r="DJ143" s="1115"/>
      <c r="DK143" s="1109" t="s">
        <v>500</v>
      </c>
      <c r="DL143" s="1109" t="s">
        <v>3276</v>
      </c>
      <c r="DM143" s="1115">
        <v>43</v>
      </c>
      <c r="DN143" s="1109" t="s">
        <v>504</v>
      </c>
      <c r="DO143" s="1109"/>
      <c r="DP143" s="1115"/>
      <c r="DQ143" s="1109" t="s">
        <v>504</v>
      </c>
      <c r="DR143" s="1109"/>
      <c r="DS143" s="1115"/>
      <c r="DT143" s="1109" t="s">
        <v>500</v>
      </c>
      <c r="DU143" s="1240" t="s">
        <v>3277</v>
      </c>
      <c r="DV143" s="1115">
        <v>12</v>
      </c>
      <c r="DW143" s="1109" t="s">
        <v>504</v>
      </c>
      <c r="DX143" s="1109"/>
      <c r="DY143" s="1115"/>
      <c r="DZ143" s="1109" t="s">
        <v>504</v>
      </c>
      <c r="EA143" s="1181"/>
      <c r="EB143" s="1115"/>
      <c r="EC143" s="1109" t="s">
        <v>500</v>
      </c>
      <c r="ED143" s="1240" t="s">
        <v>3277</v>
      </c>
      <c r="EE143" s="1115">
        <v>12</v>
      </c>
      <c r="EF143" s="1109"/>
      <c r="EG143" s="1109"/>
      <c r="EH143" s="1109"/>
      <c r="EI143" s="1109" t="s">
        <v>500</v>
      </c>
      <c r="EJ143" s="1181" t="s">
        <v>3278</v>
      </c>
      <c r="EK143" s="1115">
        <v>4203</v>
      </c>
      <c r="EL143" s="1115"/>
      <c r="EM143" s="1115"/>
      <c r="EN143" s="1115"/>
      <c r="EO143" s="1109" t="s">
        <v>500</v>
      </c>
      <c r="EP143" s="1109" t="s">
        <v>3279</v>
      </c>
      <c r="EQ143" s="1238" t="s">
        <v>3280</v>
      </c>
      <c r="ER143" s="1109" t="s">
        <v>3281</v>
      </c>
      <c r="ES143" s="1238" t="s">
        <v>3280</v>
      </c>
      <c r="ET143" s="1109" t="s">
        <v>3282</v>
      </c>
      <c r="EU143" s="1109" t="s">
        <v>3283</v>
      </c>
      <c r="EV143" s="1109" t="s">
        <v>3284</v>
      </c>
      <c r="EW143" s="1109"/>
      <c r="EX143" s="1109">
        <v>4203</v>
      </c>
    </row>
    <row r="144" spans="3:154" ht="90.95" customHeight="1" x14ac:dyDescent="0.2">
      <c r="C144" s="1156" t="s">
        <v>693</v>
      </c>
      <c r="D144" s="1156" t="s">
        <v>5278</v>
      </c>
      <c r="E144" s="1104" t="s">
        <v>344</v>
      </c>
      <c r="F144" s="1104" t="s">
        <v>429</v>
      </c>
      <c r="G144" s="1109" t="s">
        <v>3285</v>
      </c>
      <c r="H144" s="1109" t="s">
        <v>3286</v>
      </c>
      <c r="I144" s="1109" t="s">
        <v>3287</v>
      </c>
      <c r="J144" s="1110">
        <v>2019</v>
      </c>
      <c r="K144" s="1105">
        <v>43633</v>
      </c>
      <c r="L144" s="1105">
        <v>44196</v>
      </c>
      <c r="M144" s="1369">
        <f t="shared" si="21"/>
        <v>563</v>
      </c>
      <c r="N144" s="1105"/>
      <c r="O144" s="1105"/>
      <c r="P144" s="1105"/>
      <c r="Q144" s="1105"/>
      <c r="R144" s="1105"/>
      <c r="S144" s="1105"/>
      <c r="T144" s="1105"/>
      <c r="U144" s="1105"/>
      <c r="V144" s="1105"/>
      <c r="W144" s="1105"/>
      <c r="X144" s="1105"/>
      <c r="Y144" s="1109" t="s">
        <v>3288</v>
      </c>
      <c r="Z144" s="1109"/>
      <c r="AA144" s="1109" t="s">
        <v>3289</v>
      </c>
      <c r="AB144" s="1109" t="s">
        <v>3289</v>
      </c>
      <c r="AC144" s="1109"/>
      <c r="AD144" s="1109"/>
      <c r="AE144" s="1112">
        <v>2.6360000000000001</v>
      </c>
      <c r="AF144" s="1113">
        <f t="shared" si="17"/>
        <v>2.6360000000000001</v>
      </c>
      <c r="AG144" s="1113">
        <f t="shared" si="18"/>
        <v>0</v>
      </c>
      <c r="AH144" s="1112"/>
      <c r="AI144" s="1113"/>
      <c r="AJ144" s="1113"/>
      <c r="AK144" s="1112">
        <v>2.6360000000000001</v>
      </c>
      <c r="AL144" s="1114">
        <v>1</v>
      </c>
      <c r="AM144" s="1114">
        <v>7.4000000000000003E-3</v>
      </c>
      <c r="AN144" s="1112"/>
      <c r="AO144" s="1114"/>
      <c r="AP144" s="1112"/>
      <c r="AQ144" s="1114"/>
      <c r="AR144" s="1112"/>
      <c r="AS144" s="1114"/>
      <c r="AT144" s="1114"/>
      <c r="AU144" s="1114"/>
      <c r="AV144" s="1114"/>
      <c r="AW144" s="1114"/>
      <c r="AX144" s="1114"/>
      <c r="AY144" s="1114"/>
      <c r="AZ144" s="1114"/>
      <c r="BA144" s="1113">
        <v>3.75</v>
      </c>
      <c r="BB144" s="1114">
        <v>1.0699999999999999E-2</v>
      </c>
      <c r="BC144" s="1115">
        <v>77</v>
      </c>
      <c r="BD144" s="1115">
        <v>77</v>
      </c>
      <c r="BE144" s="1116">
        <v>19</v>
      </c>
      <c r="BF144" s="1115"/>
      <c r="BG144" s="1115"/>
      <c r="BH144" s="1115"/>
      <c r="BI144" s="1115"/>
      <c r="BJ144" s="1115"/>
      <c r="BK144" s="1115"/>
      <c r="BL144" s="1115"/>
      <c r="BM144" s="1115"/>
      <c r="BN144" s="1115">
        <v>2</v>
      </c>
      <c r="BO144" s="1115">
        <v>8</v>
      </c>
      <c r="BP144" s="1115">
        <v>9</v>
      </c>
      <c r="BQ144" s="1115"/>
      <c r="BR144" s="1115"/>
      <c r="BS144" s="1115"/>
      <c r="BT144" s="1115"/>
      <c r="BU144" s="1115"/>
      <c r="BV144" s="1115"/>
      <c r="BW144" s="1115"/>
      <c r="BX144" s="1115"/>
      <c r="BY144" s="1115"/>
      <c r="BZ144" s="1115"/>
      <c r="CA144" s="1117">
        <f t="shared" ref="CA144:CA163" si="22">SUM(BF144:BZ144)</f>
        <v>19</v>
      </c>
      <c r="CB144" s="1117">
        <f t="shared" si="19"/>
        <v>19</v>
      </c>
      <c r="CC144" s="1117">
        <f t="shared" si="20"/>
        <v>0</v>
      </c>
      <c r="CD144" s="1113"/>
      <c r="CE144" s="1109"/>
      <c r="CF144" s="1109"/>
      <c r="CG144" s="1109"/>
      <c r="CH144" s="1113"/>
      <c r="CI144" s="1114"/>
      <c r="CJ144" s="1109"/>
      <c r="CK144" s="1109"/>
      <c r="CL144" s="1109"/>
      <c r="CM144" s="1115"/>
      <c r="CN144" s="1115"/>
      <c r="CO144" s="1115"/>
      <c r="CP144" s="1109"/>
      <c r="CQ144" s="1109"/>
      <c r="CR144" s="1115"/>
      <c r="CS144" s="1109"/>
      <c r="CT144" s="1109"/>
      <c r="CU144" s="1115"/>
      <c r="CV144" s="1115"/>
      <c r="CW144" s="1115"/>
      <c r="CX144" s="1115"/>
      <c r="CY144" s="1115"/>
      <c r="CZ144" s="1115"/>
      <c r="DA144" s="1115"/>
      <c r="DB144" s="1109"/>
      <c r="DC144" s="1109"/>
      <c r="DD144" s="1115"/>
      <c r="DE144" s="1109"/>
      <c r="DF144" s="1109"/>
      <c r="DG144" s="1115"/>
      <c r="DH144" s="1109"/>
      <c r="DI144" s="1109"/>
      <c r="DJ144" s="1115"/>
      <c r="DK144" s="1109"/>
      <c r="DL144" s="1109"/>
      <c r="DM144" s="1115"/>
      <c r="DN144" s="1109"/>
      <c r="DO144" s="1109"/>
      <c r="DP144" s="1115"/>
      <c r="DQ144" s="1109"/>
      <c r="DR144" s="1109"/>
      <c r="DS144" s="1115"/>
      <c r="DT144" s="1115"/>
      <c r="DU144" s="1115"/>
      <c r="DV144" s="1115"/>
      <c r="DW144" s="1109"/>
      <c r="DX144" s="1109"/>
      <c r="DY144" s="1115"/>
      <c r="DZ144" s="1109"/>
      <c r="EA144" s="1109"/>
      <c r="EB144" s="1115"/>
      <c r="EC144" s="1109"/>
      <c r="ED144" s="1109"/>
      <c r="EE144" s="1115"/>
      <c r="EF144" s="1115"/>
      <c r="EG144" s="1115"/>
      <c r="EH144" s="1115"/>
      <c r="EI144" s="1109"/>
      <c r="EJ144" s="1109"/>
      <c r="EK144" s="1115"/>
      <c r="EL144" s="1115"/>
      <c r="EM144" s="1115"/>
      <c r="EN144" s="1115"/>
      <c r="EO144" s="1109"/>
      <c r="EP144" s="1109"/>
      <c r="EQ144" s="1109"/>
      <c r="ER144" s="1109"/>
      <c r="ES144" s="1109"/>
      <c r="ET144" s="1109"/>
      <c r="EU144" s="1109"/>
      <c r="EV144" s="1109"/>
      <c r="EW144" s="1109"/>
      <c r="EX144" s="1109"/>
    </row>
    <row r="145" spans="3:154" ht="90.95" customHeight="1" x14ac:dyDescent="0.2">
      <c r="C145" s="1156" t="s">
        <v>693</v>
      </c>
      <c r="D145" s="1156" t="s">
        <v>5278</v>
      </c>
      <c r="E145" s="1104" t="s">
        <v>344</v>
      </c>
      <c r="F145" s="1104" t="s">
        <v>429</v>
      </c>
      <c r="G145" s="1137" t="s">
        <v>3290</v>
      </c>
      <c r="H145" s="1109" t="s">
        <v>3291</v>
      </c>
      <c r="I145" s="1109" t="s">
        <v>219</v>
      </c>
      <c r="J145" s="1110" t="s">
        <v>3292</v>
      </c>
      <c r="K145" s="1125">
        <v>43935</v>
      </c>
      <c r="L145" s="1125">
        <v>44104</v>
      </c>
      <c r="M145" s="1369">
        <f t="shared" si="21"/>
        <v>169</v>
      </c>
      <c r="N145" s="1125"/>
      <c r="O145" s="1125"/>
      <c r="P145" s="1125"/>
      <c r="Q145" s="1125"/>
      <c r="R145" s="1125"/>
      <c r="S145" s="1125"/>
      <c r="T145" s="1125"/>
      <c r="U145" s="1125"/>
      <c r="V145" s="1125"/>
      <c r="W145" s="1125"/>
      <c r="X145" s="1125"/>
      <c r="Y145" s="1109" t="s">
        <v>3293</v>
      </c>
      <c r="Z145" s="1127" t="s">
        <v>3294</v>
      </c>
      <c r="AA145" s="1109" t="s">
        <v>3295</v>
      </c>
      <c r="AB145" s="1109" t="s">
        <v>3295</v>
      </c>
      <c r="AC145" s="1109" t="s">
        <v>519</v>
      </c>
      <c r="AD145" s="1109" t="s">
        <v>3296</v>
      </c>
      <c r="AE145" s="1112">
        <v>2.4</v>
      </c>
      <c r="AF145" s="1113">
        <f>AH145+AK145+AN145+AP145+AR145</f>
        <v>2.4</v>
      </c>
      <c r="AG145" s="1113">
        <f t="shared" si="18"/>
        <v>0</v>
      </c>
      <c r="AH145" s="1112"/>
      <c r="AI145" s="1113"/>
      <c r="AJ145" s="1113"/>
      <c r="AK145" s="1112">
        <v>2.4</v>
      </c>
      <c r="AL145" s="1114">
        <v>1</v>
      </c>
      <c r="AM145" s="1114">
        <v>1.09E-2</v>
      </c>
      <c r="AN145" s="1112">
        <v>0</v>
      </c>
      <c r="AO145" s="1114">
        <v>0</v>
      </c>
      <c r="AP145" s="1112"/>
      <c r="AQ145" s="1114">
        <v>1.2E-2</v>
      </c>
      <c r="AR145" s="1112"/>
      <c r="AS145" s="1114"/>
      <c r="AT145" s="1114"/>
      <c r="AU145" s="1114"/>
      <c r="AV145" s="1114"/>
      <c r="AW145" s="1114"/>
      <c r="AX145" s="1114"/>
      <c r="AY145" s="1114"/>
      <c r="AZ145" s="1114"/>
      <c r="BA145" s="1113"/>
      <c r="BB145" s="1114"/>
      <c r="BC145" s="1115">
        <v>10</v>
      </c>
      <c r="BD145" s="1115">
        <v>10</v>
      </c>
      <c r="BE145" s="1116">
        <v>5</v>
      </c>
      <c r="BF145" s="1115"/>
      <c r="BG145" s="1115"/>
      <c r="BH145" s="1115"/>
      <c r="BI145" s="1115"/>
      <c r="BJ145" s="1115"/>
      <c r="BK145" s="1115"/>
      <c r="BL145" s="1115"/>
      <c r="BM145" s="1115"/>
      <c r="BN145" s="1115"/>
      <c r="BO145" s="1115"/>
      <c r="BP145" s="1115">
        <v>5</v>
      </c>
      <c r="BQ145" s="1115"/>
      <c r="BR145" s="1115"/>
      <c r="BS145" s="1115"/>
      <c r="BT145" s="1115"/>
      <c r="BU145" s="1115"/>
      <c r="BV145" s="1115"/>
      <c r="BW145" s="1115"/>
      <c r="BX145" s="1115"/>
      <c r="BY145" s="1115"/>
      <c r="BZ145" s="1115"/>
      <c r="CA145" s="1117">
        <f t="shared" si="22"/>
        <v>5</v>
      </c>
      <c r="CB145" s="1117">
        <f t="shared" si="19"/>
        <v>5</v>
      </c>
      <c r="CC145" s="1117">
        <f t="shared" si="20"/>
        <v>0</v>
      </c>
      <c r="CD145" s="1113"/>
      <c r="CE145" s="1109"/>
      <c r="CF145" s="1109"/>
      <c r="CG145" s="1109"/>
      <c r="CH145" s="1113"/>
      <c r="CI145" s="1114"/>
      <c r="CJ145" s="1109"/>
      <c r="CK145" s="1109"/>
      <c r="CL145" s="1109"/>
      <c r="CM145" s="1115"/>
      <c r="CN145" s="1115"/>
      <c r="CO145" s="1115"/>
      <c r="CP145" s="1109"/>
      <c r="CQ145" s="1109"/>
      <c r="CR145" s="1115"/>
      <c r="CS145" s="1109"/>
      <c r="CT145" s="1109"/>
      <c r="CU145" s="1115"/>
      <c r="CV145" s="1115"/>
      <c r="CW145" s="1115"/>
      <c r="CX145" s="1115"/>
      <c r="CY145" s="1115"/>
      <c r="CZ145" s="1115"/>
      <c r="DA145" s="1115"/>
      <c r="DB145" s="1109"/>
      <c r="DC145" s="1109"/>
      <c r="DD145" s="1115"/>
      <c r="DE145" s="1109"/>
      <c r="DF145" s="1109"/>
      <c r="DG145" s="1115"/>
      <c r="DH145" s="1109"/>
      <c r="DI145" s="1109"/>
      <c r="DJ145" s="1115"/>
      <c r="DK145" s="1109"/>
      <c r="DL145" s="1109"/>
      <c r="DM145" s="1115"/>
      <c r="DN145" s="1109"/>
      <c r="DO145" s="1109"/>
      <c r="DP145" s="1115"/>
      <c r="DQ145" s="1109" t="s">
        <v>500</v>
      </c>
      <c r="DR145" s="1104" t="s">
        <v>3297</v>
      </c>
      <c r="DS145" s="1115"/>
      <c r="DT145" s="1115"/>
      <c r="DU145" s="1115"/>
      <c r="DV145" s="1115"/>
      <c r="DW145" s="1109"/>
      <c r="DX145" s="1109"/>
      <c r="DY145" s="1115"/>
      <c r="DZ145" s="1109"/>
      <c r="EA145" s="1109"/>
      <c r="EB145" s="1115"/>
      <c r="EC145" s="1109"/>
      <c r="ED145" s="1109"/>
      <c r="EE145" s="1115"/>
      <c r="EF145" s="1115"/>
      <c r="EG145" s="1115"/>
      <c r="EH145" s="1115"/>
      <c r="EI145" s="1109"/>
      <c r="EJ145" s="1109"/>
      <c r="EK145" s="1115"/>
      <c r="EL145" s="1115"/>
      <c r="EM145" s="1115"/>
      <c r="EN145" s="1115"/>
      <c r="EO145" s="1109"/>
      <c r="EP145" s="1109"/>
      <c r="EQ145" s="1109" t="s">
        <v>3298</v>
      </c>
      <c r="ER145" s="1109" t="s">
        <v>3299</v>
      </c>
      <c r="ES145" s="1109" t="s">
        <v>3300</v>
      </c>
      <c r="ET145" s="1104" t="s">
        <v>3301</v>
      </c>
      <c r="EU145" s="1109" t="s">
        <v>3302</v>
      </c>
      <c r="EV145" s="1109"/>
      <c r="EW145" s="1109"/>
      <c r="EX145" s="1109"/>
    </row>
    <row r="146" spans="3:154" ht="90.95" customHeight="1" x14ac:dyDescent="0.2">
      <c r="C146" s="1156" t="s">
        <v>693</v>
      </c>
      <c r="D146" s="1156" t="s">
        <v>5278</v>
      </c>
      <c r="E146" s="1104" t="s">
        <v>344</v>
      </c>
      <c r="F146" s="1104" t="s">
        <v>429</v>
      </c>
      <c r="G146" s="1104" t="s">
        <v>3303</v>
      </c>
      <c r="H146" s="1104" t="s">
        <v>3304</v>
      </c>
      <c r="I146" s="1109"/>
      <c r="J146" s="1110">
        <v>2020</v>
      </c>
      <c r="K146" s="1105">
        <v>43557</v>
      </c>
      <c r="L146" s="1105">
        <v>44196</v>
      </c>
      <c r="M146" s="1369">
        <f t="shared" si="21"/>
        <v>639</v>
      </c>
      <c r="N146" s="1105"/>
      <c r="O146" s="1105"/>
      <c r="P146" s="1105"/>
      <c r="Q146" s="1105"/>
      <c r="R146" s="1105"/>
      <c r="S146" s="1105"/>
      <c r="T146" s="1105"/>
      <c r="U146" s="1105"/>
      <c r="V146" s="1105"/>
      <c r="W146" s="1105"/>
      <c r="X146" s="1105"/>
      <c r="Y146" s="1109" t="s">
        <v>3305</v>
      </c>
      <c r="Z146" s="1109" t="s">
        <v>3306</v>
      </c>
      <c r="AA146" s="1109" t="s">
        <v>3307</v>
      </c>
      <c r="AB146" s="1109" t="s">
        <v>3307</v>
      </c>
      <c r="AC146" s="1109" t="s">
        <v>3308</v>
      </c>
      <c r="AD146" s="1109" t="s">
        <v>3309</v>
      </c>
      <c r="AE146" s="1112">
        <v>5</v>
      </c>
      <c r="AF146" s="1113">
        <f t="shared" si="17"/>
        <v>5</v>
      </c>
      <c r="AG146" s="1113">
        <f t="shared" si="18"/>
        <v>0</v>
      </c>
      <c r="AH146" s="1112"/>
      <c r="AI146" s="1113"/>
      <c r="AJ146" s="1113"/>
      <c r="AK146" s="1112">
        <v>5</v>
      </c>
      <c r="AL146" s="1114">
        <v>1</v>
      </c>
      <c r="AM146" s="1114">
        <v>2.3E-2</v>
      </c>
      <c r="AN146" s="1112"/>
      <c r="AO146" s="1113"/>
      <c r="AP146" s="1112"/>
      <c r="AQ146" s="1113"/>
      <c r="AR146" s="1112"/>
      <c r="AS146" s="1113"/>
      <c r="AT146" s="1113"/>
      <c r="AU146" s="1113"/>
      <c r="AV146" s="1113"/>
      <c r="AW146" s="1114" t="s">
        <v>504</v>
      </c>
      <c r="AX146" s="1114"/>
      <c r="AY146" s="1114"/>
      <c r="AZ146" s="1114"/>
      <c r="BA146" s="1113">
        <v>5.0999999999999996</v>
      </c>
      <c r="BB146" s="1114">
        <v>1.9E-2</v>
      </c>
      <c r="BC146" s="1115">
        <v>76</v>
      </c>
      <c r="BD146" s="1115">
        <v>76</v>
      </c>
      <c r="BE146" s="1116">
        <v>51</v>
      </c>
      <c r="BF146" s="1115"/>
      <c r="BG146" s="1115"/>
      <c r="BH146" s="1115"/>
      <c r="BI146" s="1115"/>
      <c r="BJ146" s="1115"/>
      <c r="BK146" s="1115"/>
      <c r="BL146" s="1115"/>
      <c r="BM146" s="1115"/>
      <c r="BN146" s="1115"/>
      <c r="BO146" s="1115"/>
      <c r="BP146" s="1115">
        <v>51</v>
      </c>
      <c r="BQ146" s="1115"/>
      <c r="BR146" s="1115"/>
      <c r="BS146" s="1115"/>
      <c r="BT146" s="1115"/>
      <c r="BU146" s="1115"/>
      <c r="BV146" s="1115"/>
      <c r="BW146" s="1115"/>
      <c r="BX146" s="1115"/>
      <c r="BY146" s="1115"/>
      <c r="BZ146" s="1115"/>
      <c r="CA146" s="1117">
        <f t="shared" si="22"/>
        <v>51</v>
      </c>
      <c r="CB146" s="1117">
        <f t="shared" si="19"/>
        <v>51</v>
      </c>
      <c r="CC146" s="1117">
        <f t="shared" si="20"/>
        <v>0</v>
      </c>
      <c r="CD146" s="1113">
        <v>6.3</v>
      </c>
      <c r="CE146" s="1109" t="s">
        <v>3310</v>
      </c>
      <c r="CF146" s="1109"/>
      <c r="CG146" s="1109">
        <v>5.3</v>
      </c>
      <c r="CH146" s="1113">
        <v>119.45099999999999</v>
      </c>
      <c r="CI146" s="1114"/>
      <c r="CJ146" s="1109" t="s">
        <v>504</v>
      </c>
      <c r="CK146" s="1109"/>
      <c r="CL146" s="1109"/>
      <c r="CM146" s="1109"/>
      <c r="CN146" s="1115"/>
      <c r="CO146" s="1115"/>
      <c r="CP146" s="1115" t="s">
        <v>504</v>
      </c>
      <c r="CQ146" s="1109"/>
      <c r="CR146" s="1109"/>
      <c r="CS146" s="1109" t="s">
        <v>500</v>
      </c>
      <c r="CT146" s="1109" t="s">
        <v>3311</v>
      </c>
      <c r="CU146" s="1115">
        <v>2000</v>
      </c>
      <c r="CV146" s="1115" t="s">
        <v>504</v>
      </c>
      <c r="CW146" s="1115"/>
      <c r="CX146" s="1115"/>
      <c r="CY146" s="1115" t="s">
        <v>504</v>
      </c>
      <c r="CZ146" s="1115"/>
      <c r="DA146" s="1115"/>
      <c r="DB146" s="1115" t="s">
        <v>504</v>
      </c>
      <c r="DC146" s="1115"/>
      <c r="DD146" s="1115"/>
      <c r="DE146" s="1115" t="s">
        <v>504</v>
      </c>
      <c r="DF146" s="1115"/>
      <c r="DG146" s="1115"/>
      <c r="DH146" s="1115" t="s">
        <v>504</v>
      </c>
      <c r="DI146" s="1115"/>
      <c r="DJ146" s="1115"/>
      <c r="DK146" s="1115" t="s">
        <v>504</v>
      </c>
      <c r="DL146" s="1115"/>
      <c r="DM146" s="1115"/>
      <c r="DN146" s="1109" t="s">
        <v>504</v>
      </c>
      <c r="DO146" s="1109"/>
      <c r="DP146" s="1115">
        <v>4976</v>
      </c>
      <c r="DQ146" s="1109" t="s">
        <v>504</v>
      </c>
      <c r="DR146" s="1109"/>
      <c r="DS146" s="1115"/>
      <c r="DT146" s="1109" t="s">
        <v>504</v>
      </c>
      <c r="DU146" s="1109"/>
      <c r="DV146" s="1115"/>
      <c r="DW146" s="1109" t="s">
        <v>504</v>
      </c>
      <c r="DX146" s="1109"/>
      <c r="DY146" s="1115"/>
      <c r="DZ146" s="1109" t="s">
        <v>504</v>
      </c>
      <c r="EA146" s="1109"/>
      <c r="EB146" s="1115"/>
      <c r="EC146" s="1109" t="s">
        <v>504</v>
      </c>
      <c r="ED146" s="1109"/>
      <c r="EE146" s="1115"/>
      <c r="EF146" s="1109" t="s">
        <v>504</v>
      </c>
      <c r="EG146" s="1109"/>
      <c r="EH146" s="1115"/>
      <c r="EI146" s="1109" t="s">
        <v>504</v>
      </c>
      <c r="EJ146" s="1109"/>
      <c r="EK146" s="1115"/>
      <c r="EL146" s="1115"/>
      <c r="EM146" s="1115"/>
      <c r="EN146" s="1115"/>
      <c r="EO146" s="1109" t="s">
        <v>504</v>
      </c>
      <c r="EP146" s="1109"/>
      <c r="EQ146" s="1109" t="s">
        <v>3312</v>
      </c>
      <c r="ER146" s="1109"/>
      <c r="ES146" s="1109" t="s">
        <v>465</v>
      </c>
      <c r="ET146" s="1109" t="s">
        <v>465</v>
      </c>
      <c r="EU146" s="1109"/>
      <c r="EV146" s="1109" t="s">
        <v>3313</v>
      </c>
      <c r="EW146" s="1109">
        <v>4</v>
      </c>
      <c r="EX146" s="1109">
        <v>25</v>
      </c>
    </row>
    <row r="147" spans="3:154" ht="90.95" customHeight="1" x14ac:dyDescent="0.2">
      <c r="C147" s="1156" t="s">
        <v>693</v>
      </c>
      <c r="D147" s="1156" t="s">
        <v>5278</v>
      </c>
      <c r="E147" s="1104" t="s">
        <v>344</v>
      </c>
      <c r="F147" s="1104" t="s">
        <v>429</v>
      </c>
      <c r="G147" s="1104" t="s">
        <v>3314</v>
      </c>
      <c r="H147" s="1104" t="s">
        <v>3315</v>
      </c>
      <c r="I147" s="1104" t="s">
        <v>3291</v>
      </c>
      <c r="J147" s="1110">
        <v>2019</v>
      </c>
      <c r="K147" s="1105">
        <v>43551</v>
      </c>
      <c r="L147" s="1105">
        <v>44144</v>
      </c>
      <c r="M147" s="1369">
        <f t="shared" si="21"/>
        <v>593</v>
      </c>
      <c r="N147" s="1105"/>
      <c r="O147" s="1105"/>
      <c r="P147" s="1105"/>
      <c r="Q147" s="1105"/>
      <c r="R147" s="1105"/>
      <c r="S147" s="1105"/>
      <c r="T147" s="1105"/>
      <c r="U147" s="1105"/>
      <c r="V147" s="1105"/>
      <c r="W147" s="1105"/>
      <c r="X147" s="1105"/>
      <c r="Y147" s="1109" t="s">
        <v>3317</v>
      </c>
      <c r="Z147" s="1127" t="s">
        <v>3318</v>
      </c>
      <c r="AA147" s="1109" t="s">
        <v>3319</v>
      </c>
      <c r="AB147" s="1109" t="s">
        <v>3320</v>
      </c>
      <c r="AC147" s="1109" t="s">
        <v>3321</v>
      </c>
      <c r="AD147" s="1109" t="s">
        <v>3322</v>
      </c>
      <c r="AE147" s="1112">
        <v>1.35</v>
      </c>
      <c r="AF147" s="1113">
        <f t="shared" si="17"/>
        <v>1.35</v>
      </c>
      <c r="AG147" s="1113">
        <f t="shared" si="18"/>
        <v>0</v>
      </c>
      <c r="AH147" s="1112"/>
      <c r="AI147" s="1113"/>
      <c r="AJ147" s="1113"/>
      <c r="AK147" s="1112">
        <v>1.35</v>
      </c>
      <c r="AL147" s="1114">
        <v>1</v>
      </c>
      <c r="AM147" s="1114">
        <v>8.9999999999999993E-3</v>
      </c>
      <c r="AN147" s="1112">
        <v>0</v>
      </c>
      <c r="AO147" s="1114">
        <v>0</v>
      </c>
      <c r="AP147" s="1112">
        <v>0</v>
      </c>
      <c r="AQ147" s="1114">
        <v>0</v>
      </c>
      <c r="AR147" s="1112"/>
      <c r="AS147" s="1114"/>
      <c r="AT147" s="1114"/>
      <c r="AU147" s="1114"/>
      <c r="AV147" s="1114"/>
      <c r="AW147" s="1114" t="s">
        <v>500</v>
      </c>
      <c r="AX147" s="1114" t="s">
        <v>838</v>
      </c>
      <c r="AY147" s="1114"/>
      <c r="AZ147" s="1114"/>
      <c r="BA147" s="1113">
        <v>0.6</v>
      </c>
      <c r="BB147" s="1114">
        <v>4.0000000000000001E-3</v>
      </c>
      <c r="BC147" s="1115">
        <v>23</v>
      </c>
      <c r="BD147" s="1115">
        <v>23</v>
      </c>
      <c r="BE147" s="1116">
        <v>3</v>
      </c>
      <c r="BF147" s="1115"/>
      <c r="BG147" s="1115"/>
      <c r="BH147" s="1115"/>
      <c r="BI147" s="1115"/>
      <c r="BJ147" s="1115"/>
      <c r="BK147" s="1115"/>
      <c r="BL147" s="1115"/>
      <c r="BM147" s="1115"/>
      <c r="BN147" s="1115"/>
      <c r="BO147" s="1115">
        <v>3</v>
      </c>
      <c r="BP147" s="1115"/>
      <c r="BQ147" s="1115"/>
      <c r="BR147" s="1115"/>
      <c r="BS147" s="1115"/>
      <c r="BT147" s="1115"/>
      <c r="BU147" s="1115"/>
      <c r="BV147" s="1115"/>
      <c r="BW147" s="1115"/>
      <c r="BX147" s="1115"/>
      <c r="BY147" s="1115"/>
      <c r="BZ147" s="1115"/>
      <c r="CA147" s="1117">
        <f t="shared" si="22"/>
        <v>3</v>
      </c>
      <c r="CB147" s="1117">
        <f t="shared" si="19"/>
        <v>3</v>
      </c>
      <c r="CC147" s="1117">
        <f t="shared" si="20"/>
        <v>0</v>
      </c>
      <c r="CD147" s="1113">
        <v>1.1870000000000001</v>
      </c>
      <c r="CE147" s="1109" t="s">
        <v>3323</v>
      </c>
      <c r="CF147" s="1109"/>
      <c r="CG147" s="1109">
        <v>3.9</v>
      </c>
      <c r="CH147" s="1241">
        <v>30.411000000000001</v>
      </c>
      <c r="CI147" s="1219" t="s">
        <v>3324</v>
      </c>
      <c r="CJ147" s="1109" t="s">
        <v>504</v>
      </c>
      <c r="CK147" s="1109"/>
      <c r="CL147" s="1109"/>
      <c r="CM147" s="1115"/>
      <c r="CN147" s="1115"/>
      <c r="CO147" s="1115">
        <v>16</v>
      </c>
      <c r="CP147" s="1109" t="s">
        <v>504</v>
      </c>
      <c r="CQ147" s="1109"/>
      <c r="CR147" s="1115"/>
      <c r="CS147" s="1109" t="s">
        <v>500</v>
      </c>
      <c r="CT147" s="1109" t="s">
        <v>3325</v>
      </c>
      <c r="CU147" s="1115">
        <v>149</v>
      </c>
      <c r="CV147" s="1115" t="s">
        <v>504</v>
      </c>
      <c r="CW147" s="1115"/>
      <c r="CX147" s="1115"/>
      <c r="CY147" s="1115" t="s">
        <v>504</v>
      </c>
      <c r="CZ147" s="1115"/>
      <c r="DA147" s="1115"/>
      <c r="DB147" s="1109" t="s">
        <v>504</v>
      </c>
      <c r="DC147" s="1109"/>
      <c r="DD147" s="1115"/>
      <c r="DE147" s="1109" t="s">
        <v>504</v>
      </c>
      <c r="DF147" s="1109"/>
      <c r="DG147" s="1115"/>
      <c r="DH147" s="1109" t="s">
        <v>504</v>
      </c>
      <c r="DI147" s="1109"/>
      <c r="DJ147" s="1115"/>
      <c r="DK147" s="1109"/>
      <c r="DL147" s="1109"/>
      <c r="DM147" s="1115"/>
      <c r="DN147" s="1109" t="s">
        <v>504</v>
      </c>
      <c r="DO147" s="1127"/>
      <c r="DP147" s="1115"/>
      <c r="DQ147" s="1109" t="s">
        <v>504</v>
      </c>
      <c r="DR147" s="1109"/>
      <c r="DS147" s="1115"/>
      <c r="DT147" s="1115" t="s">
        <v>504</v>
      </c>
      <c r="DU147" s="1115"/>
      <c r="DV147" s="1115"/>
      <c r="DW147" s="1109" t="s">
        <v>504</v>
      </c>
      <c r="DX147" s="1109"/>
      <c r="DY147" s="1115"/>
      <c r="DZ147" s="1109" t="s">
        <v>504</v>
      </c>
      <c r="EA147" s="1109"/>
      <c r="EB147" s="1115"/>
      <c r="EC147" s="1109" t="s">
        <v>656</v>
      </c>
      <c r="ED147" s="1109" t="s">
        <v>2477</v>
      </c>
      <c r="EE147" s="1115">
        <v>9</v>
      </c>
      <c r="EF147" s="1115"/>
      <c r="EG147" s="1115"/>
      <c r="EH147" s="1115"/>
      <c r="EI147" s="1109"/>
      <c r="EJ147" s="1109"/>
      <c r="EK147" s="1115"/>
      <c r="EL147" s="1115"/>
      <c r="EM147" s="1115"/>
      <c r="EN147" s="1115"/>
      <c r="EO147" s="1109" t="s">
        <v>504</v>
      </c>
      <c r="EP147" s="1109"/>
      <c r="EQ147" s="1127" t="s">
        <v>3326</v>
      </c>
      <c r="ER147" s="1127" t="s">
        <v>3327</v>
      </c>
      <c r="ES147" s="1109"/>
      <c r="ET147" s="1109"/>
      <c r="EU147" s="1109"/>
      <c r="EV147" s="1109" t="s">
        <v>3328</v>
      </c>
      <c r="EW147" s="1109">
        <v>16</v>
      </c>
      <c r="EX147" s="1109">
        <v>6511</v>
      </c>
    </row>
    <row r="148" spans="3:154" ht="86.1" customHeight="1" x14ac:dyDescent="0.2">
      <c r="C148" s="1156" t="s">
        <v>782</v>
      </c>
      <c r="D148" s="1156" t="s">
        <v>5277</v>
      </c>
      <c r="E148" s="738" t="s">
        <v>345</v>
      </c>
      <c r="F148" s="738" t="s">
        <v>430</v>
      </c>
      <c r="G148" s="738"/>
      <c r="H148" s="632" t="s">
        <v>1698</v>
      </c>
      <c r="I148" s="632" t="s">
        <v>1699</v>
      </c>
      <c r="J148" s="637">
        <v>2019</v>
      </c>
      <c r="K148" s="377">
        <v>43635</v>
      </c>
      <c r="L148" s="377">
        <v>44196</v>
      </c>
      <c r="M148" s="1369">
        <f t="shared" si="21"/>
        <v>561</v>
      </c>
      <c r="N148" s="632" t="s">
        <v>1700</v>
      </c>
      <c r="O148" s="632" t="s">
        <v>1701</v>
      </c>
      <c r="P148" s="632" t="str">
        <f>'[1]практика субъекта'!$F$12</f>
        <v>http://gov.spb.ru/law?d&amp;nd=822403529&amp;nh=0</v>
      </c>
      <c r="Q148" s="632" t="s">
        <v>504</v>
      </c>
      <c r="R148" s="632"/>
      <c r="S148" s="632" t="s">
        <v>504</v>
      </c>
      <c r="T148" s="632"/>
      <c r="U148" s="632" t="s">
        <v>504</v>
      </c>
      <c r="V148" s="632"/>
      <c r="W148" s="632" t="s">
        <v>504</v>
      </c>
      <c r="X148" s="632"/>
      <c r="Y148" s="632"/>
      <c r="Z148" s="632"/>
      <c r="AA148" s="632" t="s">
        <v>1702</v>
      </c>
      <c r="AB148" s="632" t="str">
        <f>'[1]практика субъекта'!$F$20</f>
        <v>Администрация Центрального района Санкт-Петербурга</v>
      </c>
      <c r="AC148" s="632" t="s">
        <v>1703</v>
      </c>
      <c r="AD148" s="632" t="str">
        <f>'[1]практика субъекта'!$F$22</f>
        <v>Государственные бюджетные образовательные учреждения Центрального района Санкт-Петербурга</v>
      </c>
      <c r="AE148" s="1242">
        <v>30</v>
      </c>
      <c r="AF148" s="671">
        <f t="shared" si="17"/>
        <v>30</v>
      </c>
      <c r="AG148" s="671">
        <f t="shared" si="18"/>
        <v>0</v>
      </c>
      <c r="AH148" s="702">
        <f>AE148</f>
        <v>30</v>
      </c>
      <c r="AI148" s="683">
        <v>1</v>
      </c>
      <c r="AJ148" s="702">
        <f>'[2]Учетная политика'!$U$10</f>
        <v>4.2234665365231544E-3</v>
      </c>
      <c r="AK148" s="702">
        <v>0</v>
      </c>
      <c r="AL148" s="683">
        <v>0</v>
      </c>
      <c r="AM148" s="683"/>
      <c r="AN148" s="702">
        <v>0</v>
      </c>
      <c r="AO148" s="683">
        <v>0</v>
      </c>
      <c r="AP148" s="702">
        <v>0</v>
      </c>
      <c r="AQ148" s="683">
        <v>0</v>
      </c>
      <c r="AR148" s="702"/>
      <c r="AS148" s="683"/>
      <c r="AT148" s="632"/>
      <c r="AU148" s="632"/>
      <c r="AV148" s="632"/>
      <c r="AW148" s="632" t="s">
        <v>504</v>
      </c>
      <c r="AX148" s="632"/>
      <c r="AY148" s="632"/>
      <c r="AZ148" s="683"/>
      <c r="BA148" s="717">
        <v>0</v>
      </c>
      <c r="BB148" s="683">
        <v>0</v>
      </c>
      <c r="BC148" s="717">
        <v>0</v>
      </c>
      <c r="BD148" s="710">
        <v>0</v>
      </c>
      <c r="BE148" s="706">
        <v>0</v>
      </c>
      <c r="BF148" s="710"/>
      <c r="BG148" s="710"/>
      <c r="BH148" s="710"/>
      <c r="BI148" s="710"/>
      <c r="BJ148" s="710"/>
      <c r="BK148" s="710"/>
      <c r="BL148" s="632"/>
      <c r="BM148" s="710"/>
      <c r="BN148" s="710"/>
      <c r="BO148" s="710"/>
      <c r="BP148" s="710"/>
      <c r="BQ148" s="710"/>
      <c r="BR148" s="710"/>
      <c r="BS148" s="710"/>
      <c r="BT148" s="710"/>
      <c r="BU148" s="710"/>
      <c r="BV148" s="710"/>
      <c r="BW148" s="710"/>
      <c r="BX148" s="710"/>
      <c r="BY148" s="710">
        <v>10</v>
      </c>
      <c r="BZ148" s="710"/>
      <c r="CA148" s="717">
        <f t="shared" si="22"/>
        <v>10</v>
      </c>
      <c r="CB148" s="717">
        <f t="shared" si="19"/>
        <v>10</v>
      </c>
      <c r="CC148" s="717">
        <f t="shared" si="20"/>
        <v>0</v>
      </c>
      <c r="CD148" s="671">
        <f>4108/1000</f>
        <v>4.1079999999999997</v>
      </c>
      <c r="CE148" s="632" t="str">
        <f>'[4]практика субъекта'!$F$72</f>
        <v>"Методические рекомендации по работе авторов инициатив с благополучателями в проекте "Твой бюджет" (Санкт-Петербург)". Разработаны в рамках госконтракта №1/2020 от 14.02.2020 с АНО "ИНИ ЕУ в СПб".</v>
      </c>
      <c r="CF148" s="632" t="str">
        <f>'[4]практика субъекта'!$F$73</f>
        <v>Материалы размещены на портале проекта: https://tvoybudget.spb.ru/materials/material/80</v>
      </c>
      <c r="CG148" s="683">
        <f>CD148/CH148</f>
        <v>7.629530219291419E-4</v>
      </c>
      <c r="CH148" s="671">
        <f>'[4]практика субъекта'!$F$75</f>
        <v>5384.3419999999996</v>
      </c>
      <c r="CI148" s="683" t="str">
        <f>'[4]практика субъекта'!$F$76</f>
        <v>https://petrostat.gks.ru/storage/mediabank/TCgYnq5o/%D0%A7%D0%B8%D1%81%D0%BB.%D0%A1%D0%9F%D0%B1%20%D0%BD%D0%B0%2001.01.2021.pdf</v>
      </c>
      <c r="CJ148" s="632" t="s">
        <v>500</v>
      </c>
      <c r="CK148" s="632" t="s">
        <v>1704</v>
      </c>
      <c r="CL148" s="632" t="s">
        <v>1705</v>
      </c>
      <c r="CM148" s="710">
        <v>0</v>
      </c>
      <c r="CN148" s="710">
        <v>0</v>
      </c>
      <c r="CO148" s="710">
        <v>0</v>
      </c>
      <c r="CP148" s="632" t="s">
        <v>504</v>
      </c>
      <c r="CQ148" s="632"/>
      <c r="CR148" s="710"/>
      <c r="CS148" s="632" t="s">
        <v>1706</v>
      </c>
      <c r="CT148" s="632"/>
      <c r="CU148" s="710"/>
      <c r="CV148" s="710" t="s">
        <v>504</v>
      </c>
      <c r="CW148" s="710"/>
      <c r="CX148" s="710"/>
      <c r="CY148" s="710" t="s">
        <v>504</v>
      </c>
      <c r="CZ148" s="710"/>
      <c r="DA148" s="710"/>
      <c r="DB148" s="632" t="s">
        <v>504</v>
      </c>
      <c r="DC148" s="632"/>
      <c r="DD148" s="710"/>
      <c r="DE148" s="632" t="s">
        <v>504</v>
      </c>
      <c r="DF148" s="632"/>
      <c r="DG148" s="710"/>
      <c r="DH148" s="632" t="s">
        <v>504</v>
      </c>
      <c r="DI148" s="632"/>
      <c r="DJ148" s="710"/>
      <c r="DK148" s="632" t="s">
        <v>504</v>
      </c>
      <c r="DL148" s="632"/>
      <c r="DM148" s="710"/>
      <c r="DN148" s="632" t="s">
        <v>504</v>
      </c>
      <c r="DO148" s="632"/>
      <c r="DP148" s="710"/>
      <c r="DQ148" s="632" t="s">
        <v>1706</v>
      </c>
      <c r="DR148" s="632"/>
      <c r="DS148" s="710"/>
      <c r="DT148" s="710" t="s">
        <v>504</v>
      </c>
      <c r="DU148" s="710"/>
      <c r="DV148" s="710"/>
      <c r="DW148" s="632" t="s">
        <v>504</v>
      </c>
      <c r="DX148" s="632"/>
      <c r="DY148" s="710"/>
      <c r="DZ148" s="632" t="s">
        <v>504</v>
      </c>
      <c r="EA148" s="632"/>
      <c r="EB148" s="710"/>
      <c r="EC148" s="632" t="s">
        <v>504</v>
      </c>
      <c r="ED148" s="632"/>
      <c r="EE148" s="710"/>
      <c r="EF148" s="710" t="s">
        <v>504</v>
      </c>
      <c r="EG148" s="710"/>
      <c r="EH148" s="710"/>
      <c r="EI148" s="632" t="s">
        <v>504</v>
      </c>
      <c r="EJ148" s="632"/>
      <c r="EK148" s="710"/>
      <c r="EL148" s="632" t="s">
        <v>504</v>
      </c>
      <c r="EM148" s="632" t="s">
        <v>1707</v>
      </c>
      <c r="EN148" s="670">
        <v>0</v>
      </c>
      <c r="EO148" s="632" t="s">
        <v>500</v>
      </c>
      <c r="EP148" s="632" t="s">
        <v>1708</v>
      </c>
      <c r="EQ148" s="653" t="s">
        <v>1709</v>
      </c>
      <c r="ER148" s="632" t="s">
        <v>504</v>
      </c>
      <c r="ES148" s="632" t="str">
        <f>'[1]практика субъекта'!$F$125</f>
        <v>https://tvoybudget.spb.ru/press; https://yadi.sk/d/STXBWeWut004OA</v>
      </c>
      <c r="ET148" s="632" t="s">
        <v>1710</v>
      </c>
      <c r="EU148" s="632" t="s">
        <v>504</v>
      </c>
      <c r="EV148" s="632" t="s">
        <v>1706</v>
      </c>
      <c r="EW148" s="632">
        <v>0</v>
      </c>
      <c r="EX148" s="632">
        <v>0</v>
      </c>
    </row>
    <row r="149" spans="3:154" ht="69.95" customHeight="1" x14ac:dyDescent="0.2">
      <c r="C149" s="1156" t="s">
        <v>693</v>
      </c>
      <c r="D149" s="1156" t="s">
        <v>5277</v>
      </c>
      <c r="E149" s="738" t="s">
        <v>345</v>
      </c>
      <c r="F149" s="738" t="s">
        <v>430</v>
      </c>
      <c r="G149" s="738"/>
      <c r="H149" s="738" t="s">
        <v>1711</v>
      </c>
      <c r="I149" s="1243" t="s">
        <v>1712</v>
      </c>
      <c r="J149" s="1165">
        <v>2016</v>
      </c>
      <c r="K149" s="377">
        <v>43480</v>
      </c>
      <c r="L149" s="377">
        <v>44196</v>
      </c>
      <c r="M149" s="1369">
        <f t="shared" si="21"/>
        <v>716</v>
      </c>
      <c r="N149" s="632" t="s">
        <v>1700</v>
      </c>
      <c r="O149" s="738" t="s">
        <v>1701</v>
      </c>
      <c r="P149" s="653" t="s">
        <v>1713</v>
      </c>
      <c r="Q149" s="632" t="s">
        <v>504</v>
      </c>
      <c r="R149" s="632"/>
      <c r="S149" s="632" t="s">
        <v>504</v>
      </c>
      <c r="T149" s="632"/>
      <c r="U149" s="632" t="s">
        <v>504</v>
      </c>
      <c r="V149" s="632"/>
      <c r="W149" s="632" t="s">
        <v>504</v>
      </c>
      <c r="X149" s="632"/>
      <c r="Y149" s="632"/>
      <c r="Z149" s="632"/>
      <c r="AA149" s="632" t="s">
        <v>1702</v>
      </c>
      <c r="AB149" s="632" t="s">
        <v>1714</v>
      </c>
      <c r="AC149" s="632" t="s">
        <v>1715</v>
      </c>
      <c r="AD149" s="632" t="s">
        <v>2561</v>
      </c>
      <c r="AE149" s="702">
        <v>145.73949999999999</v>
      </c>
      <c r="AF149" s="671">
        <f t="shared" si="17"/>
        <v>145.73949999999999</v>
      </c>
      <c r="AG149" s="671">
        <f t="shared" si="18"/>
        <v>0</v>
      </c>
      <c r="AH149" s="1242">
        <f>AE149</f>
        <v>145.73949999999999</v>
      </c>
      <c r="AI149" s="683">
        <v>1</v>
      </c>
      <c r="AJ149" s="1244">
        <f>'[2]Учетная политика'!$U$9/100</f>
        <v>2.0517530043320545E-4</v>
      </c>
      <c r="AK149" s="702"/>
      <c r="AL149" s="683"/>
      <c r="AM149" s="683"/>
      <c r="AN149" s="702"/>
      <c r="AO149" s="683"/>
      <c r="AP149" s="702"/>
      <c r="AQ149" s="683"/>
      <c r="AR149" s="702"/>
      <c r="AS149" s="683"/>
      <c r="AT149" s="632"/>
      <c r="AU149" s="632"/>
      <c r="AV149" s="632"/>
      <c r="AW149" s="632" t="s">
        <v>504</v>
      </c>
      <c r="AX149" s="632"/>
      <c r="AY149" s="632"/>
      <c r="AZ149" s="683"/>
      <c r="BA149" s="1245">
        <v>120</v>
      </c>
      <c r="BB149" s="1244">
        <f>BA149/1000/741347.5</f>
        <v>1.6186741035749092E-7</v>
      </c>
      <c r="BC149" s="717">
        <v>6934</v>
      </c>
      <c r="BD149" s="710">
        <v>53</v>
      </c>
      <c r="BE149" s="706">
        <f>17+6</f>
        <v>23</v>
      </c>
      <c r="BF149" s="710"/>
      <c r="BG149" s="710">
        <f>1+1+1+1+1</f>
        <v>5</v>
      </c>
      <c r="BH149" s="710"/>
      <c r="BI149" s="710"/>
      <c r="BJ149" s="710"/>
      <c r="BK149" s="710">
        <f>1+1</f>
        <v>2</v>
      </c>
      <c r="BL149" s="710">
        <f>1</f>
        <v>1</v>
      </c>
      <c r="BM149" s="710">
        <f>1</f>
        <v>1</v>
      </c>
      <c r="BN149" s="710">
        <f>1</f>
        <v>1</v>
      </c>
      <c r="BO149" s="710"/>
      <c r="BP149" s="710">
        <f>1</f>
        <v>1</v>
      </c>
      <c r="BQ149" s="710">
        <f>1+1+1+1+1+1+1</f>
        <v>7</v>
      </c>
      <c r="BR149" s="710"/>
      <c r="BS149" s="710"/>
      <c r="BT149" s="710"/>
      <c r="BU149" s="710"/>
      <c r="BV149" s="710"/>
      <c r="BW149" s="710"/>
      <c r="BX149" s="710">
        <f>1+1+1</f>
        <v>3</v>
      </c>
      <c r="BY149" s="710"/>
      <c r="BZ149" s="710">
        <f>1+1+1</f>
        <v>3</v>
      </c>
      <c r="CA149" s="717">
        <f t="shared" si="22"/>
        <v>24</v>
      </c>
      <c r="CB149" s="717">
        <f t="shared" si="19"/>
        <v>24</v>
      </c>
      <c r="CC149" s="717">
        <f t="shared" si="20"/>
        <v>0</v>
      </c>
      <c r="CD149" s="1246">
        <f>'[3]ТБ19, ТБ18'!$H$24/1000</f>
        <v>3868.3891406400003</v>
      </c>
      <c r="CE149" s="632" t="s">
        <v>1716</v>
      </c>
      <c r="CF149" s="632" t="s">
        <v>1717</v>
      </c>
      <c r="CG149" s="683">
        <f>CD149/CH149</f>
        <v>0.71845160293309762</v>
      </c>
      <c r="CH149" s="671">
        <f>5384342/1000</f>
        <v>5384.3419999999996</v>
      </c>
      <c r="CI149" s="683" t="s">
        <v>1718</v>
      </c>
      <c r="CJ149" s="632" t="s">
        <v>500</v>
      </c>
      <c r="CK149" s="632" t="s">
        <v>1719</v>
      </c>
      <c r="CL149" s="632" t="s">
        <v>1720</v>
      </c>
      <c r="CM149" s="710">
        <v>10</v>
      </c>
      <c r="CN149" s="710">
        <v>0</v>
      </c>
      <c r="CO149" s="710">
        <v>6</v>
      </c>
      <c r="CP149" s="632" t="s">
        <v>504</v>
      </c>
      <c r="CQ149" s="632"/>
      <c r="CR149" s="710"/>
      <c r="CS149" s="632" t="s">
        <v>504</v>
      </c>
      <c r="CT149" s="632"/>
      <c r="CU149" s="710"/>
      <c r="CV149" s="710" t="s">
        <v>504</v>
      </c>
      <c r="CW149" s="710"/>
      <c r="CX149" s="710"/>
      <c r="CY149" s="710" t="s">
        <v>504</v>
      </c>
      <c r="CZ149" s="710"/>
      <c r="DA149" s="710"/>
      <c r="DB149" s="632" t="s">
        <v>504</v>
      </c>
      <c r="DC149" s="632"/>
      <c r="DD149" s="710"/>
      <c r="DE149" s="632" t="s">
        <v>500</v>
      </c>
      <c r="DF149" s="632" t="s">
        <v>1721</v>
      </c>
      <c r="DG149" s="717">
        <v>4430</v>
      </c>
      <c r="DH149" s="632" t="s">
        <v>504</v>
      </c>
      <c r="DI149" s="632"/>
      <c r="DJ149" s="710"/>
      <c r="DK149" s="632" t="s">
        <v>504</v>
      </c>
      <c r="DL149" s="632"/>
      <c r="DM149" s="710"/>
      <c r="DN149" s="632" t="s">
        <v>504</v>
      </c>
      <c r="DO149" s="632"/>
      <c r="DP149" s="710"/>
      <c r="DQ149" s="632" t="s">
        <v>504</v>
      </c>
      <c r="DR149" s="632"/>
      <c r="DS149" s="710"/>
      <c r="DT149" s="710" t="s">
        <v>504</v>
      </c>
      <c r="DU149" s="710"/>
      <c r="DV149" s="710"/>
      <c r="DW149" s="632" t="s">
        <v>504</v>
      </c>
      <c r="DX149" s="632"/>
      <c r="DY149" s="710"/>
      <c r="DZ149" s="632" t="s">
        <v>500</v>
      </c>
      <c r="EA149" s="738" t="s">
        <v>1722</v>
      </c>
      <c r="EB149" s="717">
        <f>15*2*6</f>
        <v>180</v>
      </c>
      <c r="EC149" s="632" t="s">
        <v>504</v>
      </c>
      <c r="ED149" s="632"/>
      <c r="EE149" s="710"/>
      <c r="EF149" s="710" t="s">
        <v>504</v>
      </c>
      <c r="EG149" s="710"/>
      <c r="EH149" s="710"/>
      <c r="EI149" s="632" t="s">
        <v>500</v>
      </c>
      <c r="EJ149" s="738" t="s">
        <v>2564</v>
      </c>
      <c r="EK149" s="717">
        <v>2760</v>
      </c>
      <c r="EL149" s="632" t="s">
        <v>504</v>
      </c>
      <c r="EM149" s="632" t="s">
        <v>1723</v>
      </c>
      <c r="EN149" s="717">
        <v>0</v>
      </c>
      <c r="EO149" s="632" t="s">
        <v>500</v>
      </c>
      <c r="EP149" s="632" t="s">
        <v>1724</v>
      </c>
      <c r="EQ149" s="632" t="s">
        <v>1725</v>
      </c>
      <c r="ER149" s="632" t="s">
        <v>1726</v>
      </c>
      <c r="ES149" s="653" t="s">
        <v>1727</v>
      </c>
      <c r="ET149" s="632" t="s">
        <v>1728</v>
      </c>
      <c r="EU149" s="632" t="s">
        <v>1729</v>
      </c>
      <c r="EV149" s="632" t="s">
        <v>1730</v>
      </c>
      <c r="EW149" s="632" t="s">
        <v>2574</v>
      </c>
      <c r="EX149" s="632" t="s">
        <v>2575</v>
      </c>
    </row>
    <row r="150" spans="3:154" ht="75.95" customHeight="1" x14ac:dyDescent="0.2">
      <c r="C150" s="1156" t="s">
        <v>782</v>
      </c>
      <c r="D150" s="1156" t="s">
        <v>5277</v>
      </c>
      <c r="E150" s="738" t="s">
        <v>345</v>
      </c>
      <c r="F150" s="738" t="s">
        <v>430</v>
      </c>
      <c r="G150" s="738"/>
      <c r="H150" s="632" t="s">
        <v>1735</v>
      </c>
      <c r="I150" s="1243" t="s">
        <v>1736</v>
      </c>
      <c r="J150" s="637">
        <v>2019</v>
      </c>
      <c r="K150" s="377">
        <v>43709</v>
      </c>
      <c r="L150" s="377">
        <v>44196</v>
      </c>
      <c r="M150" s="1369">
        <f t="shared" si="21"/>
        <v>487</v>
      </c>
      <c r="N150" s="632" t="s">
        <v>504</v>
      </c>
      <c r="O150" s="632"/>
      <c r="P150" s="632"/>
      <c r="Q150" s="632"/>
      <c r="R150" s="632"/>
      <c r="S150" s="632"/>
      <c r="T150" s="632"/>
      <c r="U150" s="632"/>
      <c r="V150" s="632"/>
      <c r="W150" s="632"/>
      <c r="X150" s="632"/>
      <c r="Y150" s="632"/>
      <c r="Z150" s="632"/>
      <c r="AA150" s="632" t="s">
        <v>1737</v>
      </c>
      <c r="AB150" s="632" t="s">
        <v>1737</v>
      </c>
      <c r="AC150" s="632" t="s">
        <v>504</v>
      </c>
      <c r="AD150" s="632" t="s">
        <v>1738</v>
      </c>
      <c r="AE150" s="1242">
        <v>3</v>
      </c>
      <c r="AF150" s="671">
        <f t="shared" si="17"/>
        <v>3</v>
      </c>
      <c r="AG150" s="671">
        <f t="shared" si="18"/>
        <v>0</v>
      </c>
      <c r="AH150" s="1242">
        <v>3</v>
      </c>
      <c r="AI150" s="683">
        <v>1</v>
      </c>
      <c r="AJ150" s="1247">
        <f>AH150/710316981.1*100</f>
        <v>4.2234665365231548E-7</v>
      </c>
      <c r="AK150" s="702">
        <v>0</v>
      </c>
      <c r="AL150" s="683">
        <v>0</v>
      </c>
      <c r="AM150" s="683"/>
      <c r="AN150" s="702">
        <v>0</v>
      </c>
      <c r="AO150" s="683">
        <v>0</v>
      </c>
      <c r="AP150" s="702">
        <v>0</v>
      </c>
      <c r="AQ150" s="683">
        <v>0</v>
      </c>
      <c r="AR150" s="702">
        <v>0</v>
      </c>
      <c r="AS150" s="683">
        <v>0</v>
      </c>
      <c r="AT150" s="632" t="s">
        <v>504</v>
      </c>
      <c r="AU150" s="632" t="s">
        <v>504</v>
      </c>
      <c r="AV150" s="632" t="s">
        <v>504</v>
      </c>
      <c r="AW150" s="632" t="s">
        <v>504</v>
      </c>
      <c r="AX150" s="632"/>
      <c r="AY150" s="632"/>
      <c r="AZ150" s="683"/>
      <c r="BA150" s="1245">
        <v>6</v>
      </c>
      <c r="BB150" s="1244">
        <f>BA150/741347500*100</f>
        <v>8.0933705178745462E-7</v>
      </c>
      <c r="BC150" s="717">
        <v>11</v>
      </c>
      <c r="BD150" s="710">
        <v>11</v>
      </c>
      <c r="BE150" s="706">
        <v>2</v>
      </c>
      <c r="BF150" s="710">
        <v>0</v>
      </c>
      <c r="BG150" s="710">
        <v>0</v>
      </c>
      <c r="BH150" s="710">
        <v>0</v>
      </c>
      <c r="BI150" s="710">
        <v>0</v>
      </c>
      <c r="BJ150" s="710">
        <v>0</v>
      </c>
      <c r="BK150" s="710">
        <v>0</v>
      </c>
      <c r="BL150" s="710">
        <v>0</v>
      </c>
      <c r="BM150" s="710">
        <v>0</v>
      </c>
      <c r="BN150" s="710">
        <v>0</v>
      </c>
      <c r="BO150" s="710">
        <v>0</v>
      </c>
      <c r="BP150" s="710">
        <v>0</v>
      </c>
      <c r="BQ150" s="710">
        <v>0</v>
      </c>
      <c r="BR150" s="710">
        <v>0</v>
      </c>
      <c r="BS150" s="710">
        <v>0</v>
      </c>
      <c r="BT150" s="710">
        <v>0</v>
      </c>
      <c r="BU150" s="710">
        <v>0</v>
      </c>
      <c r="BV150" s="710">
        <v>0</v>
      </c>
      <c r="BW150" s="710">
        <v>0</v>
      </c>
      <c r="BX150" s="710">
        <v>0</v>
      </c>
      <c r="BY150" s="710">
        <v>2</v>
      </c>
      <c r="BZ150" s="710">
        <v>0</v>
      </c>
      <c r="CA150" s="717">
        <f t="shared" si="22"/>
        <v>2</v>
      </c>
      <c r="CB150" s="717">
        <f t="shared" si="19"/>
        <v>2</v>
      </c>
      <c r="CC150" s="717">
        <f t="shared" si="20"/>
        <v>0</v>
      </c>
      <c r="CD150" s="1246">
        <v>12</v>
      </c>
      <c r="CE150" s="632" t="s">
        <v>1739</v>
      </c>
      <c r="CF150" s="653" t="s">
        <v>1740</v>
      </c>
      <c r="CG150" s="683">
        <f>CD150/CH150</f>
        <v>2.2286845820714956E-6</v>
      </c>
      <c r="CH150" s="710">
        <v>5384342</v>
      </c>
      <c r="CI150" s="683" t="s">
        <v>1718</v>
      </c>
      <c r="CJ150" s="632" t="s">
        <v>500</v>
      </c>
      <c r="CK150" s="632" t="s">
        <v>1741</v>
      </c>
      <c r="CL150" s="632" t="s">
        <v>1742</v>
      </c>
      <c r="CM150" s="710">
        <v>2</v>
      </c>
      <c r="CN150" s="710">
        <v>5</v>
      </c>
      <c r="CO150" s="710"/>
      <c r="CP150" s="632" t="s">
        <v>504</v>
      </c>
      <c r="CQ150" s="632"/>
      <c r="CR150" s="710"/>
      <c r="CS150" s="632" t="s">
        <v>500</v>
      </c>
      <c r="CT150" s="632" t="s">
        <v>1743</v>
      </c>
      <c r="CU150" s="717">
        <v>220</v>
      </c>
      <c r="CV150" s="710" t="s">
        <v>504</v>
      </c>
      <c r="CW150" s="710"/>
      <c r="CX150" s="710"/>
      <c r="CY150" s="710" t="s">
        <v>504</v>
      </c>
      <c r="CZ150" s="710"/>
      <c r="DA150" s="710"/>
      <c r="DB150" s="632" t="s">
        <v>504</v>
      </c>
      <c r="DC150" s="632"/>
      <c r="DD150" s="710"/>
      <c r="DE150" s="632" t="s">
        <v>504</v>
      </c>
      <c r="DF150" s="632"/>
      <c r="DG150" s="710"/>
      <c r="DH150" s="632" t="s">
        <v>504</v>
      </c>
      <c r="DI150" s="632"/>
      <c r="DJ150" s="710"/>
      <c r="DK150" s="632"/>
      <c r="DL150" s="632"/>
      <c r="DM150" s="710"/>
      <c r="DN150" s="632" t="s">
        <v>504</v>
      </c>
      <c r="DO150" s="632"/>
      <c r="DP150" s="710"/>
      <c r="DQ150" s="632" t="s">
        <v>500</v>
      </c>
      <c r="DR150" s="632" t="s">
        <v>1744</v>
      </c>
      <c r="DS150" s="717">
        <v>120</v>
      </c>
      <c r="DT150" s="710" t="s">
        <v>504</v>
      </c>
      <c r="DU150" s="710"/>
      <c r="DV150" s="710"/>
      <c r="DW150" s="632" t="s">
        <v>504</v>
      </c>
      <c r="DX150" s="632"/>
      <c r="DY150" s="710"/>
      <c r="DZ150" s="632" t="s">
        <v>504</v>
      </c>
      <c r="EA150" s="632"/>
      <c r="EB150" s="710"/>
      <c r="EC150" s="632" t="s">
        <v>504</v>
      </c>
      <c r="ED150" s="632"/>
      <c r="EE150" s="710"/>
      <c r="EF150" s="710" t="s">
        <v>504</v>
      </c>
      <c r="EG150" s="710"/>
      <c r="EH150" s="710"/>
      <c r="EI150" s="632" t="s">
        <v>504</v>
      </c>
      <c r="EJ150" s="632" t="s">
        <v>1745</v>
      </c>
      <c r="EK150" s="717">
        <v>129</v>
      </c>
      <c r="EL150" s="632" t="s">
        <v>504</v>
      </c>
      <c r="EM150" s="632"/>
      <c r="EN150" s="670">
        <v>0</v>
      </c>
      <c r="EO150" s="632" t="s">
        <v>504</v>
      </c>
      <c r="EP150" s="632"/>
      <c r="EQ150" s="632" t="s">
        <v>1746</v>
      </c>
      <c r="ER150" s="632" t="s">
        <v>1746</v>
      </c>
      <c r="ES150" s="632" t="s">
        <v>1747</v>
      </c>
      <c r="ET150" s="632" t="s">
        <v>504</v>
      </c>
      <c r="EU150" s="632" t="s">
        <v>504</v>
      </c>
      <c r="EV150" s="632" t="s">
        <v>504</v>
      </c>
      <c r="EW150" s="632">
        <v>0</v>
      </c>
      <c r="EX150" s="632">
        <v>0</v>
      </c>
    </row>
    <row r="151" spans="3:154" ht="87.95" customHeight="1" x14ac:dyDescent="0.2">
      <c r="C151" s="1156" t="s">
        <v>693</v>
      </c>
      <c r="D151" s="1156" t="s">
        <v>5277</v>
      </c>
      <c r="E151" s="738" t="s">
        <v>346</v>
      </c>
      <c r="F151" s="738" t="s">
        <v>431</v>
      </c>
      <c r="G151" s="738"/>
      <c r="H151" s="632" t="s">
        <v>1937</v>
      </c>
      <c r="I151" s="632" t="s">
        <v>1938</v>
      </c>
      <c r="J151" s="637">
        <v>2017</v>
      </c>
      <c r="K151" s="377">
        <v>43860</v>
      </c>
      <c r="L151" s="377">
        <v>44190</v>
      </c>
      <c r="M151" s="1369">
        <f t="shared" si="21"/>
        <v>330</v>
      </c>
      <c r="N151" s="632" t="s">
        <v>1939</v>
      </c>
      <c r="O151" s="632" t="s">
        <v>1940</v>
      </c>
      <c r="P151" s="748" t="s">
        <v>1941</v>
      </c>
      <c r="Q151" s="632"/>
      <c r="R151" s="632"/>
      <c r="S151" s="632"/>
      <c r="T151" s="632"/>
      <c r="U151" s="632"/>
      <c r="V151" s="632"/>
      <c r="W151" s="632" t="s">
        <v>1942</v>
      </c>
      <c r="X151" s="748" t="s">
        <v>1943</v>
      </c>
      <c r="Y151" s="748"/>
      <c r="Z151" s="748"/>
      <c r="AA151" s="632" t="s">
        <v>1944</v>
      </c>
      <c r="AB151" s="632" t="s">
        <v>1945</v>
      </c>
      <c r="AC151" s="632" t="s">
        <v>671</v>
      </c>
      <c r="AD151" s="632" t="s">
        <v>1946</v>
      </c>
      <c r="AE151" s="702">
        <f>169.135+6.294+50.922+770.1+15.7</f>
        <v>1012.1510000000001</v>
      </c>
      <c r="AF151" s="671">
        <f t="shared" si="17"/>
        <v>1012.1514000000001</v>
      </c>
      <c r="AG151" s="671">
        <f t="shared" si="18"/>
        <v>4.0000000001327862E-4</v>
      </c>
      <c r="AH151" s="702">
        <f>116.397+6.294+15.7</f>
        <v>138.39099999999999</v>
      </c>
      <c r="AI151" s="683">
        <v>0.13669999999999999</v>
      </c>
      <c r="AJ151" s="683">
        <v>1.0399999999999999E-3</v>
      </c>
      <c r="AK151" s="702">
        <v>28.024999999999999</v>
      </c>
      <c r="AL151" s="683">
        <v>2.768E-2</v>
      </c>
      <c r="AM151" s="683"/>
      <c r="AN151" s="702">
        <v>9.11</v>
      </c>
      <c r="AO151" s="683">
        <v>8.9999999999999993E-3</v>
      </c>
      <c r="AP151" s="702">
        <v>15.603400000000001</v>
      </c>
      <c r="AQ151" s="683">
        <v>1.541E-2</v>
      </c>
      <c r="AR151" s="702">
        <f>770.1+50.922</f>
        <v>821.02200000000005</v>
      </c>
      <c r="AS151" s="683">
        <v>0.81115999999999999</v>
      </c>
      <c r="AT151" s="632" t="s">
        <v>1947</v>
      </c>
      <c r="AU151" s="632" t="s">
        <v>1948</v>
      </c>
      <c r="AV151" s="632" t="s">
        <v>1949</v>
      </c>
      <c r="AW151" s="632" t="s">
        <v>500</v>
      </c>
      <c r="AX151" s="632" t="s">
        <v>1950</v>
      </c>
      <c r="AY151" s="632">
        <f>11.326+24.563</f>
        <v>35.888999999999996</v>
      </c>
      <c r="AZ151" s="683">
        <v>3.5450000000000002E-2</v>
      </c>
      <c r="BA151" s="702">
        <v>120</v>
      </c>
      <c r="BB151" s="683">
        <v>7.3099999999999997E-3</v>
      </c>
      <c r="BC151" s="1440">
        <v>484</v>
      </c>
      <c r="BD151" s="710">
        <v>202</v>
      </c>
      <c r="BE151" s="706">
        <v>156</v>
      </c>
      <c r="BF151" s="710">
        <v>62</v>
      </c>
      <c r="BG151" s="710"/>
      <c r="BH151" s="710">
        <v>12</v>
      </c>
      <c r="BI151" s="710">
        <v>3</v>
      </c>
      <c r="BJ151" s="710"/>
      <c r="BK151" s="710"/>
      <c r="BL151" s="710"/>
      <c r="BM151" s="710">
        <v>11</v>
      </c>
      <c r="BN151" s="710">
        <v>9</v>
      </c>
      <c r="BO151" s="710"/>
      <c r="BP151" s="710">
        <v>12</v>
      </c>
      <c r="BQ151" s="710">
        <v>35</v>
      </c>
      <c r="BR151" s="710">
        <v>8</v>
      </c>
      <c r="BS151" s="710"/>
      <c r="BT151" s="710"/>
      <c r="BU151" s="710"/>
      <c r="BV151" s="710"/>
      <c r="BW151" s="710"/>
      <c r="BX151" s="710"/>
      <c r="BY151" s="710"/>
      <c r="BZ151" s="710"/>
      <c r="CA151" s="717">
        <f t="shared" si="22"/>
        <v>152</v>
      </c>
      <c r="CB151" s="717">
        <f t="shared" si="19"/>
        <v>152</v>
      </c>
      <c r="CC151" s="717">
        <f t="shared" si="20"/>
        <v>0</v>
      </c>
      <c r="CD151" s="671">
        <v>323.54000000000002</v>
      </c>
      <c r="CE151" s="632" t="s">
        <v>1953</v>
      </c>
      <c r="CF151" s="632"/>
      <c r="CG151" s="683">
        <v>0.13428000000000001</v>
      </c>
      <c r="CH151" s="671">
        <v>2409.4279999999999</v>
      </c>
      <c r="CI151" s="729" t="s">
        <v>1954</v>
      </c>
      <c r="CJ151" s="632" t="s">
        <v>504</v>
      </c>
      <c r="CK151" s="632"/>
      <c r="CL151" s="632"/>
      <c r="CM151" s="710"/>
      <c r="CN151" s="710"/>
      <c r="CO151" s="710">
        <v>5</v>
      </c>
      <c r="CP151" s="632" t="s">
        <v>500</v>
      </c>
      <c r="CQ151" s="632" t="s">
        <v>1955</v>
      </c>
      <c r="CR151" s="710">
        <v>14544</v>
      </c>
      <c r="CS151" s="632" t="s">
        <v>500</v>
      </c>
      <c r="CT151" s="632" t="s">
        <v>1956</v>
      </c>
      <c r="CU151" s="710">
        <v>19752</v>
      </c>
      <c r="CV151" s="710"/>
      <c r="CW151" s="710"/>
      <c r="CX151" s="710"/>
      <c r="CY151" s="710"/>
      <c r="CZ151" s="710"/>
      <c r="DA151" s="710"/>
      <c r="DB151" s="632"/>
      <c r="DC151" s="632"/>
      <c r="DD151" s="710"/>
      <c r="DE151" s="632" t="s">
        <v>500</v>
      </c>
      <c r="DF151" s="632" t="s">
        <v>1957</v>
      </c>
      <c r="DG151" s="710">
        <v>354</v>
      </c>
      <c r="DH151" s="632"/>
      <c r="DI151" s="632"/>
      <c r="DJ151" s="710"/>
      <c r="DK151" s="632"/>
      <c r="DL151" s="632"/>
      <c r="DM151" s="710"/>
      <c r="DN151" s="632"/>
      <c r="DO151" s="632"/>
      <c r="DP151" s="710"/>
      <c r="DQ151" s="632" t="s">
        <v>500</v>
      </c>
      <c r="DR151" s="632" t="s">
        <v>1958</v>
      </c>
      <c r="DS151" s="710">
        <v>35267</v>
      </c>
      <c r="DT151" s="710"/>
      <c r="DU151" s="710"/>
      <c r="DV151" s="710"/>
      <c r="DW151" s="632"/>
      <c r="DX151" s="632"/>
      <c r="DY151" s="710"/>
      <c r="DZ151" s="632"/>
      <c r="EA151" s="632"/>
      <c r="EB151" s="710"/>
      <c r="EC151" s="632" t="s">
        <v>500</v>
      </c>
      <c r="ED151" s="632" t="s">
        <v>1959</v>
      </c>
      <c r="EE151" s="710">
        <v>17</v>
      </c>
      <c r="EF151" s="710"/>
      <c r="EG151" s="710"/>
      <c r="EH151" s="710"/>
      <c r="EI151" s="632"/>
      <c r="EJ151" s="632"/>
      <c r="EK151" s="710"/>
      <c r="EL151" s="632" t="s">
        <v>1960</v>
      </c>
      <c r="EM151" s="632" t="s">
        <v>1961</v>
      </c>
      <c r="EN151" s="670">
        <v>202</v>
      </c>
      <c r="EO151" s="632" t="s">
        <v>504</v>
      </c>
      <c r="EP151" s="632"/>
      <c r="EQ151" s="748" t="s">
        <v>1962</v>
      </c>
      <c r="ER151" s="748" t="s">
        <v>1963</v>
      </c>
      <c r="ES151" s="748" t="s">
        <v>1964</v>
      </c>
      <c r="ET151" s="748" t="s">
        <v>1965</v>
      </c>
      <c r="EU151" s="632" t="s">
        <v>504</v>
      </c>
      <c r="EV151" s="632" t="s">
        <v>1966</v>
      </c>
      <c r="EW151" s="632">
        <v>3</v>
      </c>
      <c r="EX151" s="632">
        <v>811</v>
      </c>
    </row>
    <row r="152" spans="3:154" ht="80.099999999999994" customHeight="1" x14ac:dyDescent="0.2">
      <c r="C152" s="1156" t="s">
        <v>693</v>
      </c>
      <c r="D152" s="1156" t="s">
        <v>5277</v>
      </c>
      <c r="E152" s="738" t="s">
        <v>347</v>
      </c>
      <c r="F152" s="738" t="s">
        <v>432</v>
      </c>
      <c r="G152" s="738"/>
      <c r="H152" s="632" t="s">
        <v>2074</v>
      </c>
      <c r="I152" s="632" t="s">
        <v>2075</v>
      </c>
      <c r="J152" s="637">
        <v>2017</v>
      </c>
      <c r="K152" s="377">
        <v>43831</v>
      </c>
      <c r="L152" s="377">
        <v>44196</v>
      </c>
      <c r="M152" s="1369">
        <f t="shared" si="21"/>
        <v>365</v>
      </c>
      <c r="N152" s="632" t="s">
        <v>2076</v>
      </c>
      <c r="O152" s="632" t="s">
        <v>2076</v>
      </c>
      <c r="P152" s="653" t="s">
        <v>2077</v>
      </c>
      <c r="Q152" s="632" t="s">
        <v>2078</v>
      </c>
      <c r="R152" s="653" t="s">
        <v>2077</v>
      </c>
      <c r="S152" s="632"/>
      <c r="T152" s="653"/>
      <c r="U152" s="632" t="s">
        <v>2074</v>
      </c>
      <c r="V152" s="653" t="s">
        <v>2077</v>
      </c>
      <c r="W152" s="632" t="s">
        <v>2079</v>
      </c>
      <c r="X152" s="653" t="s">
        <v>2077</v>
      </c>
      <c r="Y152" s="653"/>
      <c r="Z152" s="653"/>
      <c r="AA152" s="632" t="s">
        <v>2080</v>
      </c>
      <c r="AB152" s="632" t="s">
        <v>2080</v>
      </c>
      <c r="AC152" s="632" t="s">
        <v>622</v>
      </c>
      <c r="AD152" s="632" t="s">
        <v>1127</v>
      </c>
      <c r="AE152" s="702">
        <v>686.3</v>
      </c>
      <c r="AF152" s="671">
        <f>AH152+AK152+AN152+AP152+AR152</f>
        <v>686.3</v>
      </c>
      <c r="AG152" s="671">
        <f t="shared" si="18"/>
        <v>0</v>
      </c>
      <c r="AH152" s="702">
        <v>500</v>
      </c>
      <c r="AI152" s="683">
        <v>0.49230000000000002</v>
      </c>
      <c r="AJ152" s="683">
        <v>2.2000000000000001E-3</v>
      </c>
      <c r="AK152" s="702">
        <v>128.19999999999999</v>
      </c>
      <c r="AL152" s="683">
        <v>0.126</v>
      </c>
      <c r="AM152" s="683"/>
      <c r="AN152" s="702">
        <v>31.3</v>
      </c>
      <c r="AO152" s="683">
        <v>3.0800000000000001E-2</v>
      </c>
      <c r="AP152" s="702">
        <v>26.8</v>
      </c>
      <c r="AQ152" s="683">
        <v>2.5999999999999999E-2</v>
      </c>
      <c r="AR152" s="702">
        <v>0</v>
      </c>
      <c r="AS152" s="683">
        <v>0</v>
      </c>
      <c r="AT152" s="632" t="s">
        <v>504</v>
      </c>
      <c r="AU152" s="632" t="s">
        <v>504</v>
      </c>
      <c r="AV152" s="632" t="s">
        <v>504</v>
      </c>
      <c r="AW152" s="632" t="s">
        <v>500</v>
      </c>
      <c r="AX152" s="632"/>
      <c r="AY152" s="632">
        <v>142.09</v>
      </c>
      <c r="AZ152" s="683">
        <v>0.1399</v>
      </c>
      <c r="BA152" s="706">
        <v>500</v>
      </c>
      <c r="BB152" s="683">
        <v>2.3999999999999998E-3</v>
      </c>
      <c r="BC152" s="710">
        <v>1832</v>
      </c>
      <c r="BD152" s="710">
        <v>503</v>
      </c>
      <c r="BE152" s="706">
        <v>332</v>
      </c>
      <c r="BF152" s="710">
        <v>41</v>
      </c>
      <c r="BG152" s="710">
        <v>25</v>
      </c>
      <c r="BH152" s="710">
        <v>22</v>
      </c>
      <c r="BI152" s="710">
        <v>3</v>
      </c>
      <c r="BJ152" s="710">
        <v>2</v>
      </c>
      <c r="BK152" s="710">
        <v>11</v>
      </c>
      <c r="BL152" s="710"/>
      <c r="BM152" s="710">
        <v>11</v>
      </c>
      <c r="BN152" s="710">
        <v>35</v>
      </c>
      <c r="BO152" s="710">
        <v>95</v>
      </c>
      <c r="BP152" s="710">
        <v>12</v>
      </c>
      <c r="BQ152" s="710">
        <v>15</v>
      </c>
      <c r="BR152" s="710">
        <v>6</v>
      </c>
      <c r="BS152" s="710">
        <v>4</v>
      </c>
      <c r="BT152" s="710"/>
      <c r="BU152" s="710"/>
      <c r="BV152" s="710"/>
      <c r="BW152" s="710">
        <v>14</v>
      </c>
      <c r="BX152" s="710"/>
      <c r="BY152" s="710"/>
      <c r="BZ152" s="710">
        <v>36</v>
      </c>
      <c r="CA152" s="717">
        <f t="shared" si="22"/>
        <v>332</v>
      </c>
      <c r="CB152" s="717">
        <f t="shared" si="19"/>
        <v>332</v>
      </c>
      <c r="CC152" s="717">
        <f t="shared" si="20"/>
        <v>0</v>
      </c>
      <c r="CD152" s="671">
        <v>828.4</v>
      </c>
      <c r="CE152" s="738" t="s">
        <v>2081</v>
      </c>
      <c r="CF152" s="653" t="s">
        <v>2077</v>
      </c>
      <c r="CG152" s="683">
        <v>0.85199999999999998</v>
      </c>
      <c r="CH152" s="671">
        <v>971.9</v>
      </c>
      <c r="CI152" s="733" t="s">
        <v>2082</v>
      </c>
      <c r="CJ152" s="632" t="s">
        <v>2083</v>
      </c>
      <c r="CK152" s="738" t="s">
        <v>504</v>
      </c>
      <c r="CL152" s="738" t="s">
        <v>504</v>
      </c>
      <c r="CM152" s="822" t="s">
        <v>2084</v>
      </c>
      <c r="CN152" s="822" t="s">
        <v>504</v>
      </c>
      <c r="CO152" s="822">
        <v>4</v>
      </c>
      <c r="CP152" s="738" t="s">
        <v>471</v>
      </c>
      <c r="CQ152" s="738" t="s">
        <v>2085</v>
      </c>
      <c r="CR152" s="822" t="s">
        <v>2086</v>
      </c>
      <c r="CS152" s="738" t="s">
        <v>471</v>
      </c>
      <c r="CT152" s="738" t="s">
        <v>2087</v>
      </c>
      <c r="CU152" s="822">
        <v>85700</v>
      </c>
      <c r="CV152" s="738" t="s">
        <v>504</v>
      </c>
      <c r="CW152" s="738"/>
      <c r="CX152" s="822"/>
      <c r="CY152" s="738" t="s">
        <v>471</v>
      </c>
      <c r="CZ152" s="738" t="s">
        <v>2088</v>
      </c>
      <c r="DA152" s="822" t="s">
        <v>2089</v>
      </c>
      <c r="DB152" s="738" t="s">
        <v>471</v>
      </c>
      <c r="DC152" s="738" t="s">
        <v>2088</v>
      </c>
      <c r="DD152" s="822" t="s">
        <v>2089</v>
      </c>
      <c r="DE152" s="738" t="s">
        <v>471</v>
      </c>
      <c r="DF152" s="738" t="s">
        <v>2090</v>
      </c>
      <c r="DG152" s="822">
        <v>397</v>
      </c>
      <c r="DH152" s="738" t="s">
        <v>471</v>
      </c>
      <c r="DI152" s="738" t="s">
        <v>823</v>
      </c>
      <c r="DJ152" s="822" t="s">
        <v>2091</v>
      </c>
      <c r="DK152" s="738" t="s">
        <v>471</v>
      </c>
      <c r="DL152" s="738" t="s">
        <v>2088</v>
      </c>
      <c r="DM152" s="822">
        <v>390</v>
      </c>
      <c r="DN152" s="632" t="s">
        <v>504</v>
      </c>
      <c r="DO152" s="632"/>
      <c r="DP152" s="710"/>
      <c r="DQ152" s="632" t="s">
        <v>504</v>
      </c>
      <c r="DR152" s="632"/>
      <c r="DS152" s="710"/>
      <c r="DT152" s="710" t="s">
        <v>504</v>
      </c>
      <c r="DU152" s="710"/>
      <c r="DV152" s="710"/>
      <c r="DW152" s="632" t="s">
        <v>504</v>
      </c>
      <c r="DX152" s="632"/>
      <c r="DY152" s="710"/>
      <c r="DZ152" s="632" t="s">
        <v>504</v>
      </c>
      <c r="EA152" s="632"/>
      <c r="EB152" s="710"/>
      <c r="EC152" s="632" t="s">
        <v>500</v>
      </c>
      <c r="ED152" s="632" t="s">
        <v>2092</v>
      </c>
      <c r="EE152" s="710">
        <v>13</v>
      </c>
      <c r="EF152" s="710" t="s">
        <v>504</v>
      </c>
      <c r="EG152" s="710"/>
      <c r="EH152" s="710"/>
      <c r="EI152" s="632" t="s">
        <v>504</v>
      </c>
      <c r="EJ152" s="632"/>
      <c r="EK152" s="710"/>
      <c r="EL152" s="688">
        <v>1</v>
      </c>
      <c r="EM152" s="632" t="s">
        <v>2093</v>
      </c>
      <c r="EN152" s="1177">
        <v>397</v>
      </c>
      <c r="EO152" s="738" t="s">
        <v>471</v>
      </c>
      <c r="EP152" s="738" t="s">
        <v>2094</v>
      </c>
      <c r="EQ152" s="653" t="s">
        <v>2095</v>
      </c>
      <c r="ER152" s="653" t="s">
        <v>2096</v>
      </c>
      <c r="ES152" s="653" t="s">
        <v>2097</v>
      </c>
      <c r="ET152" s="738" t="s">
        <v>2098</v>
      </c>
      <c r="EU152" s="653" t="s">
        <v>2099</v>
      </c>
      <c r="EV152" s="738" t="s">
        <v>2100</v>
      </c>
      <c r="EW152" s="738">
        <v>11</v>
      </c>
      <c r="EX152" s="738" t="s">
        <v>2101</v>
      </c>
    </row>
    <row r="153" spans="3:154" ht="66" customHeight="1" x14ac:dyDescent="0.2">
      <c r="C153" s="1156" t="s">
        <v>693</v>
      </c>
      <c r="D153" s="1156" t="s">
        <v>5277</v>
      </c>
      <c r="E153" s="738" t="s">
        <v>348</v>
      </c>
      <c r="F153" s="738" t="s">
        <v>433</v>
      </c>
      <c r="G153" s="738"/>
      <c r="H153" s="738" t="s">
        <v>1881</v>
      </c>
      <c r="I153" s="738" t="s">
        <v>1882</v>
      </c>
      <c r="J153" s="637">
        <v>2017</v>
      </c>
      <c r="K153" s="377">
        <v>43647</v>
      </c>
      <c r="L153" s="377">
        <v>44196</v>
      </c>
      <c r="M153" s="1369">
        <f t="shared" si="21"/>
        <v>549</v>
      </c>
      <c r="N153" s="738" t="s">
        <v>1883</v>
      </c>
      <c r="O153" s="738" t="s">
        <v>1884</v>
      </c>
      <c r="P153" s="653" t="s">
        <v>1885</v>
      </c>
      <c r="Q153" s="632" t="s">
        <v>504</v>
      </c>
      <c r="R153" s="632"/>
      <c r="S153" s="632" t="s">
        <v>504</v>
      </c>
      <c r="T153" s="632"/>
      <c r="U153" s="738" t="s">
        <v>1886</v>
      </c>
      <c r="V153" s="653" t="s">
        <v>1887</v>
      </c>
      <c r="W153" s="738" t="s">
        <v>504</v>
      </c>
      <c r="X153" s="632"/>
      <c r="Y153" s="632"/>
      <c r="Z153" s="632"/>
      <c r="AA153" s="738" t="s">
        <v>1888</v>
      </c>
      <c r="AB153" s="738" t="s">
        <v>1888</v>
      </c>
      <c r="AC153" s="738" t="s">
        <v>1889</v>
      </c>
      <c r="AD153" s="738" t="s">
        <v>1634</v>
      </c>
      <c r="AE153" s="702">
        <v>177.1</v>
      </c>
      <c r="AF153" s="671">
        <f t="shared" si="17"/>
        <v>177.1</v>
      </c>
      <c r="AG153" s="671">
        <f t="shared" si="18"/>
        <v>0</v>
      </c>
      <c r="AH153" s="702">
        <v>150.19999999999999</v>
      </c>
      <c r="AI153" s="683">
        <v>0.84799999999999998</v>
      </c>
      <c r="AJ153" s="683">
        <v>6.9999999999999999E-4</v>
      </c>
      <c r="AK153" s="702">
        <v>23</v>
      </c>
      <c r="AL153" s="683">
        <v>0.1298</v>
      </c>
      <c r="AM153" s="683"/>
      <c r="AN153" s="702">
        <v>1.5</v>
      </c>
      <c r="AO153" s="683">
        <v>8.5000000000000006E-3</v>
      </c>
      <c r="AP153" s="702">
        <v>2.4</v>
      </c>
      <c r="AQ153" s="683">
        <v>1.35E-2</v>
      </c>
      <c r="AR153" s="702">
        <v>0</v>
      </c>
      <c r="AS153" s="683">
        <v>0</v>
      </c>
      <c r="AT153" s="632" t="s">
        <v>504</v>
      </c>
      <c r="AU153" s="632" t="s">
        <v>504</v>
      </c>
      <c r="AV153" s="632" t="s">
        <v>504</v>
      </c>
      <c r="AW153" s="632" t="s">
        <v>500</v>
      </c>
      <c r="AX153" s="632" t="s">
        <v>1890</v>
      </c>
      <c r="AY153" s="671">
        <v>0.63</v>
      </c>
      <c r="AZ153" s="683">
        <v>3.5999999999999999E-3</v>
      </c>
      <c r="BA153" s="671">
        <v>187</v>
      </c>
      <c r="BB153" s="683">
        <v>1.5E-3</v>
      </c>
      <c r="BC153" s="710">
        <v>215</v>
      </c>
      <c r="BD153" s="710">
        <v>84</v>
      </c>
      <c r="BE153" s="706">
        <v>66</v>
      </c>
      <c r="BF153" s="710"/>
      <c r="BG153" s="710">
        <v>13</v>
      </c>
      <c r="BH153" s="710">
        <v>3</v>
      </c>
      <c r="BI153" s="710"/>
      <c r="BJ153" s="710">
        <v>1</v>
      </c>
      <c r="BK153" s="710">
        <v>3</v>
      </c>
      <c r="BL153" s="710"/>
      <c r="BM153" s="710">
        <v>1</v>
      </c>
      <c r="BN153" s="710">
        <v>15</v>
      </c>
      <c r="BO153" s="710"/>
      <c r="BP153" s="710">
        <v>9</v>
      </c>
      <c r="BQ153" s="710">
        <v>20</v>
      </c>
      <c r="BR153" s="710"/>
      <c r="BS153" s="710"/>
      <c r="BT153" s="710"/>
      <c r="BU153" s="710"/>
      <c r="BV153" s="710"/>
      <c r="BW153" s="710">
        <v>1</v>
      </c>
      <c r="BX153" s="710"/>
      <c r="BY153" s="710"/>
      <c r="BZ153" s="710"/>
      <c r="CA153" s="717">
        <f t="shared" si="22"/>
        <v>66</v>
      </c>
      <c r="CB153" s="717">
        <f t="shared" si="19"/>
        <v>66</v>
      </c>
      <c r="CC153" s="717">
        <f t="shared" si="20"/>
        <v>0</v>
      </c>
      <c r="CD153" s="671">
        <v>99.406000000000006</v>
      </c>
      <c r="CE153" s="632" t="s">
        <v>1891</v>
      </c>
      <c r="CF153" s="632"/>
      <c r="CG153" s="683">
        <v>0.20399999999999999</v>
      </c>
      <c r="CH153" s="671">
        <v>488.25700000000001</v>
      </c>
      <c r="CI153" s="653" t="s">
        <v>1757</v>
      </c>
      <c r="CJ153" s="632" t="s">
        <v>504</v>
      </c>
      <c r="CK153" s="632"/>
      <c r="CL153" s="632"/>
      <c r="CM153" s="710"/>
      <c r="CN153" s="710"/>
      <c r="CO153" s="710">
        <v>8</v>
      </c>
      <c r="CP153" s="632" t="s">
        <v>500</v>
      </c>
      <c r="CQ153" s="738" t="s">
        <v>1892</v>
      </c>
      <c r="CR153" s="710">
        <v>5307</v>
      </c>
      <c r="CS153" s="632" t="s">
        <v>500</v>
      </c>
      <c r="CT153" s="632" t="s">
        <v>1893</v>
      </c>
      <c r="CU153" s="710">
        <v>3232</v>
      </c>
      <c r="CV153" s="710" t="s">
        <v>504</v>
      </c>
      <c r="CW153" s="710"/>
      <c r="CX153" s="710"/>
      <c r="CY153" s="710" t="s">
        <v>504</v>
      </c>
      <c r="CZ153" s="710"/>
      <c r="DA153" s="710"/>
      <c r="DB153" s="632" t="s">
        <v>504</v>
      </c>
      <c r="DC153" s="632"/>
      <c r="DD153" s="710"/>
      <c r="DE153" s="632" t="s">
        <v>504</v>
      </c>
      <c r="DF153" s="632"/>
      <c r="DG153" s="710"/>
      <c r="DH153" s="632" t="s">
        <v>504</v>
      </c>
      <c r="DI153" s="632"/>
      <c r="DJ153" s="710"/>
      <c r="DK153" s="632"/>
      <c r="DL153" s="632"/>
      <c r="DM153" s="710"/>
      <c r="DN153" s="632" t="s">
        <v>504</v>
      </c>
      <c r="DO153" s="632"/>
      <c r="DP153" s="710"/>
      <c r="DQ153" s="632" t="s">
        <v>504</v>
      </c>
      <c r="DR153" s="632"/>
      <c r="DS153" s="710"/>
      <c r="DT153" s="710" t="s">
        <v>504</v>
      </c>
      <c r="DU153" s="710"/>
      <c r="DV153" s="710"/>
      <c r="DW153" s="632" t="s">
        <v>504</v>
      </c>
      <c r="DX153" s="632"/>
      <c r="DY153" s="710"/>
      <c r="DZ153" s="632" t="s">
        <v>504</v>
      </c>
      <c r="EA153" s="632"/>
      <c r="EB153" s="710"/>
      <c r="EC153" s="632" t="s">
        <v>500</v>
      </c>
      <c r="ED153" s="653" t="s">
        <v>1894</v>
      </c>
      <c r="EE153" s="710">
        <v>11</v>
      </c>
      <c r="EF153" s="710" t="s">
        <v>504</v>
      </c>
      <c r="EG153" s="710"/>
      <c r="EH153" s="710"/>
      <c r="EI153" s="632" t="s">
        <v>500</v>
      </c>
      <c r="EJ153" s="738" t="s">
        <v>1895</v>
      </c>
      <c r="EK153" s="710"/>
      <c r="EL153" s="688">
        <v>1</v>
      </c>
      <c r="EM153" s="632"/>
      <c r="EN153" s="670">
        <v>17</v>
      </c>
      <c r="EO153" s="632" t="s">
        <v>500</v>
      </c>
      <c r="EP153" s="632" t="s">
        <v>1896</v>
      </c>
      <c r="EQ153" s="653" t="s">
        <v>1897</v>
      </c>
      <c r="ER153" s="653" t="s">
        <v>1898</v>
      </c>
      <c r="ES153" s="632" t="s">
        <v>504</v>
      </c>
      <c r="ET153" s="632" t="s">
        <v>1899</v>
      </c>
      <c r="EU153" s="653" t="s">
        <v>2570</v>
      </c>
      <c r="EV153" s="632" t="s">
        <v>1900</v>
      </c>
      <c r="EW153" s="632" t="s">
        <v>465</v>
      </c>
      <c r="EX153" s="632" t="s">
        <v>465</v>
      </c>
    </row>
    <row r="154" spans="3:154" ht="68.099999999999994" customHeight="1" x14ac:dyDescent="0.2">
      <c r="C154" s="1156" t="s">
        <v>693</v>
      </c>
      <c r="D154" s="1156" t="s">
        <v>5277</v>
      </c>
      <c r="E154" s="738" t="s">
        <v>348</v>
      </c>
      <c r="F154" s="738" t="s">
        <v>433</v>
      </c>
      <c r="G154" s="738"/>
      <c r="H154" s="738" t="s">
        <v>1901</v>
      </c>
      <c r="I154" s="738" t="s">
        <v>1902</v>
      </c>
      <c r="J154" s="637">
        <v>2019</v>
      </c>
      <c r="K154" s="377">
        <v>43132</v>
      </c>
      <c r="L154" s="377">
        <v>44561</v>
      </c>
      <c r="M154" s="1369">
        <f t="shared" si="21"/>
        <v>1429</v>
      </c>
      <c r="N154" s="738" t="s">
        <v>1883</v>
      </c>
      <c r="O154" s="738" t="s">
        <v>1903</v>
      </c>
      <c r="P154" s="653" t="s">
        <v>1904</v>
      </c>
      <c r="Q154" s="632" t="s">
        <v>504</v>
      </c>
      <c r="R154" s="632"/>
      <c r="S154" s="632" t="s">
        <v>504</v>
      </c>
      <c r="T154" s="632"/>
      <c r="U154" s="738" t="s">
        <v>1886</v>
      </c>
      <c r="V154" s="653" t="s">
        <v>1905</v>
      </c>
      <c r="W154" s="632" t="s">
        <v>504</v>
      </c>
      <c r="X154" s="632"/>
      <c r="Y154" s="632"/>
      <c r="Z154" s="632"/>
      <c r="AA154" s="738" t="s">
        <v>1888</v>
      </c>
      <c r="AB154" s="738" t="s">
        <v>1906</v>
      </c>
      <c r="AC154" s="738" t="s">
        <v>1889</v>
      </c>
      <c r="AD154" s="738" t="s">
        <v>1634</v>
      </c>
      <c r="AE154" s="702">
        <v>433.1</v>
      </c>
      <c r="AF154" s="671">
        <f t="shared" si="17"/>
        <v>433.1</v>
      </c>
      <c r="AG154" s="671">
        <f t="shared" si="18"/>
        <v>0</v>
      </c>
      <c r="AH154" s="702">
        <v>428.8</v>
      </c>
      <c r="AI154" s="683">
        <v>0.99</v>
      </c>
      <c r="AJ154" s="683">
        <v>2.5999999999999999E-3</v>
      </c>
      <c r="AK154" s="702">
        <v>4.3</v>
      </c>
      <c r="AL154" s="683">
        <v>0.01</v>
      </c>
      <c r="AM154" s="683"/>
      <c r="AN154" s="702">
        <v>0</v>
      </c>
      <c r="AO154" s="683">
        <v>0</v>
      </c>
      <c r="AP154" s="702">
        <v>0</v>
      </c>
      <c r="AQ154" s="683">
        <v>0</v>
      </c>
      <c r="AR154" s="702">
        <v>0</v>
      </c>
      <c r="AS154" s="683">
        <v>0</v>
      </c>
      <c r="AT154" s="738" t="s">
        <v>504</v>
      </c>
      <c r="AU154" s="738" t="s">
        <v>504</v>
      </c>
      <c r="AV154" s="738" t="s">
        <v>504</v>
      </c>
      <c r="AW154" s="738" t="s">
        <v>504</v>
      </c>
      <c r="AX154" s="632"/>
      <c r="AY154" s="632"/>
      <c r="AZ154" s="683"/>
      <c r="BA154" s="671">
        <v>325</v>
      </c>
      <c r="BB154" s="683">
        <v>2.5000000000000001E-3</v>
      </c>
      <c r="BC154" s="710">
        <v>165</v>
      </c>
      <c r="BD154" s="710">
        <v>29</v>
      </c>
      <c r="BE154" s="706">
        <v>10</v>
      </c>
      <c r="BF154" s="710">
        <v>1</v>
      </c>
      <c r="BG154" s="710">
        <v>1</v>
      </c>
      <c r="BH154" s="710"/>
      <c r="BI154" s="710"/>
      <c r="BJ154" s="710"/>
      <c r="BK154" s="710">
        <v>1</v>
      </c>
      <c r="BL154" s="710"/>
      <c r="BM154" s="710">
        <v>1</v>
      </c>
      <c r="BN154" s="710">
        <v>3</v>
      </c>
      <c r="BO154" s="710"/>
      <c r="BP154" s="710"/>
      <c r="BQ154" s="710">
        <v>2</v>
      </c>
      <c r="BR154" s="710"/>
      <c r="BS154" s="710"/>
      <c r="BT154" s="710"/>
      <c r="BU154" s="710"/>
      <c r="BV154" s="710"/>
      <c r="BW154" s="710"/>
      <c r="BX154" s="710"/>
      <c r="BY154" s="710"/>
      <c r="BZ154" s="710"/>
      <c r="CA154" s="717">
        <f t="shared" si="22"/>
        <v>9</v>
      </c>
      <c r="CB154" s="717">
        <f t="shared" si="19"/>
        <v>9</v>
      </c>
      <c r="CC154" s="717">
        <f t="shared" si="20"/>
        <v>0</v>
      </c>
      <c r="CD154" s="671">
        <v>118</v>
      </c>
      <c r="CE154" s="738" t="s">
        <v>1907</v>
      </c>
      <c r="CF154" s="632"/>
      <c r="CG154" s="683">
        <v>0.24199999999999999</v>
      </c>
      <c r="CH154" s="671">
        <v>488.25700000000001</v>
      </c>
      <c r="CI154" s="653" t="s">
        <v>1757</v>
      </c>
      <c r="CJ154" s="632" t="s">
        <v>504</v>
      </c>
      <c r="CK154" s="632"/>
      <c r="CL154" s="632"/>
      <c r="CM154" s="710"/>
      <c r="CN154" s="710"/>
      <c r="CO154" s="710">
        <v>8</v>
      </c>
      <c r="CP154" s="632" t="s">
        <v>500</v>
      </c>
      <c r="CQ154" s="632"/>
      <c r="CR154" s="710"/>
      <c r="CS154" s="632" t="s">
        <v>500</v>
      </c>
      <c r="CT154" s="738" t="s">
        <v>1908</v>
      </c>
      <c r="CU154" s="710">
        <v>3095</v>
      </c>
      <c r="CV154" s="710" t="s">
        <v>504</v>
      </c>
      <c r="CW154" s="710"/>
      <c r="CX154" s="710"/>
      <c r="CY154" s="710" t="s">
        <v>504</v>
      </c>
      <c r="CZ154" s="710"/>
      <c r="DA154" s="710"/>
      <c r="DB154" s="632" t="s">
        <v>504</v>
      </c>
      <c r="DC154" s="632"/>
      <c r="DD154" s="710"/>
      <c r="DE154" s="632" t="s">
        <v>504</v>
      </c>
      <c r="DF154" s="632"/>
      <c r="DG154" s="710"/>
      <c r="DH154" s="632" t="s">
        <v>504</v>
      </c>
      <c r="DI154" s="632"/>
      <c r="DJ154" s="710"/>
      <c r="DK154" s="632"/>
      <c r="DL154" s="632"/>
      <c r="DM154" s="710"/>
      <c r="DN154" s="632" t="s">
        <v>500</v>
      </c>
      <c r="DO154" s="1186" t="s">
        <v>1909</v>
      </c>
      <c r="DP154" s="710">
        <v>20117</v>
      </c>
      <c r="DQ154" s="632" t="s">
        <v>500</v>
      </c>
      <c r="DR154" s="738" t="s">
        <v>1910</v>
      </c>
      <c r="DS154" s="710">
        <v>5021</v>
      </c>
      <c r="DT154" s="710" t="s">
        <v>504</v>
      </c>
      <c r="DU154" s="710"/>
      <c r="DV154" s="710"/>
      <c r="DW154" s="632" t="s">
        <v>504</v>
      </c>
      <c r="DX154" s="632"/>
      <c r="DY154" s="710"/>
      <c r="DZ154" s="632" t="s">
        <v>504</v>
      </c>
      <c r="EA154" s="632"/>
      <c r="EB154" s="710"/>
      <c r="EC154" s="632" t="s">
        <v>504</v>
      </c>
      <c r="ED154" s="632"/>
      <c r="EE154" s="710"/>
      <c r="EF154" s="632" t="s">
        <v>504</v>
      </c>
      <c r="EG154" s="710"/>
      <c r="EH154" s="710"/>
      <c r="EI154" s="632"/>
      <c r="EJ154" s="632"/>
      <c r="EK154" s="710"/>
      <c r="EL154" s="688">
        <v>1</v>
      </c>
      <c r="EM154" s="632"/>
      <c r="EN154" s="670">
        <v>16</v>
      </c>
      <c r="EO154" s="632" t="s">
        <v>500</v>
      </c>
      <c r="EP154" s="632" t="s">
        <v>1911</v>
      </c>
      <c r="EQ154" s="653" t="s">
        <v>1912</v>
      </c>
      <c r="ER154" s="653" t="s">
        <v>1913</v>
      </c>
      <c r="ES154" s="632" t="s">
        <v>504</v>
      </c>
      <c r="ET154" s="632" t="s">
        <v>1914</v>
      </c>
      <c r="EU154" s="653" t="s">
        <v>2571</v>
      </c>
      <c r="EV154" s="632" t="s">
        <v>1900</v>
      </c>
      <c r="EW154" s="632" t="s">
        <v>465</v>
      </c>
      <c r="EX154" s="632" t="s">
        <v>465</v>
      </c>
    </row>
    <row r="155" spans="3:154" ht="75" customHeight="1" x14ac:dyDescent="0.2">
      <c r="C155" s="1156" t="s">
        <v>782</v>
      </c>
      <c r="D155" s="1156" t="s">
        <v>5277</v>
      </c>
      <c r="E155" s="738" t="s">
        <v>348</v>
      </c>
      <c r="F155" s="738" t="s">
        <v>433</v>
      </c>
      <c r="G155" s="738"/>
      <c r="H155" s="738" t="s">
        <v>1915</v>
      </c>
      <c r="I155" s="738" t="s">
        <v>1916</v>
      </c>
      <c r="J155" s="738">
        <v>2018</v>
      </c>
      <c r="K155" s="377">
        <v>43739</v>
      </c>
      <c r="L155" s="377">
        <v>44196</v>
      </c>
      <c r="M155" s="1369">
        <f t="shared" si="21"/>
        <v>457</v>
      </c>
      <c r="N155" s="738" t="s">
        <v>1917</v>
      </c>
      <c r="O155" s="738" t="s">
        <v>1918</v>
      </c>
      <c r="P155" s="653" t="s">
        <v>1919</v>
      </c>
      <c r="Q155" s="738" t="s">
        <v>504</v>
      </c>
      <c r="R155" s="632"/>
      <c r="S155" s="632" t="s">
        <v>504</v>
      </c>
      <c r="T155" s="632"/>
      <c r="U155" s="738" t="s">
        <v>1886</v>
      </c>
      <c r="V155" s="653" t="s">
        <v>1887</v>
      </c>
      <c r="W155" s="738" t="s">
        <v>504</v>
      </c>
      <c r="X155" s="632"/>
      <c r="Y155" s="632"/>
      <c r="Z155" s="632"/>
      <c r="AA155" s="738" t="s">
        <v>1888</v>
      </c>
      <c r="AB155" s="738" t="s">
        <v>1888</v>
      </c>
      <c r="AC155" s="738" t="s">
        <v>1889</v>
      </c>
      <c r="AD155" s="738" t="s">
        <v>1634</v>
      </c>
      <c r="AE155" s="702">
        <v>347.7</v>
      </c>
      <c r="AF155" s="671">
        <f t="shared" si="17"/>
        <v>347.7</v>
      </c>
      <c r="AG155" s="671">
        <f t="shared" si="18"/>
        <v>0</v>
      </c>
      <c r="AH155" s="702">
        <v>344.2</v>
      </c>
      <c r="AI155" s="683">
        <v>0.9899</v>
      </c>
      <c r="AJ155" s="683">
        <v>2.0999999999999999E-3</v>
      </c>
      <c r="AK155" s="702">
        <v>3.5</v>
      </c>
      <c r="AL155" s="683">
        <v>1.01E-2</v>
      </c>
      <c r="AM155" s="683"/>
      <c r="AN155" s="702">
        <v>0</v>
      </c>
      <c r="AO155" s="683">
        <v>0</v>
      </c>
      <c r="AP155" s="702">
        <v>0</v>
      </c>
      <c r="AQ155" s="683">
        <v>0</v>
      </c>
      <c r="AR155" s="702">
        <v>0</v>
      </c>
      <c r="AS155" s="683">
        <v>0</v>
      </c>
      <c r="AT155" s="632" t="s">
        <v>504</v>
      </c>
      <c r="AU155" s="632" t="s">
        <v>504</v>
      </c>
      <c r="AV155" s="632" t="s">
        <v>504</v>
      </c>
      <c r="AW155" s="632" t="s">
        <v>504</v>
      </c>
      <c r="AX155" s="632" t="s">
        <v>1920</v>
      </c>
      <c r="AY155" s="632">
        <v>0</v>
      </c>
      <c r="AZ155" s="683">
        <v>0</v>
      </c>
      <c r="BA155" s="697">
        <v>315</v>
      </c>
      <c r="BB155" s="683">
        <v>1.8E-3</v>
      </c>
      <c r="BC155" s="710">
        <v>379</v>
      </c>
      <c r="BD155" s="710">
        <v>136</v>
      </c>
      <c r="BE155" s="706">
        <v>136</v>
      </c>
      <c r="BF155" s="710"/>
      <c r="BG155" s="710"/>
      <c r="BH155" s="710"/>
      <c r="BI155" s="710"/>
      <c r="BJ155" s="710"/>
      <c r="BK155" s="710"/>
      <c r="BL155" s="710"/>
      <c r="BM155" s="710"/>
      <c r="BN155" s="710"/>
      <c r="BO155" s="710"/>
      <c r="BP155" s="710"/>
      <c r="BQ155" s="710"/>
      <c r="BR155" s="710"/>
      <c r="BS155" s="710"/>
      <c r="BT155" s="710"/>
      <c r="BU155" s="710"/>
      <c r="BV155" s="710"/>
      <c r="BW155" s="710"/>
      <c r="BX155" s="710"/>
      <c r="BY155" s="710">
        <v>136</v>
      </c>
      <c r="BZ155" s="710"/>
      <c r="CA155" s="717">
        <f t="shared" si="22"/>
        <v>136</v>
      </c>
      <c r="CB155" s="717">
        <f t="shared" si="19"/>
        <v>136</v>
      </c>
      <c r="CC155" s="717">
        <f t="shared" si="20"/>
        <v>0</v>
      </c>
      <c r="CD155" s="671" t="s">
        <v>465</v>
      </c>
      <c r="CE155" s="632" t="s">
        <v>504</v>
      </c>
      <c r="CF155" s="632"/>
      <c r="CG155" s="683" t="s">
        <v>465</v>
      </c>
      <c r="CH155" s="671"/>
      <c r="CI155" s="683"/>
      <c r="CJ155" s="632" t="s">
        <v>504</v>
      </c>
      <c r="CK155" s="632"/>
      <c r="CL155" s="632"/>
      <c r="CM155" s="710"/>
      <c r="CN155" s="710"/>
      <c r="CO155" s="710">
        <v>8</v>
      </c>
      <c r="CP155" s="632" t="s">
        <v>500</v>
      </c>
      <c r="CQ155" s="632"/>
      <c r="CR155" s="710"/>
      <c r="CS155" s="632" t="s">
        <v>500</v>
      </c>
      <c r="CT155" s="738" t="s">
        <v>1921</v>
      </c>
      <c r="CU155" s="710">
        <v>8607</v>
      </c>
      <c r="CV155" s="710" t="s">
        <v>504</v>
      </c>
      <c r="CW155" s="710"/>
      <c r="CX155" s="710"/>
      <c r="CY155" s="710" t="s">
        <v>504</v>
      </c>
      <c r="CZ155" s="710"/>
      <c r="DA155" s="710"/>
      <c r="DB155" s="632" t="s">
        <v>500</v>
      </c>
      <c r="DC155" s="632"/>
      <c r="DD155" s="710"/>
      <c r="DE155" s="632" t="s">
        <v>504</v>
      </c>
      <c r="DF155" s="632"/>
      <c r="DG155" s="710"/>
      <c r="DH155" s="632" t="s">
        <v>504</v>
      </c>
      <c r="DI155" s="632"/>
      <c r="DJ155" s="710"/>
      <c r="DK155" s="632"/>
      <c r="DL155" s="632"/>
      <c r="DM155" s="710"/>
      <c r="DN155" s="632" t="s">
        <v>504</v>
      </c>
      <c r="DO155" s="632"/>
      <c r="DP155" s="710"/>
      <c r="DQ155" s="632" t="s">
        <v>504</v>
      </c>
      <c r="DR155" s="632"/>
      <c r="DS155" s="710"/>
      <c r="DT155" s="710" t="s">
        <v>504</v>
      </c>
      <c r="DU155" s="710"/>
      <c r="DV155" s="710"/>
      <c r="DW155" s="632" t="s">
        <v>504</v>
      </c>
      <c r="DX155" s="632"/>
      <c r="DY155" s="710"/>
      <c r="DZ155" s="632" t="s">
        <v>504</v>
      </c>
      <c r="EA155" s="632"/>
      <c r="EB155" s="710"/>
      <c r="EC155" s="632" t="s">
        <v>504</v>
      </c>
      <c r="ED155" s="632"/>
      <c r="EE155" s="710"/>
      <c r="EF155" s="710" t="s">
        <v>504</v>
      </c>
      <c r="EG155" s="710"/>
      <c r="EH155" s="710"/>
      <c r="EI155" s="632" t="s">
        <v>500</v>
      </c>
      <c r="EJ155" s="632" t="s">
        <v>1922</v>
      </c>
      <c r="EK155" s="710">
        <v>8607</v>
      </c>
      <c r="EL155" s="688">
        <v>1</v>
      </c>
      <c r="EM155" s="632"/>
      <c r="EN155" s="670">
        <v>18</v>
      </c>
      <c r="EO155" s="632" t="s">
        <v>500</v>
      </c>
      <c r="EP155" s="653" t="s">
        <v>2566</v>
      </c>
      <c r="EQ155" s="653" t="s">
        <v>1923</v>
      </c>
      <c r="ER155" s="653" t="s">
        <v>1898</v>
      </c>
      <c r="ES155" s="632" t="s">
        <v>504</v>
      </c>
      <c r="ET155" s="653" t="s">
        <v>2568</v>
      </c>
      <c r="EU155" s="653" t="s">
        <v>2572</v>
      </c>
      <c r="EV155" s="632" t="s">
        <v>1900</v>
      </c>
      <c r="EW155" s="632" t="s">
        <v>465</v>
      </c>
      <c r="EX155" s="632" t="s">
        <v>465</v>
      </c>
    </row>
    <row r="156" spans="3:154" ht="18.95" customHeight="1" x14ac:dyDescent="0.2">
      <c r="C156" s="1156" t="s">
        <v>693</v>
      </c>
      <c r="D156" s="1156" t="s">
        <v>5277</v>
      </c>
      <c r="E156" s="738" t="s">
        <v>349</v>
      </c>
      <c r="F156" s="738" t="s">
        <v>434</v>
      </c>
      <c r="G156" s="738"/>
      <c r="H156" s="738" t="s">
        <v>1792</v>
      </c>
      <c r="I156" s="738" t="s">
        <v>1793</v>
      </c>
      <c r="J156" s="1165">
        <v>2017</v>
      </c>
      <c r="K156" s="377">
        <v>43887</v>
      </c>
      <c r="L156" s="1096">
        <v>44196</v>
      </c>
      <c r="M156" s="1369">
        <f t="shared" si="21"/>
        <v>309</v>
      </c>
      <c r="N156" s="738" t="s">
        <v>1794</v>
      </c>
      <c r="O156" s="738" t="s">
        <v>1795</v>
      </c>
      <c r="P156" s="728" t="s">
        <v>1796</v>
      </c>
      <c r="Q156" s="738" t="s">
        <v>1797</v>
      </c>
      <c r="R156" s="728" t="s">
        <v>1798</v>
      </c>
      <c r="S156" s="738" t="s">
        <v>465</v>
      </c>
      <c r="T156" s="738" t="s">
        <v>465</v>
      </c>
      <c r="U156" s="738" t="s">
        <v>465</v>
      </c>
      <c r="V156" s="738" t="s">
        <v>465</v>
      </c>
      <c r="W156" s="738" t="s">
        <v>1799</v>
      </c>
      <c r="X156" s="728" t="s">
        <v>1800</v>
      </c>
      <c r="Y156" s="728"/>
      <c r="Z156" s="728"/>
      <c r="AA156" s="738" t="s">
        <v>1801</v>
      </c>
      <c r="AB156" s="738" t="s">
        <v>1801</v>
      </c>
      <c r="AC156" s="738" t="s">
        <v>519</v>
      </c>
      <c r="AD156" s="738" t="s">
        <v>1802</v>
      </c>
      <c r="AE156" s="702">
        <v>12.57433</v>
      </c>
      <c r="AF156" s="671">
        <f t="shared" si="17"/>
        <v>12.57824308</v>
      </c>
      <c r="AG156" s="671">
        <f t="shared" si="18"/>
        <v>3.9130800000002353E-3</v>
      </c>
      <c r="AH156" s="702">
        <v>6.0860000000000003</v>
      </c>
      <c r="AI156" s="683">
        <f>AH156/AE156</f>
        <v>0.48400193091798932</v>
      </c>
      <c r="AJ156" s="1166">
        <f>AH156/302864.3374</f>
        <v>2.0094805655385163E-5</v>
      </c>
      <c r="AK156" s="702">
        <v>3.30900968</v>
      </c>
      <c r="AL156" s="683">
        <f>AK156/AE156</f>
        <v>0.26315594389522146</v>
      </c>
      <c r="AM156" s="683"/>
      <c r="AN156" s="702">
        <v>0.5632334</v>
      </c>
      <c r="AO156" s="683">
        <f>AN156/AE156</f>
        <v>4.4792318954568554E-2</v>
      </c>
      <c r="AP156" s="702">
        <v>2.62</v>
      </c>
      <c r="AQ156" s="683">
        <f>AP156/AE156</f>
        <v>0.20836100213689318</v>
      </c>
      <c r="AR156" s="1167"/>
      <c r="AS156" s="738" t="s">
        <v>465</v>
      </c>
      <c r="AT156" s="738" t="s">
        <v>465</v>
      </c>
      <c r="AU156" s="738" t="s">
        <v>465</v>
      </c>
      <c r="AV156" s="738" t="s">
        <v>465</v>
      </c>
      <c r="AW156" s="632" t="s">
        <v>504</v>
      </c>
      <c r="AX156" s="632"/>
      <c r="AY156" s="632"/>
      <c r="AZ156" s="683"/>
      <c r="BA156" s="706">
        <v>10.8</v>
      </c>
      <c r="BB156" s="1166">
        <f>BA156/318840.1192</f>
        <v>3.3872776196101734E-5</v>
      </c>
      <c r="BC156" s="710">
        <v>58</v>
      </c>
      <c r="BD156" s="710">
        <v>23</v>
      </c>
      <c r="BE156" s="706">
        <v>14</v>
      </c>
      <c r="BF156" s="710"/>
      <c r="BG156" s="710"/>
      <c r="BH156" s="710"/>
      <c r="BI156" s="710"/>
      <c r="BJ156" s="710"/>
      <c r="BK156" s="710"/>
      <c r="BL156" s="710"/>
      <c r="BM156" s="710">
        <v>1</v>
      </c>
      <c r="BN156" s="710">
        <v>8</v>
      </c>
      <c r="BO156" s="710"/>
      <c r="BP156" s="710"/>
      <c r="BQ156" s="710">
        <v>2</v>
      </c>
      <c r="BR156" s="710"/>
      <c r="BS156" s="710"/>
      <c r="BT156" s="710"/>
      <c r="BU156" s="710"/>
      <c r="BV156" s="710"/>
      <c r="BW156" s="710"/>
      <c r="BX156" s="710"/>
      <c r="BY156" s="710"/>
      <c r="BZ156" s="710">
        <v>3</v>
      </c>
      <c r="CA156" s="717">
        <f t="shared" si="22"/>
        <v>14</v>
      </c>
      <c r="CB156" s="717">
        <f t="shared" si="19"/>
        <v>14</v>
      </c>
      <c r="CC156" s="717">
        <f t="shared" si="20"/>
        <v>0</v>
      </c>
      <c r="CD156" s="670">
        <v>116.1</v>
      </c>
      <c r="CE156" s="632" t="s">
        <v>1803</v>
      </c>
      <c r="CF156" s="632"/>
      <c r="CG156" s="683">
        <f>CD156/CH156</f>
        <v>2.6933099433708967E-2</v>
      </c>
      <c r="CH156" s="671">
        <v>4310.6809999999996</v>
      </c>
      <c r="CI156" s="632" t="s">
        <v>1804</v>
      </c>
      <c r="CJ156" s="632" t="s">
        <v>504</v>
      </c>
      <c r="CK156" s="632"/>
      <c r="CL156" s="632"/>
      <c r="CM156" s="710"/>
      <c r="CN156" s="710"/>
      <c r="CO156" s="710">
        <v>2</v>
      </c>
      <c r="CP156" s="632" t="s">
        <v>500</v>
      </c>
      <c r="CQ156" s="632" t="s">
        <v>1805</v>
      </c>
      <c r="CR156" s="710">
        <v>18936</v>
      </c>
      <c r="CS156" s="632" t="s">
        <v>500</v>
      </c>
      <c r="CT156" s="632" t="s">
        <v>1806</v>
      </c>
      <c r="CU156" s="710">
        <v>1991</v>
      </c>
      <c r="CV156" s="710" t="s">
        <v>504</v>
      </c>
      <c r="CW156" s="710"/>
      <c r="CX156" s="710"/>
      <c r="CY156" s="710" t="s">
        <v>504</v>
      </c>
      <c r="CZ156" s="710"/>
      <c r="DA156" s="710"/>
      <c r="DB156" s="632" t="s">
        <v>504</v>
      </c>
      <c r="DC156" s="632"/>
      <c r="DD156" s="710"/>
      <c r="DE156" s="632" t="s">
        <v>500</v>
      </c>
      <c r="DF156" s="632" t="s">
        <v>1807</v>
      </c>
      <c r="DG156" s="710"/>
      <c r="DH156" s="632" t="s">
        <v>504</v>
      </c>
      <c r="DI156" s="632"/>
      <c r="DJ156" s="710"/>
      <c r="DK156" s="632" t="s">
        <v>504</v>
      </c>
      <c r="DL156" s="632"/>
      <c r="DM156" s="710"/>
      <c r="DN156" s="632" t="s">
        <v>500</v>
      </c>
      <c r="DO156" s="632" t="s">
        <v>1808</v>
      </c>
      <c r="DP156" s="710">
        <v>5542</v>
      </c>
      <c r="DQ156" s="632" t="s">
        <v>500</v>
      </c>
      <c r="DR156" s="632" t="s">
        <v>1809</v>
      </c>
      <c r="DS156" s="710">
        <v>512</v>
      </c>
      <c r="DT156" s="710" t="s">
        <v>504</v>
      </c>
      <c r="DU156" s="710"/>
      <c r="DV156" s="710"/>
      <c r="DW156" s="632" t="s">
        <v>504</v>
      </c>
      <c r="DX156" s="632"/>
      <c r="DY156" s="710"/>
      <c r="DZ156" s="632" t="s">
        <v>504</v>
      </c>
      <c r="EA156" s="632"/>
      <c r="EB156" s="710"/>
      <c r="EC156" s="632" t="s">
        <v>504</v>
      </c>
      <c r="ED156" s="632"/>
      <c r="EE156" s="710"/>
      <c r="EF156" s="710" t="s">
        <v>500</v>
      </c>
      <c r="EG156" s="710" t="s">
        <v>1810</v>
      </c>
      <c r="EH156" s="710" t="s">
        <v>1811</v>
      </c>
      <c r="EI156" s="632" t="s">
        <v>1812</v>
      </c>
      <c r="EJ156" s="632" t="s">
        <v>1813</v>
      </c>
      <c r="EK156" s="710">
        <v>1980</v>
      </c>
      <c r="EL156" s="688">
        <v>1</v>
      </c>
      <c r="EM156" s="632"/>
      <c r="EN156" s="710">
        <v>13</v>
      </c>
      <c r="EO156" s="632" t="s">
        <v>504</v>
      </c>
      <c r="EP156" s="632" t="s">
        <v>1814</v>
      </c>
      <c r="EQ156" s="632" t="s">
        <v>1815</v>
      </c>
      <c r="ER156" s="632" t="s">
        <v>1816</v>
      </c>
      <c r="ES156" s="632"/>
      <c r="ET156" s="632" t="s">
        <v>1817</v>
      </c>
      <c r="EU156" s="632"/>
      <c r="EV156" s="632" t="s">
        <v>1818</v>
      </c>
      <c r="EW156" s="632"/>
      <c r="EX156" s="632"/>
    </row>
    <row r="157" spans="3:154" ht="54" customHeight="1" x14ac:dyDescent="0.2">
      <c r="C157" s="1156" t="s">
        <v>5479</v>
      </c>
      <c r="D157" s="1156" t="s">
        <v>5277</v>
      </c>
      <c r="E157" s="738" t="s">
        <v>349</v>
      </c>
      <c r="F157" s="738" t="s">
        <v>434</v>
      </c>
      <c r="G157" s="738"/>
      <c r="H157" s="632" t="s">
        <v>959</v>
      </c>
      <c r="I157" s="632"/>
      <c r="J157" s="637">
        <v>2017</v>
      </c>
      <c r="K157" s="377">
        <v>43831</v>
      </c>
      <c r="L157" s="377">
        <v>44196</v>
      </c>
      <c r="M157" s="1369">
        <f t="shared" si="21"/>
        <v>365</v>
      </c>
      <c r="N157" s="632" t="s">
        <v>1820</v>
      </c>
      <c r="O157" s="632" t="s">
        <v>1821</v>
      </c>
      <c r="P157" s="728" t="s">
        <v>1822</v>
      </c>
      <c r="Q157" s="632"/>
      <c r="R157" s="632"/>
      <c r="S157" s="632"/>
      <c r="T157" s="632"/>
      <c r="U157" s="632" t="s">
        <v>1823</v>
      </c>
      <c r="V157" s="632" t="s">
        <v>1822</v>
      </c>
      <c r="W157" s="632" t="s">
        <v>1824</v>
      </c>
      <c r="X157" s="632" t="s">
        <v>1825</v>
      </c>
      <c r="Y157" s="632"/>
      <c r="Z157" s="632"/>
      <c r="AA157" s="632" t="s">
        <v>1826</v>
      </c>
      <c r="AB157" s="632" t="s">
        <v>1826</v>
      </c>
      <c r="AC157" s="632" t="s">
        <v>519</v>
      </c>
      <c r="AD157" s="632" t="s">
        <v>1802</v>
      </c>
      <c r="AE157" s="702">
        <v>1913.33</v>
      </c>
      <c r="AF157" s="671">
        <f t="shared" si="17"/>
        <v>1913.3356000000001</v>
      </c>
      <c r="AG157" s="671">
        <f t="shared" si="18"/>
        <v>5.6000000001859007E-3</v>
      </c>
      <c r="AH157" s="702">
        <v>122.6472</v>
      </c>
      <c r="AI157" s="683">
        <f>AH157/AE157</f>
        <v>6.4101435716786961E-2</v>
      </c>
      <c r="AJ157" s="683">
        <f>AH157/302864.3374</f>
        <v>4.0495754981550362E-4</v>
      </c>
      <c r="AK157" s="702">
        <v>85.298199999999994</v>
      </c>
      <c r="AL157" s="683">
        <f>AK157/AE157</f>
        <v>4.4581018433830021E-2</v>
      </c>
      <c r="AM157" s="683"/>
      <c r="AN157" s="702">
        <v>67.954999999999998</v>
      </c>
      <c r="AO157" s="683">
        <f>AN157/AE157</f>
        <v>3.551661239827944E-2</v>
      </c>
      <c r="AP157" s="702">
        <v>7.98</v>
      </c>
      <c r="AQ157" s="683">
        <f>AP157/AE157</f>
        <v>4.1707389734128462E-3</v>
      </c>
      <c r="AR157" s="702">
        <v>1629.4552000000001</v>
      </c>
      <c r="AS157" s="683">
        <f>AR157/AE157</f>
        <v>0.85163312131205815</v>
      </c>
      <c r="AT157" s="632" t="s">
        <v>1827</v>
      </c>
      <c r="AU157" s="632" t="s">
        <v>946</v>
      </c>
      <c r="AV157" s="632" t="s">
        <v>1826</v>
      </c>
      <c r="AW157" s="632" t="s">
        <v>500</v>
      </c>
      <c r="AX157" s="632" t="s">
        <v>1828</v>
      </c>
      <c r="AY157" s="632"/>
      <c r="AZ157" s="683"/>
      <c r="BA157" s="706">
        <v>1670.2411999999999</v>
      </c>
      <c r="BB157" s="683">
        <f>1646.3611/318840.1192</f>
        <v>5.1635945442840619E-3</v>
      </c>
      <c r="BC157" s="710">
        <v>543613</v>
      </c>
      <c r="BD157" s="710"/>
      <c r="BE157" s="706">
        <v>102</v>
      </c>
      <c r="BF157" s="710"/>
      <c r="BG157" s="710"/>
      <c r="BH157" s="710"/>
      <c r="BI157" s="710"/>
      <c r="BJ157" s="710"/>
      <c r="BK157" s="710"/>
      <c r="BL157" s="710"/>
      <c r="BM157" s="710"/>
      <c r="BN157" s="710"/>
      <c r="BO157" s="710">
        <v>48</v>
      </c>
      <c r="BP157" s="710"/>
      <c r="BQ157" s="710">
        <v>54</v>
      </c>
      <c r="BR157" s="710"/>
      <c r="BS157" s="710"/>
      <c r="BT157" s="710"/>
      <c r="BU157" s="710"/>
      <c r="BV157" s="710"/>
      <c r="BW157" s="710"/>
      <c r="BX157" s="710"/>
      <c r="BY157" s="710"/>
      <c r="BZ157" s="710"/>
      <c r="CA157" s="717">
        <f t="shared" si="22"/>
        <v>102</v>
      </c>
      <c r="CB157" s="717">
        <f t="shared" si="19"/>
        <v>102</v>
      </c>
      <c r="CC157" s="717">
        <f t="shared" si="20"/>
        <v>0</v>
      </c>
      <c r="CD157" s="671">
        <v>3659.9470000000001</v>
      </c>
      <c r="CE157" s="632" t="s">
        <v>1829</v>
      </c>
      <c r="CF157" s="632"/>
      <c r="CG157" s="683">
        <f>CD157/CH157</f>
        <v>0.84904148555645864</v>
      </c>
      <c r="CH157" s="671">
        <v>4310.6809999999996</v>
      </c>
      <c r="CI157" s="1203" t="s">
        <v>1804</v>
      </c>
      <c r="CJ157" s="632" t="s">
        <v>500</v>
      </c>
      <c r="CK157" s="632" t="s">
        <v>1830</v>
      </c>
      <c r="CL157" s="632"/>
      <c r="CM157" s="710"/>
      <c r="CN157" s="710"/>
      <c r="CO157" s="710"/>
      <c r="CP157" s="632" t="s">
        <v>656</v>
      </c>
      <c r="CQ157" s="632" t="s">
        <v>1831</v>
      </c>
      <c r="CR157" s="710">
        <f>120226+260892</f>
        <v>381118</v>
      </c>
      <c r="CS157" s="632" t="s">
        <v>1832</v>
      </c>
      <c r="CT157" s="632" t="s">
        <v>1833</v>
      </c>
      <c r="CU157" s="710">
        <f>3721+193393</f>
        <v>197114</v>
      </c>
      <c r="CV157" s="710"/>
      <c r="CW157" s="710"/>
      <c r="CX157" s="710"/>
      <c r="CY157" s="710"/>
      <c r="CZ157" s="710"/>
      <c r="DA157" s="710"/>
      <c r="DB157" s="632" t="s">
        <v>1834</v>
      </c>
      <c r="DC157" s="632" t="s">
        <v>1835</v>
      </c>
      <c r="DD157" s="710">
        <v>52702</v>
      </c>
      <c r="DE157" s="632" t="s">
        <v>1836</v>
      </c>
      <c r="DF157" s="632" t="s">
        <v>1835</v>
      </c>
      <c r="DG157" s="710">
        <v>261198</v>
      </c>
      <c r="DH157" s="1619" t="s">
        <v>1837</v>
      </c>
      <c r="DI157" s="1619"/>
      <c r="DJ157" s="1619"/>
      <c r="DK157" s="632" t="s">
        <v>500</v>
      </c>
      <c r="DL157" s="632" t="s">
        <v>1838</v>
      </c>
      <c r="DM157" s="710">
        <f>8075+2912+105+5782+15886+13907+932+1356+2477</f>
        <v>51432</v>
      </c>
      <c r="DN157" s="632"/>
      <c r="DO157" s="632"/>
      <c r="DP157" s="710"/>
      <c r="DQ157" s="632"/>
      <c r="DR157" s="632"/>
      <c r="DS157" s="710"/>
      <c r="DT157" s="710"/>
      <c r="DU157" s="710"/>
      <c r="DV157" s="710"/>
      <c r="DW157" s="632"/>
      <c r="DX157" s="632"/>
      <c r="DY157" s="710"/>
      <c r="DZ157" s="632"/>
      <c r="EA157" s="632"/>
      <c r="EB157" s="710"/>
      <c r="EC157" s="710" t="s">
        <v>500</v>
      </c>
      <c r="ED157" s="710" t="s">
        <v>1839</v>
      </c>
      <c r="EE157" s="710">
        <v>14</v>
      </c>
      <c r="EF157" s="710"/>
      <c r="EG157" s="710"/>
      <c r="EH157" s="710"/>
      <c r="EI157" s="710" t="s">
        <v>500</v>
      </c>
      <c r="EJ157" s="710" t="s">
        <v>1840</v>
      </c>
      <c r="EK157" s="710">
        <v>594200</v>
      </c>
      <c r="EL157" s="1619" t="s">
        <v>1841</v>
      </c>
      <c r="EM157" s="1619"/>
      <c r="EN157" s="710" t="s">
        <v>1842</v>
      </c>
      <c r="EO157" s="632" t="s">
        <v>500</v>
      </c>
      <c r="EP157" s="632" t="s">
        <v>1843</v>
      </c>
      <c r="EQ157" s="728" t="s">
        <v>1844</v>
      </c>
      <c r="ER157" s="632" t="s">
        <v>1845</v>
      </c>
      <c r="ES157" s="632" t="s">
        <v>1846</v>
      </c>
      <c r="ET157" s="632" t="s">
        <v>1847</v>
      </c>
      <c r="EU157" s="632" t="s">
        <v>1848</v>
      </c>
      <c r="EV157" s="632" t="s">
        <v>1849</v>
      </c>
      <c r="EW157" s="632">
        <v>1</v>
      </c>
      <c r="EX157" s="632">
        <v>50</v>
      </c>
    </row>
    <row r="158" spans="3:154" ht="60" customHeight="1" x14ac:dyDescent="0.2">
      <c r="C158" s="1156" t="s">
        <v>5478</v>
      </c>
      <c r="D158" s="1156" t="s">
        <v>5277</v>
      </c>
      <c r="E158" s="738" t="s">
        <v>349</v>
      </c>
      <c r="F158" s="738" t="s">
        <v>434</v>
      </c>
      <c r="G158" s="738"/>
      <c r="H158" s="632" t="s">
        <v>1850</v>
      </c>
      <c r="I158" s="632"/>
      <c r="J158" s="637">
        <v>2020</v>
      </c>
      <c r="K158" s="377">
        <v>43843</v>
      </c>
      <c r="L158" s="377">
        <v>44074</v>
      </c>
      <c r="M158" s="1369">
        <f t="shared" si="21"/>
        <v>231</v>
      </c>
      <c r="N158" s="632" t="s">
        <v>1851</v>
      </c>
      <c r="O158" s="632" t="s">
        <v>1852</v>
      </c>
      <c r="P158" s="728" t="s">
        <v>1853</v>
      </c>
      <c r="Q158" s="632"/>
      <c r="R158" s="632"/>
      <c r="S158" s="632"/>
      <c r="T158" s="632"/>
      <c r="U158" s="632"/>
      <c r="V158" s="632"/>
      <c r="W158" s="632"/>
      <c r="X158" s="632"/>
      <c r="Y158" s="632"/>
      <c r="Z158" s="632"/>
      <c r="AA158" s="632"/>
      <c r="AB158" s="632" t="s">
        <v>1854</v>
      </c>
      <c r="AC158" s="632" t="s">
        <v>671</v>
      </c>
      <c r="AD158" s="632" t="s">
        <v>1855</v>
      </c>
      <c r="AE158" s="702">
        <v>2.3100272400000001</v>
      </c>
      <c r="AF158" s="671">
        <f t="shared" si="17"/>
        <v>2.3134454</v>
      </c>
      <c r="AG158" s="671">
        <f t="shared" si="18"/>
        <v>3.4181599999998369E-3</v>
      </c>
      <c r="AH158" s="702">
        <v>0.2132</v>
      </c>
      <c r="AI158" s="683">
        <f>AH158/AE158</f>
        <v>9.2293283952790087E-2</v>
      </c>
      <c r="AJ158" s="1248">
        <f>AH158/302864.3374</f>
        <v>7.0394554152614465E-7</v>
      </c>
      <c r="AK158" s="702">
        <v>1.4872453999999999</v>
      </c>
      <c r="AL158" s="683">
        <f>AK158/AE158</f>
        <v>0.64382158541126111</v>
      </c>
      <c r="AM158" s="683"/>
      <c r="AN158" s="702"/>
      <c r="AO158" s="683"/>
      <c r="AP158" s="702">
        <v>0.18</v>
      </c>
      <c r="AQ158" s="683">
        <f>AP158/AE158</f>
        <v>7.7921159059578873E-2</v>
      </c>
      <c r="AR158" s="702">
        <v>0.433</v>
      </c>
      <c r="AS158" s="683">
        <f>AR158/AE158</f>
        <v>0.18744367707109807</v>
      </c>
      <c r="AT158" s="632" t="s">
        <v>1856</v>
      </c>
      <c r="AU158" s="632" t="s">
        <v>825</v>
      </c>
      <c r="AV158" s="632" t="s">
        <v>1854</v>
      </c>
      <c r="AW158" s="632" t="s">
        <v>504</v>
      </c>
      <c r="AX158" s="632"/>
      <c r="AY158" s="632"/>
      <c r="AZ158" s="683"/>
      <c r="BA158" s="706">
        <v>0.28389999999999999</v>
      </c>
      <c r="BB158" s="1248">
        <f>BA158/318840.1192</f>
        <v>8.9041492241419276E-7</v>
      </c>
      <c r="BC158" s="710">
        <v>9</v>
      </c>
      <c r="BD158" s="710">
        <v>9</v>
      </c>
      <c r="BE158" s="706">
        <v>1</v>
      </c>
      <c r="BF158" s="710"/>
      <c r="BG158" s="710"/>
      <c r="BH158" s="710"/>
      <c r="BI158" s="710"/>
      <c r="BJ158" s="710"/>
      <c r="BK158" s="710"/>
      <c r="BL158" s="710"/>
      <c r="BM158" s="710"/>
      <c r="BN158" s="710"/>
      <c r="BO158" s="710"/>
      <c r="BP158" s="710"/>
      <c r="BQ158" s="710">
        <v>1</v>
      </c>
      <c r="BR158" s="710"/>
      <c r="BS158" s="710"/>
      <c r="BT158" s="710"/>
      <c r="BU158" s="710"/>
      <c r="BV158" s="710"/>
      <c r="BW158" s="710"/>
      <c r="BX158" s="710"/>
      <c r="BY158" s="710"/>
      <c r="BZ158" s="710"/>
      <c r="CA158" s="717">
        <f t="shared" si="22"/>
        <v>1</v>
      </c>
      <c r="CB158" s="717">
        <f t="shared" si="19"/>
        <v>1</v>
      </c>
      <c r="CC158" s="717">
        <f t="shared" si="20"/>
        <v>0</v>
      </c>
      <c r="CD158" s="671">
        <v>1.7410000000000001</v>
      </c>
      <c r="CE158" s="632" t="s">
        <v>465</v>
      </c>
      <c r="CF158" s="632"/>
      <c r="CG158" s="683">
        <f>CD158/CH158</f>
        <v>4.0388050055200101E-4</v>
      </c>
      <c r="CH158" s="632">
        <v>4310.6809999999996</v>
      </c>
      <c r="CI158" s="632" t="s">
        <v>1804</v>
      </c>
      <c r="CJ158" s="632" t="s">
        <v>504</v>
      </c>
      <c r="CK158" s="632"/>
      <c r="CL158" s="632"/>
      <c r="CM158" s="710"/>
      <c r="CN158" s="710"/>
      <c r="CO158" s="710"/>
      <c r="CP158" s="632"/>
      <c r="CQ158" s="632"/>
      <c r="CR158" s="710"/>
      <c r="CS158" s="632" t="s">
        <v>500</v>
      </c>
      <c r="CT158" s="632" t="s">
        <v>827</v>
      </c>
      <c r="CU158" s="710">
        <v>30</v>
      </c>
      <c r="CV158" s="710"/>
      <c r="CW158" s="710"/>
      <c r="CX158" s="710"/>
      <c r="CY158" s="710"/>
      <c r="CZ158" s="710"/>
      <c r="DA158" s="710"/>
      <c r="DB158" s="632"/>
      <c r="DC158" s="632"/>
      <c r="DD158" s="710"/>
      <c r="DE158" s="632"/>
      <c r="DF158" s="632"/>
      <c r="DG158" s="710"/>
      <c r="DH158" s="632"/>
      <c r="DI158" s="632"/>
      <c r="DJ158" s="710"/>
      <c r="DK158" s="632"/>
      <c r="DL158" s="632"/>
      <c r="DM158" s="710"/>
      <c r="DN158" s="632"/>
      <c r="DO158" s="632"/>
      <c r="DP158" s="710"/>
      <c r="DQ158" s="632" t="s">
        <v>500</v>
      </c>
      <c r="DR158" s="632" t="s">
        <v>827</v>
      </c>
      <c r="DS158" s="710">
        <v>30</v>
      </c>
      <c r="DT158" s="710"/>
      <c r="DU158" s="710"/>
      <c r="DV158" s="710"/>
      <c r="DW158" s="632"/>
      <c r="DX158" s="632"/>
      <c r="DY158" s="710"/>
      <c r="DZ158" s="632"/>
      <c r="EA158" s="632"/>
      <c r="EB158" s="710"/>
      <c r="EC158" s="632"/>
      <c r="ED158" s="632"/>
      <c r="EE158" s="710"/>
      <c r="EF158" s="710"/>
      <c r="EG158" s="710"/>
      <c r="EH158" s="710"/>
      <c r="EI158" s="632"/>
      <c r="EJ158" s="632"/>
      <c r="EK158" s="710"/>
      <c r="EL158" s="632" t="s">
        <v>1857</v>
      </c>
      <c r="EM158" s="632" t="s">
        <v>1858</v>
      </c>
      <c r="EN158" s="670">
        <v>1</v>
      </c>
      <c r="EO158" s="632" t="s">
        <v>504</v>
      </c>
      <c r="EP158" s="632"/>
      <c r="EQ158" s="632" t="s">
        <v>465</v>
      </c>
      <c r="ER158" s="632" t="s">
        <v>465</v>
      </c>
      <c r="ES158" s="632" t="s">
        <v>465</v>
      </c>
      <c r="ET158" s="632" t="s">
        <v>465</v>
      </c>
      <c r="EU158" s="632" t="s">
        <v>465</v>
      </c>
      <c r="EV158" s="632" t="s">
        <v>465</v>
      </c>
      <c r="EW158" s="632" t="s">
        <v>465</v>
      </c>
      <c r="EX158" s="632" t="s">
        <v>465</v>
      </c>
    </row>
    <row r="159" spans="3:154" ht="60" customHeight="1" x14ac:dyDescent="0.2">
      <c r="C159" s="1156" t="s">
        <v>693</v>
      </c>
      <c r="D159" s="1156" t="s">
        <v>5278</v>
      </c>
      <c r="E159" s="1104" t="s">
        <v>349</v>
      </c>
      <c r="F159" s="1104" t="s">
        <v>434</v>
      </c>
      <c r="G159" s="1109" t="s">
        <v>3329</v>
      </c>
      <c r="H159" s="1109" t="s">
        <v>3330</v>
      </c>
      <c r="I159" s="1109" t="s">
        <v>3330</v>
      </c>
      <c r="J159" s="1110">
        <v>2018</v>
      </c>
      <c r="K159" s="1105">
        <v>43950</v>
      </c>
      <c r="L159" s="1105">
        <v>44196</v>
      </c>
      <c r="M159" s="1369">
        <f t="shared" si="21"/>
        <v>246</v>
      </c>
      <c r="N159" s="1105"/>
      <c r="O159" s="1105"/>
      <c r="P159" s="1105"/>
      <c r="Q159" s="1105"/>
      <c r="R159" s="1105"/>
      <c r="S159" s="1105"/>
      <c r="T159" s="1105"/>
      <c r="U159" s="1105"/>
      <c r="V159" s="1105"/>
      <c r="W159" s="1105"/>
      <c r="X159" s="1105"/>
      <c r="Y159" s="1109" t="s">
        <v>3332</v>
      </c>
      <c r="Z159" s="1188" t="s">
        <v>3333</v>
      </c>
      <c r="AA159" s="1109" t="s">
        <v>3334</v>
      </c>
      <c r="AB159" s="1109" t="s">
        <v>3335</v>
      </c>
      <c r="AC159" s="1109" t="s">
        <v>3271</v>
      </c>
      <c r="AD159" s="1109" t="s">
        <v>3336</v>
      </c>
      <c r="AE159" s="1112">
        <v>2.39</v>
      </c>
      <c r="AF159" s="1113">
        <f t="shared" si="17"/>
        <v>2.39</v>
      </c>
      <c r="AG159" s="1113">
        <f t="shared" si="18"/>
        <v>0</v>
      </c>
      <c r="AH159" s="1112"/>
      <c r="AI159" s="1113"/>
      <c r="AJ159" s="1113"/>
      <c r="AK159" s="1112">
        <v>1.99</v>
      </c>
      <c r="AL159" s="1114">
        <f>AK159/AE159</f>
        <v>0.83263598326359833</v>
      </c>
      <c r="AM159" s="1114">
        <v>1.1999999999999999E-3</v>
      </c>
      <c r="AN159" s="1112">
        <v>0.126</v>
      </c>
      <c r="AO159" s="1114">
        <f>AN159/AE159</f>
        <v>5.2719665271966525E-2</v>
      </c>
      <c r="AP159" s="1112">
        <v>0.27400000000000002</v>
      </c>
      <c r="AQ159" s="1114">
        <f>AP159/AE159</f>
        <v>0.11464435146443515</v>
      </c>
      <c r="AR159" s="1112"/>
      <c r="AS159" s="1114"/>
      <c r="AT159" s="1114"/>
      <c r="AU159" s="1114"/>
      <c r="AV159" s="1114"/>
      <c r="AW159" s="1114" t="s">
        <v>504</v>
      </c>
      <c r="AX159" s="1114"/>
      <c r="AY159" s="1114"/>
      <c r="AZ159" s="1114"/>
      <c r="BA159" s="1113">
        <v>2.5</v>
      </c>
      <c r="BB159" s="1114">
        <v>1.6000000000000001E-3</v>
      </c>
      <c r="BC159" s="1115">
        <v>19</v>
      </c>
      <c r="BD159" s="1115">
        <v>19</v>
      </c>
      <c r="BE159" s="1116">
        <v>12</v>
      </c>
      <c r="BF159" s="1115"/>
      <c r="BG159" s="1115"/>
      <c r="BH159" s="1115"/>
      <c r="BI159" s="1115"/>
      <c r="BJ159" s="1115"/>
      <c r="BK159" s="1115"/>
      <c r="BL159" s="1115">
        <v>3</v>
      </c>
      <c r="BM159" s="1115">
        <v>1</v>
      </c>
      <c r="BN159" s="1115">
        <v>2</v>
      </c>
      <c r="BO159" s="1115"/>
      <c r="BP159" s="1115">
        <v>5</v>
      </c>
      <c r="BQ159" s="1115">
        <v>1</v>
      </c>
      <c r="BR159" s="1115"/>
      <c r="BS159" s="1115"/>
      <c r="BT159" s="1115"/>
      <c r="BU159" s="1115"/>
      <c r="BV159" s="1115"/>
      <c r="BW159" s="1115"/>
      <c r="BX159" s="1115"/>
      <c r="BY159" s="1115"/>
      <c r="BZ159" s="1115"/>
      <c r="CA159" s="1115">
        <f t="shared" si="22"/>
        <v>12</v>
      </c>
      <c r="CB159" s="1117">
        <f t="shared" si="19"/>
        <v>12</v>
      </c>
      <c r="CC159" s="1117">
        <f t="shared" si="20"/>
        <v>0</v>
      </c>
      <c r="CD159" s="1113">
        <v>4.4130000000000003</v>
      </c>
      <c r="CE159" s="1109"/>
      <c r="CF159" s="1109"/>
      <c r="CG159" s="1114">
        <f>CD159/CH159</f>
        <v>0.18254395036194415</v>
      </c>
      <c r="CH159" s="1113">
        <v>24.175000000000001</v>
      </c>
      <c r="CI159" s="1191" t="s">
        <v>3337</v>
      </c>
      <c r="CJ159" s="1109" t="s">
        <v>504</v>
      </c>
      <c r="CK159" s="1109"/>
      <c r="CL159" s="1109"/>
      <c r="CM159" s="1115"/>
      <c r="CN159" s="1115"/>
      <c r="CO159" s="1249">
        <v>1</v>
      </c>
      <c r="CP159" s="1109" t="s">
        <v>500</v>
      </c>
      <c r="CQ159" s="1109" t="s">
        <v>2761</v>
      </c>
      <c r="CR159" s="1115">
        <v>408</v>
      </c>
      <c r="CS159" s="1109" t="s">
        <v>500</v>
      </c>
      <c r="CT159" s="1109" t="s">
        <v>3338</v>
      </c>
      <c r="CU159" s="1115">
        <v>1058</v>
      </c>
      <c r="CV159" s="1115" t="s">
        <v>504</v>
      </c>
      <c r="CW159" s="1115"/>
      <c r="CX159" s="1115"/>
      <c r="CY159" s="1115" t="s">
        <v>504</v>
      </c>
      <c r="CZ159" s="1115"/>
      <c r="DA159" s="1115"/>
      <c r="DB159" s="1109" t="s">
        <v>504</v>
      </c>
      <c r="DC159" s="1109"/>
      <c r="DD159" s="1115"/>
      <c r="DE159" s="1109" t="s">
        <v>504</v>
      </c>
      <c r="DF159" s="1109"/>
      <c r="DG159" s="1115"/>
      <c r="DH159" s="1109" t="s">
        <v>504</v>
      </c>
      <c r="DI159" s="1109"/>
      <c r="DJ159" s="1115"/>
      <c r="DK159" s="1109"/>
      <c r="DL159" s="1109"/>
      <c r="DM159" s="1115"/>
      <c r="DN159" s="1109" t="s">
        <v>500</v>
      </c>
      <c r="DO159" s="1109" t="s">
        <v>3339</v>
      </c>
      <c r="DP159" s="1115">
        <v>1058</v>
      </c>
      <c r="DQ159" s="1109" t="s">
        <v>500</v>
      </c>
      <c r="DR159" s="1109"/>
      <c r="DS159" s="1115">
        <v>1058</v>
      </c>
      <c r="DT159" s="1115" t="s">
        <v>504</v>
      </c>
      <c r="DU159" s="1115"/>
      <c r="DV159" s="1115"/>
      <c r="DW159" s="1109" t="s">
        <v>504</v>
      </c>
      <c r="DX159" s="1109"/>
      <c r="DY159" s="1115"/>
      <c r="DZ159" s="1109" t="s">
        <v>504</v>
      </c>
      <c r="EA159" s="1109"/>
      <c r="EB159" s="1115"/>
      <c r="EC159" s="1109" t="s">
        <v>504</v>
      </c>
      <c r="ED159" s="1109"/>
      <c r="EE159" s="1115"/>
      <c r="EF159" s="1115"/>
      <c r="EG159" s="1115" t="s">
        <v>3340</v>
      </c>
      <c r="EH159" s="1115" t="s">
        <v>3341</v>
      </c>
      <c r="EI159" s="1109" t="s">
        <v>504</v>
      </c>
      <c r="EJ159" s="1109"/>
      <c r="EK159" s="1115"/>
      <c r="EL159" s="1115"/>
      <c r="EM159" s="1115"/>
      <c r="EN159" s="1115"/>
      <c r="EO159" s="1109" t="s">
        <v>504</v>
      </c>
      <c r="EP159" s="1109"/>
      <c r="EQ159" s="1188" t="s">
        <v>3342</v>
      </c>
      <c r="ER159" s="1109"/>
      <c r="ES159" s="1188" t="s">
        <v>3342</v>
      </c>
      <c r="ET159" s="1109" t="s">
        <v>3343</v>
      </c>
      <c r="EU159" s="1109"/>
      <c r="EV159" s="1109"/>
      <c r="EW159" s="1109"/>
      <c r="EX159" s="1109"/>
    </row>
    <row r="160" spans="3:154" ht="60" customHeight="1" x14ac:dyDescent="0.2">
      <c r="C160" s="1156" t="s">
        <v>5480</v>
      </c>
      <c r="D160" s="1156" t="s">
        <v>5278</v>
      </c>
      <c r="E160" s="1104" t="s">
        <v>349</v>
      </c>
      <c r="F160" s="1104" t="s">
        <v>434</v>
      </c>
      <c r="G160" s="1109" t="s">
        <v>3344</v>
      </c>
      <c r="H160" s="1109" t="s">
        <v>3345</v>
      </c>
      <c r="I160" s="1109" t="s">
        <v>3345</v>
      </c>
      <c r="J160" s="1110">
        <v>2020</v>
      </c>
      <c r="K160" s="1105">
        <v>43028</v>
      </c>
      <c r="L160" s="1105">
        <v>43845</v>
      </c>
      <c r="M160" s="1369">
        <f t="shared" si="21"/>
        <v>817</v>
      </c>
      <c r="N160" s="1105"/>
      <c r="O160" s="1105"/>
      <c r="P160" s="1105"/>
      <c r="Q160" s="1105"/>
      <c r="R160" s="1105"/>
      <c r="S160" s="1105"/>
      <c r="T160" s="1105"/>
      <c r="U160" s="1105"/>
      <c r="V160" s="1105"/>
      <c r="W160" s="1105"/>
      <c r="X160" s="1105"/>
      <c r="Y160" s="1109" t="s">
        <v>3346</v>
      </c>
      <c r="Z160" s="1109" t="s">
        <v>3347</v>
      </c>
      <c r="AA160" s="1109" t="s">
        <v>3348</v>
      </c>
      <c r="AB160" s="1109" t="s">
        <v>3348</v>
      </c>
      <c r="AC160" s="1109" t="s">
        <v>3349</v>
      </c>
      <c r="AD160" s="1109" t="s">
        <v>3350</v>
      </c>
      <c r="AE160" s="1112">
        <v>1.2270000000000001</v>
      </c>
      <c r="AF160" s="1113">
        <f t="shared" si="17"/>
        <v>1.2269999999999999</v>
      </c>
      <c r="AG160" s="1113">
        <f t="shared" si="18"/>
        <v>0</v>
      </c>
      <c r="AH160" s="1112"/>
      <c r="AI160" s="1113"/>
      <c r="AJ160" s="1113"/>
      <c r="AK160" s="1112">
        <v>1.1659999999999999</v>
      </c>
      <c r="AL160" s="1114">
        <v>0.95</v>
      </c>
      <c r="AM160" s="1114">
        <v>5.0000000000000001E-4</v>
      </c>
      <c r="AN160" s="1112">
        <v>6.0999999999999999E-2</v>
      </c>
      <c r="AO160" s="1114">
        <v>0.05</v>
      </c>
      <c r="AP160" s="1112"/>
      <c r="AQ160" s="1114"/>
      <c r="AR160" s="1112"/>
      <c r="AS160" s="1114"/>
      <c r="AT160" s="1114"/>
      <c r="AU160" s="1114"/>
      <c r="AV160" s="1114"/>
      <c r="AW160" s="1114" t="s">
        <v>504</v>
      </c>
      <c r="AX160" s="1114"/>
      <c r="AY160" s="1114"/>
      <c r="AZ160" s="1114"/>
      <c r="BA160" s="1113"/>
      <c r="BB160" s="1114"/>
      <c r="BC160" s="1115">
        <v>10</v>
      </c>
      <c r="BD160" s="1115">
        <v>10</v>
      </c>
      <c r="BE160" s="1116">
        <v>1</v>
      </c>
      <c r="BF160" s="1115"/>
      <c r="BG160" s="1115"/>
      <c r="BH160" s="1115"/>
      <c r="BI160" s="1115"/>
      <c r="BJ160" s="1115"/>
      <c r="BK160" s="1115"/>
      <c r="BL160" s="1115"/>
      <c r="BM160" s="1115"/>
      <c r="BN160" s="1115"/>
      <c r="BO160" s="1115"/>
      <c r="BP160" s="1115">
        <v>1</v>
      </c>
      <c r="BQ160" s="1115"/>
      <c r="BR160" s="1115"/>
      <c r="BS160" s="1115"/>
      <c r="BT160" s="1115"/>
      <c r="BU160" s="1115"/>
      <c r="BV160" s="1115"/>
      <c r="BW160" s="1115"/>
      <c r="BX160" s="1115"/>
      <c r="BY160" s="1115"/>
      <c r="BZ160" s="1115"/>
      <c r="CA160" s="1115">
        <f t="shared" si="22"/>
        <v>1</v>
      </c>
      <c r="CB160" s="1117">
        <f t="shared" si="19"/>
        <v>1</v>
      </c>
      <c r="CC160" s="1117">
        <f t="shared" si="20"/>
        <v>0</v>
      </c>
      <c r="CD160" s="1113">
        <v>0.13</v>
      </c>
      <c r="CE160" s="1109" t="s">
        <v>3351</v>
      </c>
      <c r="CF160" s="1109" t="s">
        <v>465</v>
      </c>
      <c r="CG160" s="1109">
        <v>0.24</v>
      </c>
      <c r="CH160" s="1113">
        <v>54.966000000000001</v>
      </c>
      <c r="CI160" s="1191" t="s">
        <v>3352</v>
      </c>
      <c r="CJ160" s="1109" t="s">
        <v>504</v>
      </c>
      <c r="CK160" s="1109"/>
      <c r="CL160" s="1109"/>
      <c r="CM160" s="1115"/>
      <c r="CN160" s="1115"/>
      <c r="CO160" s="1115"/>
      <c r="CP160" s="1109" t="s">
        <v>500</v>
      </c>
      <c r="CQ160" s="1109" t="s">
        <v>3353</v>
      </c>
      <c r="CR160" s="1115">
        <v>51</v>
      </c>
      <c r="CS160" s="1109" t="s">
        <v>504</v>
      </c>
      <c r="CT160" s="1109"/>
      <c r="CU160" s="1115"/>
      <c r="CV160" s="1115" t="s">
        <v>504</v>
      </c>
      <c r="CW160" s="1115"/>
      <c r="CX160" s="1115"/>
      <c r="CY160" s="1115" t="s">
        <v>504</v>
      </c>
      <c r="CZ160" s="1115"/>
      <c r="DA160" s="1115"/>
      <c r="DB160" s="1109" t="s">
        <v>504</v>
      </c>
      <c r="DC160" s="1109"/>
      <c r="DD160" s="1115"/>
      <c r="DE160" s="1109" t="s">
        <v>504</v>
      </c>
      <c r="DF160" s="1109"/>
      <c r="DG160" s="1115"/>
      <c r="DH160" s="1109" t="s">
        <v>504</v>
      </c>
      <c r="DI160" s="1109"/>
      <c r="DJ160" s="1115"/>
      <c r="DK160" s="1109" t="s">
        <v>504</v>
      </c>
      <c r="DL160" s="1109"/>
      <c r="DM160" s="1115"/>
      <c r="DN160" s="1109" t="s">
        <v>504</v>
      </c>
      <c r="DO160" s="1109"/>
      <c r="DP160" s="1115"/>
      <c r="DQ160" s="1109" t="s">
        <v>504</v>
      </c>
      <c r="DR160" s="1109"/>
      <c r="DS160" s="1115"/>
      <c r="DT160" s="1115" t="s">
        <v>504</v>
      </c>
      <c r="DU160" s="1115"/>
      <c r="DV160" s="1115"/>
      <c r="DW160" s="1109" t="s">
        <v>504</v>
      </c>
      <c r="DX160" s="1109"/>
      <c r="DY160" s="1115"/>
      <c r="DZ160" s="1109" t="s">
        <v>504</v>
      </c>
      <c r="EA160" s="1109"/>
      <c r="EB160" s="1115"/>
      <c r="EC160" s="1109" t="s">
        <v>504</v>
      </c>
      <c r="ED160" s="1109"/>
      <c r="EE160" s="1115"/>
      <c r="EF160" s="1115" t="s">
        <v>504</v>
      </c>
      <c r="EG160" s="1115"/>
      <c r="EH160" s="1115"/>
      <c r="EI160" s="1109" t="s">
        <v>504</v>
      </c>
      <c r="EJ160" s="1109"/>
      <c r="EK160" s="1115"/>
      <c r="EL160" s="1115"/>
      <c r="EM160" s="1115"/>
      <c r="EN160" s="1115"/>
      <c r="EO160" s="1109" t="s">
        <v>504</v>
      </c>
      <c r="EP160" s="1109"/>
      <c r="EQ160" s="1109" t="s">
        <v>504</v>
      </c>
      <c r="ER160" s="1109" t="s">
        <v>504</v>
      </c>
      <c r="ES160" s="1109" t="s">
        <v>504</v>
      </c>
      <c r="ET160" s="1109" t="s">
        <v>504</v>
      </c>
      <c r="EU160" s="1109" t="s">
        <v>504</v>
      </c>
      <c r="EV160" s="1109" t="s">
        <v>504</v>
      </c>
      <c r="EW160" s="1109"/>
      <c r="EX160" s="1109"/>
    </row>
    <row r="161" spans="3:154" ht="60" customHeight="1" x14ac:dyDescent="0.2">
      <c r="C161" s="1156" t="s">
        <v>5480</v>
      </c>
      <c r="D161" s="1156" t="s">
        <v>5278</v>
      </c>
      <c r="E161" s="1104" t="s">
        <v>349</v>
      </c>
      <c r="F161" s="1104" t="s">
        <v>434</v>
      </c>
      <c r="G161" s="1109" t="s">
        <v>3354</v>
      </c>
      <c r="H161" s="1109"/>
      <c r="I161" s="1109" t="s">
        <v>219</v>
      </c>
      <c r="J161" s="1110">
        <v>2016</v>
      </c>
      <c r="K161" s="1105"/>
      <c r="L161" s="1105"/>
      <c r="M161" s="1369">
        <f t="shared" si="21"/>
        <v>0</v>
      </c>
      <c r="N161" s="1105"/>
      <c r="O161" s="1105"/>
      <c r="P161" s="1105"/>
      <c r="Q161" s="1105"/>
      <c r="R161" s="1105"/>
      <c r="S161" s="1105"/>
      <c r="T161" s="1105"/>
      <c r="U161" s="1105"/>
      <c r="V161" s="1105"/>
      <c r="W161" s="1105"/>
      <c r="X161" s="1105"/>
      <c r="Y161" s="1109" t="s">
        <v>3356</v>
      </c>
      <c r="Z161" s="1109" t="s">
        <v>3357</v>
      </c>
      <c r="AA161" s="1109" t="s">
        <v>3358</v>
      </c>
      <c r="AB161" s="1109" t="s">
        <v>3359</v>
      </c>
      <c r="AC161" s="1109" t="s">
        <v>3360</v>
      </c>
      <c r="AD161" s="1109" t="s">
        <v>3361</v>
      </c>
      <c r="AE161" s="1112"/>
      <c r="AF161" s="1113">
        <f t="shared" si="17"/>
        <v>0</v>
      </c>
      <c r="AG161" s="1113">
        <f t="shared" si="18"/>
        <v>0</v>
      </c>
      <c r="AH161" s="1112"/>
      <c r="AI161" s="1113"/>
      <c r="AJ161" s="1113"/>
      <c r="AK161" s="1112"/>
      <c r="AL161" s="1114"/>
      <c r="AM161" s="1114"/>
      <c r="AN161" s="1112"/>
      <c r="AO161" s="1114"/>
      <c r="AP161" s="1112"/>
      <c r="AQ161" s="1114"/>
      <c r="AR161" s="1112"/>
      <c r="AS161" s="1114"/>
      <c r="AT161" s="1114"/>
      <c r="AU161" s="1114"/>
      <c r="AV161" s="1114"/>
      <c r="AW161" s="1114" t="s">
        <v>504</v>
      </c>
      <c r="AX161" s="1114" t="s">
        <v>504</v>
      </c>
      <c r="AY161" s="1114"/>
      <c r="AZ161" s="1114"/>
      <c r="BA161" s="1113">
        <v>5.1999999999999998E-3</v>
      </c>
      <c r="BB161" s="1114">
        <v>2.5000000000000001E-4</v>
      </c>
      <c r="BC161" s="1115">
        <v>1</v>
      </c>
      <c r="BD161" s="1115">
        <v>1</v>
      </c>
      <c r="BE161" s="1116">
        <v>1</v>
      </c>
      <c r="BF161" s="1115"/>
      <c r="BG161" s="1115"/>
      <c r="BH161" s="1115"/>
      <c r="BI161" s="1115"/>
      <c r="BJ161" s="1115"/>
      <c r="BK161" s="1115"/>
      <c r="BL161" s="1115"/>
      <c r="BM161" s="1115"/>
      <c r="BN161" s="1115"/>
      <c r="BO161" s="1115"/>
      <c r="BP161" s="1115"/>
      <c r="BQ161" s="1115">
        <v>1</v>
      </c>
      <c r="BR161" s="1115"/>
      <c r="BS161" s="1115"/>
      <c r="BT161" s="1115"/>
      <c r="BU161" s="1115"/>
      <c r="BV161" s="1115"/>
      <c r="BW161" s="1115"/>
      <c r="BX161" s="1115"/>
      <c r="BY161" s="1115"/>
      <c r="BZ161" s="1115"/>
      <c r="CA161" s="1115">
        <f t="shared" si="22"/>
        <v>1</v>
      </c>
      <c r="CB161" s="1117">
        <f t="shared" si="19"/>
        <v>1</v>
      </c>
      <c r="CC161" s="1117">
        <f t="shared" si="20"/>
        <v>0</v>
      </c>
      <c r="CD161" s="1113">
        <v>40</v>
      </c>
      <c r="CE161" s="1109" t="s">
        <v>504</v>
      </c>
      <c r="CF161" s="1109" t="s">
        <v>504</v>
      </c>
      <c r="CG161" s="1114">
        <f>CD161/CH161</f>
        <v>0.27962055490699123</v>
      </c>
      <c r="CH161" s="1113">
        <v>143.05099999999999</v>
      </c>
      <c r="CI161" s="1118" t="s">
        <v>3362</v>
      </c>
      <c r="CJ161" s="1109" t="s">
        <v>504</v>
      </c>
      <c r="CK161" s="1109"/>
      <c r="CL161" s="1109"/>
      <c r="CM161" s="1115"/>
      <c r="CN161" s="1115"/>
      <c r="CO161" s="1115"/>
      <c r="CP161" s="1109" t="s">
        <v>3363</v>
      </c>
      <c r="CQ161" s="1109" t="s">
        <v>3364</v>
      </c>
      <c r="CR161" s="1115" t="s">
        <v>465</v>
      </c>
      <c r="CS161" s="1109" t="s">
        <v>3365</v>
      </c>
      <c r="CT161" s="1109" t="s">
        <v>504</v>
      </c>
      <c r="CU161" s="1115">
        <v>15</v>
      </c>
      <c r="CV161" s="1115" t="s">
        <v>504</v>
      </c>
      <c r="CW161" s="1115">
        <v>0</v>
      </c>
      <c r="CX161" s="1115">
        <v>0</v>
      </c>
      <c r="CY161" s="1115" t="s">
        <v>504</v>
      </c>
      <c r="CZ161" s="1115">
        <v>0</v>
      </c>
      <c r="DA161" s="1115">
        <v>0</v>
      </c>
      <c r="DB161" s="1109" t="s">
        <v>504</v>
      </c>
      <c r="DC161" s="1109"/>
      <c r="DD161" s="1115"/>
      <c r="DE161" s="1109" t="s">
        <v>3366</v>
      </c>
      <c r="DF161" s="1109" t="s">
        <v>3367</v>
      </c>
      <c r="DG161" s="1115"/>
      <c r="DH161" s="1109" t="s">
        <v>500</v>
      </c>
      <c r="DI161" s="1109" t="s">
        <v>504</v>
      </c>
      <c r="DJ161" s="1115"/>
      <c r="DK161" s="1109" t="s">
        <v>656</v>
      </c>
      <c r="DL161" s="1109"/>
      <c r="DM161" s="1115"/>
      <c r="DN161" s="1109" t="s">
        <v>504</v>
      </c>
      <c r="DO161" s="1109"/>
      <c r="DP161" s="1115"/>
      <c r="DQ161" s="1109" t="s">
        <v>504</v>
      </c>
      <c r="DR161" s="1109"/>
      <c r="DS161" s="1115"/>
      <c r="DT161" s="1115"/>
      <c r="DU161" s="1115"/>
      <c r="DV161" s="1115" t="s">
        <v>504</v>
      </c>
      <c r="DW161" s="1109" t="s">
        <v>504</v>
      </c>
      <c r="DX161" s="1109"/>
      <c r="DY161" s="1115"/>
      <c r="DZ161" s="1109" t="s">
        <v>504</v>
      </c>
      <c r="EA161" s="1109"/>
      <c r="EB161" s="1115"/>
      <c r="EC161" s="1109" t="s">
        <v>504</v>
      </c>
      <c r="ED161" s="1109"/>
      <c r="EE161" s="1115"/>
      <c r="EF161" s="1115" t="s">
        <v>504</v>
      </c>
      <c r="EG161" s="1115"/>
      <c r="EH161" s="1115"/>
      <c r="EI161" s="1109" t="s">
        <v>3368</v>
      </c>
      <c r="EJ161" s="1109" t="s">
        <v>3369</v>
      </c>
      <c r="EK161" s="1115"/>
      <c r="EL161" s="1115"/>
      <c r="EM161" s="1115"/>
      <c r="EN161" s="1115"/>
      <c r="EO161" s="1109" t="s">
        <v>504</v>
      </c>
      <c r="EP161" s="1109"/>
      <c r="EQ161" s="1109" t="s">
        <v>3370</v>
      </c>
      <c r="ER161" s="1109" t="s">
        <v>504</v>
      </c>
      <c r="ES161" s="1109" t="s">
        <v>504</v>
      </c>
      <c r="ET161" s="1109" t="s">
        <v>504</v>
      </c>
      <c r="EU161" s="1109" t="s">
        <v>504</v>
      </c>
      <c r="EV161" s="1109" t="s">
        <v>504</v>
      </c>
      <c r="EW161" s="1109">
        <v>0</v>
      </c>
      <c r="EX161" s="1109">
        <v>0</v>
      </c>
    </row>
    <row r="162" spans="3:154" ht="60" customHeight="1" x14ac:dyDescent="0.2">
      <c r="C162" s="1156" t="s">
        <v>693</v>
      </c>
      <c r="D162" s="1156" t="s">
        <v>5278</v>
      </c>
      <c r="E162" s="1104" t="s">
        <v>349</v>
      </c>
      <c r="F162" s="1104" t="s">
        <v>434</v>
      </c>
      <c r="G162" s="1109" t="s">
        <v>3371</v>
      </c>
      <c r="H162" s="1109" t="s">
        <v>3372</v>
      </c>
      <c r="I162" s="1109" t="s">
        <v>219</v>
      </c>
      <c r="J162" s="1110">
        <v>2020</v>
      </c>
      <c r="K162" s="1105">
        <v>43941</v>
      </c>
      <c r="L162" s="1105">
        <v>44079</v>
      </c>
      <c r="M162" s="1369">
        <f t="shared" si="21"/>
        <v>138</v>
      </c>
      <c r="N162" s="1105"/>
      <c r="O162" s="1105"/>
      <c r="P162" s="1105"/>
      <c r="Q162" s="1105"/>
      <c r="R162" s="1105"/>
      <c r="S162" s="1105"/>
      <c r="T162" s="1105"/>
      <c r="U162" s="1105"/>
      <c r="V162" s="1105"/>
      <c r="W162" s="1105"/>
      <c r="X162" s="1105"/>
      <c r="Y162" s="1109" t="s">
        <v>3375</v>
      </c>
      <c r="Z162" s="1188" t="s">
        <v>3376</v>
      </c>
      <c r="AA162" s="1109" t="s">
        <v>3377</v>
      </c>
      <c r="AB162" s="1109" t="s">
        <v>3378</v>
      </c>
      <c r="AC162" s="1109" t="s">
        <v>3379</v>
      </c>
      <c r="AD162" s="1109" t="s">
        <v>3380</v>
      </c>
      <c r="AE162" s="1112">
        <v>1.1299999999999999</v>
      </c>
      <c r="AF162" s="1113">
        <f t="shared" si="17"/>
        <v>1.1299999999999999</v>
      </c>
      <c r="AG162" s="1113">
        <f t="shared" si="18"/>
        <v>0</v>
      </c>
      <c r="AH162" s="1112"/>
      <c r="AI162" s="1113"/>
      <c r="AJ162" s="1113"/>
      <c r="AK162" s="1112">
        <v>1.0169999999999999</v>
      </c>
      <c r="AL162" s="1114">
        <f>AK162/AE162</f>
        <v>0.9</v>
      </c>
      <c r="AM162" s="1250">
        <v>1.6000000000000001E-4</v>
      </c>
      <c r="AN162" s="1112">
        <v>0.113</v>
      </c>
      <c r="AO162" s="1114">
        <f>AN162/AE162</f>
        <v>0.1</v>
      </c>
      <c r="AP162" s="1112"/>
      <c r="AQ162" s="1114"/>
      <c r="AR162" s="1112"/>
      <c r="AS162" s="1114"/>
      <c r="AT162" s="1114"/>
      <c r="AU162" s="1114"/>
      <c r="AV162" s="1114"/>
      <c r="AW162" s="1114" t="s">
        <v>504</v>
      </c>
      <c r="AX162" s="1114"/>
      <c r="AY162" s="1114"/>
      <c r="AZ162" s="1114"/>
      <c r="BA162" s="1138">
        <v>0.7</v>
      </c>
      <c r="BB162" s="1250">
        <v>1.2E-4</v>
      </c>
      <c r="BC162" s="1115">
        <v>1</v>
      </c>
      <c r="BD162" s="1115">
        <v>1</v>
      </c>
      <c r="BE162" s="1116">
        <v>1</v>
      </c>
      <c r="BF162" s="1115"/>
      <c r="BG162" s="1115"/>
      <c r="BH162" s="1115"/>
      <c r="BI162" s="1115"/>
      <c r="BJ162" s="1115"/>
      <c r="BK162" s="1115"/>
      <c r="BL162" s="1115"/>
      <c r="BM162" s="1115"/>
      <c r="BN162" s="1115">
        <v>1</v>
      </c>
      <c r="BO162" s="1115"/>
      <c r="BP162" s="1115"/>
      <c r="BQ162" s="1115"/>
      <c r="BR162" s="1115"/>
      <c r="BS162" s="1115"/>
      <c r="BT162" s="1115"/>
      <c r="BU162" s="1115"/>
      <c r="BV162" s="1115"/>
      <c r="BW162" s="1115"/>
      <c r="BX162" s="1115"/>
      <c r="BY162" s="1115"/>
      <c r="BZ162" s="1115"/>
      <c r="CA162" s="1115">
        <f t="shared" si="22"/>
        <v>1</v>
      </c>
      <c r="CB162" s="1117">
        <f t="shared" si="19"/>
        <v>1</v>
      </c>
      <c r="CC162" s="1117">
        <f t="shared" si="20"/>
        <v>0</v>
      </c>
      <c r="CD162" s="1113">
        <v>2.5750000000000002</v>
      </c>
      <c r="CE162" s="1109" t="s">
        <v>3381</v>
      </c>
      <c r="CF162" s="1188" t="s">
        <v>3382</v>
      </c>
      <c r="CG162" s="1251">
        <f>CD162/CH162</f>
        <v>2.9716567419101697E-2</v>
      </c>
      <c r="CH162" s="1113">
        <v>86.652000000000001</v>
      </c>
      <c r="CI162" s="1191" t="s">
        <v>3383</v>
      </c>
      <c r="CJ162" s="1109" t="s">
        <v>504</v>
      </c>
      <c r="CK162" s="1109"/>
      <c r="CL162" s="1109"/>
      <c r="CM162" s="1115"/>
      <c r="CN162" s="1115"/>
      <c r="CO162" s="1115">
        <v>4</v>
      </c>
      <c r="CP162" s="1109" t="s">
        <v>500</v>
      </c>
      <c r="CQ162" s="1109" t="s">
        <v>3384</v>
      </c>
      <c r="CR162" s="1115">
        <v>93</v>
      </c>
      <c r="CS162" s="1109" t="s">
        <v>3385</v>
      </c>
      <c r="CT162" s="1109" t="s">
        <v>1348</v>
      </c>
      <c r="CU162" s="1115">
        <v>93</v>
      </c>
      <c r="CV162" s="1115" t="s">
        <v>504</v>
      </c>
      <c r="CW162" s="1115"/>
      <c r="CX162" s="1115"/>
      <c r="CY162" s="1115" t="s">
        <v>500</v>
      </c>
      <c r="CZ162" s="1115"/>
      <c r="DA162" s="1115"/>
      <c r="DB162" s="1109" t="s">
        <v>504</v>
      </c>
      <c r="DC162" s="1109"/>
      <c r="DD162" s="1115"/>
      <c r="DE162" s="1109" t="s">
        <v>504</v>
      </c>
      <c r="DF162" s="1109"/>
      <c r="DG162" s="1115"/>
      <c r="DH162" s="1109" t="s">
        <v>504</v>
      </c>
      <c r="DI162" s="1109"/>
      <c r="DJ162" s="1115"/>
      <c r="DK162" s="1109" t="s">
        <v>504</v>
      </c>
      <c r="DL162" s="1109"/>
      <c r="DM162" s="1115"/>
      <c r="DN162" s="1109" t="s">
        <v>504</v>
      </c>
      <c r="DO162" s="1109"/>
      <c r="DP162" s="1115"/>
      <c r="DQ162" s="1109" t="s">
        <v>500</v>
      </c>
      <c r="DR162" s="1109"/>
      <c r="DS162" s="1115"/>
      <c r="DT162" s="1115" t="s">
        <v>504</v>
      </c>
      <c r="DU162" s="1115"/>
      <c r="DV162" s="1115"/>
      <c r="DW162" s="1109" t="s">
        <v>504</v>
      </c>
      <c r="DX162" s="1109"/>
      <c r="DY162" s="1115"/>
      <c r="DZ162" s="1109" t="s">
        <v>504</v>
      </c>
      <c r="EA162" s="1109"/>
      <c r="EB162" s="1115"/>
      <c r="EC162" s="1109"/>
      <c r="ED162" s="1109" t="s">
        <v>3386</v>
      </c>
      <c r="EE162" s="1115"/>
      <c r="EF162" s="1115" t="s">
        <v>3387</v>
      </c>
      <c r="EG162" s="1115" t="s">
        <v>935</v>
      </c>
      <c r="EH162" s="1115">
        <v>8</v>
      </c>
      <c r="EI162" s="1109" t="s">
        <v>504</v>
      </c>
      <c r="EJ162" s="1109"/>
      <c r="EK162" s="1115"/>
      <c r="EL162" s="1115"/>
      <c r="EM162" s="1115"/>
      <c r="EN162" s="1115"/>
      <c r="EO162" s="1109" t="s">
        <v>504</v>
      </c>
      <c r="EP162" s="1109"/>
      <c r="EQ162" s="1188" t="s">
        <v>3376</v>
      </c>
      <c r="ER162" s="1109"/>
      <c r="ES162" s="1109"/>
      <c r="ET162" s="1109" t="s">
        <v>3388</v>
      </c>
      <c r="EU162" s="1109" t="s">
        <v>504</v>
      </c>
      <c r="EV162" s="1109" t="s">
        <v>504</v>
      </c>
      <c r="EW162" s="1109" t="s">
        <v>504</v>
      </c>
      <c r="EX162" s="1109" t="s">
        <v>504</v>
      </c>
    </row>
    <row r="163" spans="3:154" ht="60" customHeight="1" x14ac:dyDescent="0.2">
      <c r="C163" s="1156" t="s">
        <v>5480</v>
      </c>
      <c r="D163" s="1156" t="s">
        <v>5278</v>
      </c>
      <c r="E163" s="1104" t="s">
        <v>349</v>
      </c>
      <c r="F163" s="1104" t="s">
        <v>434</v>
      </c>
      <c r="G163" s="1109" t="s">
        <v>3389</v>
      </c>
      <c r="H163" s="1109" t="s">
        <v>3390</v>
      </c>
      <c r="I163" s="1109" t="s">
        <v>3391</v>
      </c>
      <c r="J163" s="1110">
        <v>2010</v>
      </c>
      <c r="K163" s="1105">
        <v>43892</v>
      </c>
      <c r="L163" s="1105">
        <v>44196</v>
      </c>
      <c r="M163" s="1369">
        <f t="shared" si="21"/>
        <v>304</v>
      </c>
      <c r="N163" s="1105"/>
      <c r="O163" s="1105"/>
      <c r="P163" s="1105"/>
      <c r="Q163" s="1105"/>
      <c r="R163" s="1105"/>
      <c r="S163" s="1105"/>
      <c r="T163" s="1105"/>
      <c r="U163" s="1105"/>
      <c r="V163" s="1105"/>
      <c r="W163" s="1105"/>
      <c r="X163" s="1105"/>
      <c r="Y163" s="1109" t="s">
        <v>3392</v>
      </c>
      <c r="Z163" s="1109"/>
      <c r="AA163" s="1109" t="s">
        <v>3393</v>
      </c>
      <c r="AB163" s="1109" t="s">
        <v>3393</v>
      </c>
      <c r="AC163" s="1109" t="s">
        <v>1732</v>
      </c>
      <c r="AD163" s="1109" t="s">
        <v>3394</v>
      </c>
      <c r="AE163" s="1112">
        <v>0.21429999999999999</v>
      </c>
      <c r="AF163" s="1113">
        <f t="shared" si="17"/>
        <v>0.21429999999999999</v>
      </c>
      <c r="AG163" s="1113">
        <f t="shared" si="18"/>
        <v>0</v>
      </c>
      <c r="AH163" s="1112"/>
      <c r="AI163" s="1113"/>
      <c r="AJ163" s="1113"/>
      <c r="AK163" s="1112">
        <v>0.21429999999999999</v>
      </c>
      <c r="AL163" s="1114">
        <v>1</v>
      </c>
      <c r="AM163" s="1114">
        <v>1</v>
      </c>
      <c r="AN163" s="1112">
        <v>0</v>
      </c>
      <c r="AO163" s="1114">
        <v>0</v>
      </c>
      <c r="AP163" s="1112">
        <v>0</v>
      </c>
      <c r="AQ163" s="1114"/>
      <c r="AR163" s="1112"/>
      <c r="AS163" s="1114"/>
      <c r="AT163" s="1114"/>
      <c r="AU163" s="1114"/>
      <c r="AV163" s="1114"/>
      <c r="AW163" s="1114" t="s">
        <v>500</v>
      </c>
      <c r="AX163" s="1114" t="s">
        <v>3395</v>
      </c>
      <c r="AY163" s="1116">
        <v>8.2927000000000001E-2</v>
      </c>
      <c r="AZ163" s="1114">
        <v>0.38700000000000001</v>
      </c>
      <c r="BA163" s="1113">
        <v>0.09</v>
      </c>
      <c r="BB163" s="1114">
        <v>5.8E-5</v>
      </c>
      <c r="BC163" s="1115">
        <v>13</v>
      </c>
      <c r="BD163" s="1115">
        <v>13</v>
      </c>
      <c r="BE163" s="1116">
        <v>13</v>
      </c>
      <c r="BF163" s="1115"/>
      <c r="BG163" s="1115"/>
      <c r="BH163" s="1115"/>
      <c r="BI163" s="1115"/>
      <c r="BJ163" s="1115"/>
      <c r="BK163" s="1115">
        <v>1</v>
      </c>
      <c r="BL163" s="1115"/>
      <c r="BM163" s="1115">
        <v>1</v>
      </c>
      <c r="BN163" s="1115">
        <v>1</v>
      </c>
      <c r="BO163" s="1115"/>
      <c r="BP163" s="1115"/>
      <c r="BQ163" s="1115">
        <v>1</v>
      </c>
      <c r="BR163" s="1115"/>
      <c r="BS163" s="1115"/>
      <c r="BT163" s="1115">
        <v>9</v>
      </c>
      <c r="BU163" s="1115"/>
      <c r="BV163" s="1115"/>
      <c r="BW163" s="1115"/>
      <c r="BX163" s="1115"/>
      <c r="BY163" s="1115"/>
      <c r="BZ163" s="1115"/>
      <c r="CA163" s="1115">
        <f t="shared" si="22"/>
        <v>13</v>
      </c>
      <c r="CB163" s="1117">
        <f t="shared" si="19"/>
        <v>13</v>
      </c>
      <c r="CC163" s="1117">
        <f t="shared" si="20"/>
        <v>0</v>
      </c>
      <c r="CD163" s="1113">
        <v>1.31</v>
      </c>
      <c r="CE163" s="1109" t="s">
        <v>3396</v>
      </c>
      <c r="CF163" s="1109"/>
      <c r="CG163" s="1109">
        <v>4.5999999999999996</v>
      </c>
      <c r="CH163" s="1113">
        <v>28.425000000000001</v>
      </c>
      <c r="CI163" s="1114" t="s">
        <v>3397</v>
      </c>
      <c r="CJ163" s="1109" t="s">
        <v>504</v>
      </c>
      <c r="CK163" s="1109"/>
      <c r="CL163" s="1109"/>
      <c r="CM163" s="1115"/>
      <c r="CN163" s="1115"/>
      <c r="CO163" s="1115">
        <v>2</v>
      </c>
      <c r="CP163" s="1109" t="s">
        <v>504</v>
      </c>
      <c r="CQ163" s="1109"/>
      <c r="CR163" s="1115"/>
      <c r="CS163" s="1109" t="s">
        <v>504</v>
      </c>
      <c r="CT163" s="1109"/>
      <c r="CU163" s="1115"/>
      <c r="CV163" s="1115" t="s">
        <v>504</v>
      </c>
      <c r="CW163" s="1115"/>
      <c r="CX163" s="1115"/>
      <c r="CY163" s="1115" t="s">
        <v>504</v>
      </c>
      <c r="CZ163" s="1115"/>
      <c r="DA163" s="1115"/>
      <c r="DB163" s="1109" t="s">
        <v>504</v>
      </c>
      <c r="DC163" s="1109"/>
      <c r="DD163" s="1115"/>
      <c r="DE163" s="1109" t="s">
        <v>504</v>
      </c>
      <c r="DF163" s="1109"/>
      <c r="DG163" s="1115"/>
      <c r="DH163" s="1109" t="s">
        <v>504</v>
      </c>
      <c r="DI163" s="1109"/>
      <c r="DJ163" s="1115"/>
      <c r="DK163" s="1109" t="s">
        <v>500</v>
      </c>
      <c r="DL163" s="1109" t="s">
        <v>3398</v>
      </c>
      <c r="DM163" s="1115">
        <v>208</v>
      </c>
      <c r="DN163" s="1109"/>
      <c r="DO163" s="1109"/>
      <c r="DP163" s="1115"/>
      <c r="DQ163" s="1109"/>
      <c r="DR163" s="1109"/>
      <c r="DS163" s="1115"/>
      <c r="DT163" s="1115"/>
      <c r="DU163" s="1115"/>
      <c r="DV163" s="1115"/>
      <c r="DW163" s="1109"/>
      <c r="DX163" s="1109"/>
      <c r="DY163" s="1115"/>
      <c r="DZ163" s="1109"/>
      <c r="EA163" s="1109"/>
      <c r="EB163" s="1115"/>
      <c r="EC163" s="1109"/>
      <c r="ED163" s="1109"/>
      <c r="EE163" s="1115"/>
      <c r="EF163" s="1115" t="s">
        <v>500</v>
      </c>
      <c r="EG163" s="1115" t="s">
        <v>2929</v>
      </c>
      <c r="EH163" s="1115">
        <v>9</v>
      </c>
      <c r="EI163" s="1109"/>
      <c r="EJ163" s="1109"/>
      <c r="EK163" s="1115"/>
      <c r="EL163" s="1115"/>
      <c r="EM163" s="1115"/>
      <c r="EN163" s="1115"/>
      <c r="EO163" s="1109" t="s">
        <v>504</v>
      </c>
      <c r="EP163" s="1109"/>
      <c r="EQ163" s="1109"/>
      <c r="ER163" s="1109"/>
      <c r="ES163" s="1109"/>
      <c r="ET163" s="1109"/>
      <c r="EU163" s="1109"/>
      <c r="EV163" s="1109" t="s">
        <v>504</v>
      </c>
      <c r="EW163" s="1109">
        <v>0</v>
      </c>
      <c r="EX163" s="1109">
        <v>0</v>
      </c>
    </row>
    <row r="164" spans="3:154" ht="60" customHeight="1" x14ac:dyDescent="0.2">
      <c r="C164" s="1156" t="s">
        <v>5480</v>
      </c>
      <c r="D164" s="1156" t="s">
        <v>5278</v>
      </c>
      <c r="E164" s="1104" t="s">
        <v>349</v>
      </c>
      <c r="F164" s="1104" t="s">
        <v>434</v>
      </c>
      <c r="G164" s="1109" t="s">
        <v>3399</v>
      </c>
      <c r="H164" s="1109" t="s">
        <v>3400</v>
      </c>
      <c r="I164" s="1109" t="s">
        <v>3400</v>
      </c>
      <c r="J164" s="1110">
        <v>2020</v>
      </c>
      <c r="K164" s="1108">
        <v>43965</v>
      </c>
      <c r="L164" s="1105">
        <v>44348</v>
      </c>
      <c r="M164" s="1369">
        <f t="shared" si="21"/>
        <v>383</v>
      </c>
      <c r="N164" s="1105"/>
      <c r="O164" s="1105"/>
      <c r="P164" s="1105"/>
      <c r="Q164" s="1105"/>
      <c r="R164" s="1105"/>
      <c r="S164" s="1105"/>
      <c r="T164" s="1105"/>
      <c r="U164" s="1105"/>
      <c r="V164" s="1105"/>
      <c r="W164" s="1105"/>
      <c r="X164" s="1105"/>
      <c r="Y164" s="1109"/>
      <c r="Z164" s="1109"/>
      <c r="AA164" s="1109" t="s">
        <v>3402</v>
      </c>
      <c r="AB164" s="1109" t="s">
        <v>3402</v>
      </c>
      <c r="AC164" s="1109" t="s">
        <v>2731</v>
      </c>
      <c r="AD164" s="1109" t="s">
        <v>3402</v>
      </c>
      <c r="AE164" s="1112">
        <v>12</v>
      </c>
      <c r="AF164" s="1113">
        <f t="shared" si="17"/>
        <v>12</v>
      </c>
      <c r="AG164" s="1113">
        <f t="shared" si="18"/>
        <v>0</v>
      </c>
      <c r="AH164" s="1112"/>
      <c r="AI164" s="1113"/>
      <c r="AJ164" s="1113"/>
      <c r="AK164" s="1112">
        <v>12</v>
      </c>
      <c r="AL164" s="1114">
        <v>1</v>
      </c>
      <c r="AM164" s="1114">
        <v>1</v>
      </c>
      <c r="AN164" s="1112"/>
      <c r="AO164" s="1114"/>
      <c r="AP164" s="1112"/>
      <c r="AQ164" s="1114"/>
      <c r="AR164" s="1112"/>
      <c r="AS164" s="1114"/>
      <c r="AT164" s="1114"/>
      <c r="AU164" s="1114"/>
      <c r="AV164" s="1114"/>
      <c r="AW164" s="1114" t="s">
        <v>504</v>
      </c>
      <c r="AX164" s="1114"/>
      <c r="AY164" s="1114"/>
      <c r="AZ164" s="1114"/>
      <c r="BA164" s="1113">
        <v>3.2389999999999999</v>
      </c>
      <c r="BB164" s="1114">
        <v>1</v>
      </c>
      <c r="BC164" s="1115"/>
      <c r="BD164" s="1115"/>
      <c r="BE164" s="1116"/>
      <c r="BF164" s="1115"/>
      <c r="BG164" s="1115"/>
      <c r="BH164" s="1115"/>
      <c r="BI164" s="1115"/>
      <c r="BJ164" s="1115"/>
      <c r="BK164" s="1115"/>
      <c r="BL164" s="1115"/>
      <c r="BM164" s="1115"/>
      <c r="BN164" s="1115"/>
      <c r="BO164" s="1115"/>
      <c r="BP164" s="1115"/>
      <c r="BQ164" s="1115">
        <v>1</v>
      </c>
      <c r="BR164" s="1115"/>
      <c r="BS164" s="1115"/>
      <c r="BT164" s="1115"/>
      <c r="BU164" s="1115"/>
      <c r="BV164" s="1115"/>
      <c r="BW164" s="1115"/>
      <c r="BX164" s="1115"/>
      <c r="BY164" s="1115"/>
      <c r="BZ164" s="1115"/>
      <c r="CA164" s="1115">
        <v>1</v>
      </c>
      <c r="CB164" s="1117">
        <f t="shared" si="19"/>
        <v>1</v>
      </c>
      <c r="CC164" s="1117">
        <f t="shared" si="20"/>
        <v>0</v>
      </c>
      <c r="CD164" s="1113">
        <v>3.6240000000000001</v>
      </c>
      <c r="CE164" s="1109" t="s">
        <v>3403</v>
      </c>
      <c r="CF164" s="1109"/>
      <c r="CG164" s="1109">
        <v>13</v>
      </c>
      <c r="CH164" s="1113">
        <v>27.79</v>
      </c>
      <c r="CI164" s="1114"/>
      <c r="CJ164" s="1109" t="s">
        <v>504</v>
      </c>
      <c r="CK164" s="1109"/>
      <c r="CL164" s="1109"/>
      <c r="CM164" s="1115"/>
      <c r="CN164" s="1115"/>
      <c r="CO164" s="1115"/>
      <c r="CP164" s="1109" t="s">
        <v>500</v>
      </c>
      <c r="CQ164" s="1109"/>
      <c r="CR164" s="1115"/>
      <c r="CS164" s="1109"/>
      <c r="CT164" s="1109"/>
      <c r="CU164" s="1115"/>
      <c r="CV164" s="1115"/>
      <c r="CW164" s="1115"/>
      <c r="CX164" s="1115"/>
      <c r="CY164" s="1115"/>
      <c r="CZ164" s="1115"/>
      <c r="DA164" s="1115"/>
      <c r="DB164" s="1109"/>
      <c r="DC164" s="1109"/>
      <c r="DD164" s="1115"/>
      <c r="DE164" s="1109"/>
      <c r="DF164" s="1109"/>
      <c r="DG164" s="1115"/>
      <c r="DH164" s="1109"/>
      <c r="DI164" s="1109"/>
      <c r="DJ164" s="1115"/>
      <c r="DK164" s="1109"/>
      <c r="DL164" s="1109"/>
      <c r="DM164" s="1115"/>
      <c r="DN164" s="1109"/>
      <c r="DO164" s="1109"/>
      <c r="DP164" s="1115"/>
      <c r="DQ164" s="1109"/>
      <c r="DR164" s="1109"/>
      <c r="DS164" s="1115"/>
      <c r="DT164" s="1115"/>
      <c r="DU164" s="1115"/>
      <c r="DV164" s="1115"/>
      <c r="DW164" s="1109"/>
      <c r="DX164" s="1109"/>
      <c r="DY164" s="1115"/>
      <c r="DZ164" s="1109"/>
      <c r="EA164" s="1109"/>
      <c r="EB164" s="1115"/>
      <c r="EC164" s="1109"/>
      <c r="ED164" s="1109"/>
      <c r="EE164" s="1115"/>
      <c r="EF164" s="1115"/>
      <c r="EG164" s="1115"/>
      <c r="EH164" s="1115"/>
      <c r="EI164" s="1109"/>
      <c r="EJ164" s="1109"/>
      <c r="EK164" s="1115"/>
      <c r="EL164" s="1115"/>
      <c r="EM164" s="1115"/>
      <c r="EN164" s="1115"/>
      <c r="EO164" s="1109"/>
      <c r="EP164" s="1109"/>
      <c r="EQ164" s="1109"/>
      <c r="ER164" s="1109"/>
      <c r="ES164" s="1109"/>
      <c r="ET164" s="1109"/>
      <c r="EU164" s="1109"/>
      <c r="EV164" s="1109"/>
      <c r="EW164" s="1109"/>
      <c r="EX164" s="1109"/>
    </row>
    <row r="165" spans="3:154" ht="60" customHeight="1" x14ac:dyDescent="0.2">
      <c r="C165" s="1156" t="s">
        <v>693</v>
      </c>
      <c r="D165" s="1156" t="s">
        <v>5278</v>
      </c>
      <c r="E165" s="1104" t="s">
        <v>349</v>
      </c>
      <c r="F165" s="1104" t="s">
        <v>434</v>
      </c>
      <c r="G165" s="1109" t="s">
        <v>3404</v>
      </c>
      <c r="H165" s="1109" t="s">
        <v>3405</v>
      </c>
      <c r="I165" s="1109" t="s">
        <v>3406</v>
      </c>
      <c r="J165" s="1110">
        <v>2019</v>
      </c>
      <c r="K165" s="1105">
        <v>43852</v>
      </c>
      <c r="L165" s="1105">
        <v>44196</v>
      </c>
      <c r="M165" s="1369">
        <f t="shared" si="21"/>
        <v>344</v>
      </c>
      <c r="N165" s="1105"/>
      <c r="O165" s="1105"/>
      <c r="P165" s="1105"/>
      <c r="Q165" s="1105"/>
      <c r="R165" s="1105"/>
      <c r="S165" s="1105"/>
      <c r="T165" s="1105"/>
      <c r="U165" s="1105"/>
      <c r="V165" s="1105"/>
      <c r="W165" s="1105"/>
      <c r="X165" s="1105"/>
      <c r="Y165" s="1109" t="s">
        <v>3408</v>
      </c>
      <c r="Z165" s="1188" t="s">
        <v>3409</v>
      </c>
      <c r="AA165" s="1109" t="s">
        <v>3410</v>
      </c>
      <c r="AB165" s="1109" t="s">
        <v>3411</v>
      </c>
      <c r="AC165" s="1109" t="s">
        <v>3412</v>
      </c>
      <c r="AD165" s="1109" t="s">
        <v>3413</v>
      </c>
      <c r="AE165" s="1112">
        <v>18.436</v>
      </c>
      <c r="AF165" s="1113">
        <f t="shared" si="17"/>
        <v>18.436399999999999</v>
      </c>
      <c r="AG165" s="1113">
        <f t="shared" si="18"/>
        <v>3.9999999999906777E-4</v>
      </c>
      <c r="AH165" s="1112"/>
      <c r="AI165" s="1113"/>
      <c r="AJ165" s="1113"/>
      <c r="AK165" s="1112">
        <v>9.3179999999999996</v>
      </c>
      <c r="AL165" s="1114">
        <f>AK165/AE165</f>
        <v>0.50542417010197438</v>
      </c>
      <c r="AM165" s="1114">
        <v>2.0000000000000001E-4</v>
      </c>
      <c r="AN165" s="1112">
        <v>2.1259999999999999</v>
      </c>
      <c r="AO165" s="1114">
        <f>AN165/AE165</f>
        <v>0.11531785636797569</v>
      </c>
      <c r="AP165" s="1112">
        <v>6.9923999999999999</v>
      </c>
      <c r="AQ165" s="1114">
        <f>AP165/AE165</f>
        <v>0.37927967021045778</v>
      </c>
      <c r="AR165" s="1112"/>
      <c r="AS165" s="1114"/>
      <c r="AT165" s="1114"/>
      <c r="AU165" s="1114"/>
      <c r="AV165" s="1114"/>
      <c r="AW165" s="1114" t="s">
        <v>504</v>
      </c>
      <c r="AX165" s="1114"/>
      <c r="AY165" s="1114"/>
      <c r="AZ165" s="1114"/>
      <c r="BA165" s="1113">
        <v>20</v>
      </c>
      <c r="BB165" s="1114">
        <v>4.0000000000000002E-4</v>
      </c>
      <c r="BC165" s="1115">
        <v>39</v>
      </c>
      <c r="BD165" s="1115">
        <v>39</v>
      </c>
      <c r="BE165" s="1116">
        <v>32</v>
      </c>
      <c r="BF165" s="1115"/>
      <c r="BG165" s="1115"/>
      <c r="BH165" s="1115"/>
      <c r="BI165" s="1115"/>
      <c r="BJ165" s="1115"/>
      <c r="BK165" s="1115"/>
      <c r="BL165" s="1115">
        <v>13</v>
      </c>
      <c r="BM165" s="1115">
        <v>8</v>
      </c>
      <c r="BN165" s="1115">
        <v>3</v>
      </c>
      <c r="BO165" s="1115"/>
      <c r="BP165" s="1115"/>
      <c r="BQ165" s="1115"/>
      <c r="BR165" s="1115"/>
      <c r="BS165" s="1115"/>
      <c r="BT165" s="1115"/>
      <c r="BU165" s="1115"/>
      <c r="BV165" s="1115"/>
      <c r="BW165" s="1115"/>
      <c r="BX165" s="1115"/>
      <c r="BY165" s="1115"/>
      <c r="BZ165" s="1115">
        <v>8</v>
      </c>
      <c r="CA165" s="1115">
        <f>SUM(BF165:BZ165)</f>
        <v>32</v>
      </c>
      <c r="CB165" s="1117">
        <f t="shared" si="19"/>
        <v>32</v>
      </c>
      <c r="CC165" s="1117">
        <f t="shared" si="20"/>
        <v>0</v>
      </c>
      <c r="CD165" s="1113">
        <v>335.15800000000002</v>
      </c>
      <c r="CE165" s="1109" t="s">
        <v>3414</v>
      </c>
      <c r="CF165" s="1188"/>
      <c r="CG165" s="1109">
        <f>CD165/CH165*100</f>
        <v>21.949449688726709</v>
      </c>
      <c r="CH165" s="1113">
        <v>1526.954</v>
      </c>
      <c r="CI165" s="1191" t="s">
        <v>3415</v>
      </c>
      <c r="CJ165" s="1109" t="s">
        <v>500</v>
      </c>
      <c r="CK165" s="1109" t="s">
        <v>3416</v>
      </c>
      <c r="CL165" s="1109" t="s">
        <v>3417</v>
      </c>
      <c r="CM165" s="1115">
        <v>78</v>
      </c>
      <c r="CN165" s="1115"/>
      <c r="CO165" s="1115"/>
      <c r="CP165" s="1109" t="s">
        <v>500</v>
      </c>
      <c r="CQ165" s="1109" t="s">
        <v>3418</v>
      </c>
      <c r="CR165" s="1115">
        <v>16152</v>
      </c>
      <c r="CS165" s="1109" t="s">
        <v>500</v>
      </c>
      <c r="CT165" s="1109" t="s">
        <v>2735</v>
      </c>
      <c r="CU165" s="1115">
        <v>4744</v>
      </c>
      <c r="CV165" s="1115" t="s">
        <v>504</v>
      </c>
      <c r="CW165" s="1115" t="s">
        <v>465</v>
      </c>
      <c r="CX165" s="1115" t="s">
        <v>465</v>
      </c>
      <c r="CY165" s="1115" t="s">
        <v>504</v>
      </c>
      <c r="CZ165" s="1115" t="s">
        <v>465</v>
      </c>
      <c r="DA165" s="1115" t="s">
        <v>465</v>
      </c>
      <c r="DB165" s="1109" t="s">
        <v>504</v>
      </c>
      <c r="DC165" s="1109"/>
      <c r="DD165" s="1115"/>
      <c r="DE165" s="1109" t="s">
        <v>504</v>
      </c>
      <c r="DF165" s="1109"/>
      <c r="DG165" s="1115"/>
      <c r="DH165" s="1109" t="s">
        <v>504</v>
      </c>
      <c r="DI165" s="1109"/>
      <c r="DJ165" s="1115"/>
      <c r="DK165" s="1109" t="s">
        <v>500</v>
      </c>
      <c r="DL165" s="1109" t="s">
        <v>3419</v>
      </c>
      <c r="DM165" s="1115">
        <v>37</v>
      </c>
      <c r="DN165" s="1109" t="s">
        <v>504</v>
      </c>
      <c r="DO165" s="1109" t="s">
        <v>465</v>
      </c>
      <c r="DP165" s="1115" t="s">
        <v>465</v>
      </c>
      <c r="DQ165" s="1109" t="s">
        <v>504</v>
      </c>
      <c r="DR165" s="1109" t="s">
        <v>465</v>
      </c>
      <c r="DS165" s="1115" t="s">
        <v>465</v>
      </c>
      <c r="DT165" s="1115" t="s">
        <v>504</v>
      </c>
      <c r="DU165" s="1115"/>
      <c r="DV165" s="1115"/>
      <c r="DW165" s="1109" t="s">
        <v>504</v>
      </c>
      <c r="DX165" s="1109"/>
      <c r="DY165" s="1115"/>
      <c r="DZ165" s="1109" t="s">
        <v>504</v>
      </c>
      <c r="EA165" s="1109"/>
      <c r="EB165" s="1115"/>
      <c r="EC165" s="1109" t="s">
        <v>500</v>
      </c>
      <c r="ED165" s="1109" t="s">
        <v>1348</v>
      </c>
      <c r="EE165" s="1115">
        <v>78</v>
      </c>
      <c r="EF165" s="1115" t="s">
        <v>504</v>
      </c>
      <c r="EG165" s="1115" t="s">
        <v>465</v>
      </c>
      <c r="EH165" s="1115" t="s">
        <v>465</v>
      </c>
      <c r="EI165" s="1109" t="s">
        <v>504</v>
      </c>
      <c r="EJ165" s="1109" t="s">
        <v>465</v>
      </c>
      <c r="EK165" s="1115" t="s">
        <v>465</v>
      </c>
      <c r="EL165" s="1115"/>
      <c r="EM165" s="1115"/>
      <c r="EN165" s="1115"/>
      <c r="EO165" s="1109" t="s">
        <v>504</v>
      </c>
      <c r="EP165" s="1109" t="s">
        <v>465</v>
      </c>
      <c r="EQ165" s="1188" t="s">
        <v>3420</v>
      </c>
      <c r="ER165" s="1109" t="s">
        <v>465</v>
      </c>
      <c r="ES165" s="1109" t="s">
        <v>465</v>
      </c>
      <c r="ET165" s="1109" t="s">
        <v>3421</v>
      </c>
      <c r="EU165" s="1109" t="s">
        <v>465</v>
      </c>
      <c r="EV165" s="1109" t="s">
        <v>3422</v>
      </c>
      <c r="EW165" s="1109" t="s">
        <v>465</v>
      </c>
      <c r="EX165" s="1109" t="s">
        <v>465</v>
      </c>
    </row>
    <row r="166" spans="3:154" ht="71.099999999999994" customHeight="1" x14ac:dyDescent="0.2">
      <c r="C166" s="1156" t="s">
        <v>5482</v>
      </c>
      <c r="D166" s="1156" t="s">
        <v>5277</v>
      </c>
      <c r="E166" s="738" t="s">
        <v>350</v>
      </c>
      <c r="F166" s="738" t="s">
        <v>435</v>
      </c>
      <c r="G166" s="738"/>
      <c r="H166" s="632" t="s">
        <v>1924</v>
      </c>
      <c r="I166" s="632" t="s">
        <v>465</v>
      </c>
      <c r="J166" s="637">
        <v>2017</v>
      </c>
      <c r="K166" s="377">
        <v>43654</v>
      </c>
      <c r="L166" s="377">
        <v>44348</v>
      </c>
      <c r="M166" s="1369">
        <f t="shared" si="21"/>
        <v>694</v>
      </c>
      <c r="N166" s="632" t="s">
        <v>1926</v>
      </c>
      <c r="O166" s="632" t="s">
        <v>465</v>
      </c>
      <c r="P166" s="632" t="s">
        <v>465</v>
      </c>
      <c r="Q166" s="632" t="s">
        <v>465</v>
      </c>
      <c r="R166" s="632" t="s">
        <v>465</v>
      </c>
      <c r="S166" s="632" t="s">
        <v>465</v>
      </c>
      <c r="T166" s="632" t="s">
        <v>465</v>
      </c>
      <c r="U166" s="632" t="s">
        <v>465</v>
      </c>
      <c r="V166" s="632" t="s">
        <v>465</v>
      </c>
      <c r="W166" s="632" t="s">
        <v>465</v>
      </c>
      <c r="X166" s="632" t="s">
        <v>465</v>
      </c>
      <c r="Y166" s="632"/>
      <c r="Z166" s="632"/>
      <c r="AA166" s="632" t="s">
        <v>1927</v>
      </c>
      <c r="AB166" s="632" t="s">
        <v>1928</v>
      </c>
      <c r="AC166" s="632" t="s">
        <v>622</v>
      </c>
      <c r="AD166" s="632" t="s">
        <v>1929</v>
      </c>
      <c r="AE166" s="702">
        <v>75</v>
      </c>
      <c r="AF166" s="671">
        <f t="shared" si="17"/>
        <v>75</v>
      </c>
      <c r="AG166" s="671">
        <f t="shared" si="18"/>
        <v>0</v>
      </c>
      <c r="AH166" s="702">
        <v>75</v>
      </c>
      <c r="AI166" s="688">
        <v>1</v>
      </c>
      <c r="AJ166" s="683">
        <v>1.2999999999999999E-3</v>
      </c>
      <c r="AK166" s="702"/>
      <c r="AL166" s="683"/>
      <c r="AM166" s="683"/>
      <c r="AN166" s="702"/>
      <c r="AO166" s="683"/>
      <c r="AP166" s="702"/>
      <c r="AQ166" s="683"/>
      <c r="AR166" s="702"/>
      <c r="AS166" s="683"/>
      <c r="AT166" s="632" t="s">
        <v>465</v>
      </c>
      <c r="AU166" s="632" t="s">
        <v>465</v>
      </c>
      <c r="AV166" s="632" t="s">
        <v>465</v>
      </c>
      <c r="AW166" s="632" t="s">
        <v>465</v>
      </c>
      <c r="AX166" s="632" t="s">
        <v>465</v>
      </c>
      <c r="AY166" s="632" t="s">
        <v>465</v>
      </c>
      <c r="AZ166" s="683" t="s">
        <v>465</v>
      </c>
      <c r="BA166" s="637">
        <v>75</v>
      </c>
      <c r="BB166" s="683">
        <v>1.4E-3</v>
      </c>
      <c r="BC166" s="710">
        <v>89</v>
      </c>
      <c r="BD166" s="710">
        <v>89</v>
      </c>
      <c r="BE166" s="706">
        <v>50</v>
      </c>
      <c r="BF166" s="710" t="s">
        <v>465</v>
      </c>
      <c r="BG166" s="710">
        <v>8</v>
      </c>
      <c r="BH166" s="710" t="s">
        <v>465</v>
      </c>
      <c r="BI166" s="710" t="s">
        <v>465</v>
      </c>
      <c r="BJ166" s="710" t="s">
        <v>465</v>
      </c>
      <c r="BK166" s="710" t="s">
        <v>465</v>
      </c>
      <c r="BL166" s="710" t="s">
        <v>465</v>
      </c>
      <c r="BM166" s="710" t="s">
        <v>465</v>
      </c>
      <c r="BN166" s="710">
        <v>5</v>
      </c>
      <c r="BO166" s="710">
        <v>25</v>
      </c>
      <c r="BP166" s="710">
        <v>9</v>
      </c>
      <c r="BQ166" s="710">
        <v>3</v>
      </c>
      <c r="BR166" s="710" t="s">
        <v>465</v>
      </c>
      <c r="BS166" s="710" t="s">
        <v>465</v>
      </c>
      <c r="BT166" s="710" t="s">
        <v>465</v>
      </c>
      <c r="BU166" s="710" t="s">
        <v>465</v>
      </c>
      <c r="BV166" s="710" t="s">
        <v>465</v>
      </c>
      <c r="BW166" s="710" t="s">
        <v>465</v>
      </c>
      <c r="BX166" s="710" t="s">
        <v>465</v>
      </c>
      <c r="BY166" s="710" t="s">
        <v>465</v>
      </c>
      <c r="BZ166" s="710" t="s">
        <v>465</v>
      </c>
      <c r="CA166" s="717">
        <f>SUM(BF166:BZ166)</f>
        <v>50</v>
      </c>
      <c r="CB166" s="717">
        <f t="shared" si="19"/>
        <v>50</v>
      </c>
      <c r="CC166" s="717">
        <f t="shared" si="20"/>
        <v>0</v>
      </c>
      <c r="CD166" s="670">
        <v>11.5</v>
      </c>
      <c r="CE166" s="632" t="s">
        <v>465</v>
      </c>
      <c r="CF166" s="632" t="s">
        <v>465</v>
      </c>
      <c r="CG166" s="683">
        <v>2.5600000000000001E-2</v>
      </c>
      <c r="CH166" s="671">
        <v>449.13799999999998</v>
      </c>
      <c r="CI166" s="683" t="s">
        <v>1930</v>
      </c>
      <c r="CJ166" s="632" t="s">
        <v>465</v>
      </c>
      <c r="CK166" s="632" t="s">
        <v>465</v>
      </c>
      <c r="CL166" s="632" t="s">
        <v>465</v>
      </c>
      <c r="CM166" s="710" t="s">
        <v>465</v>
      </c>
      <c r="CN166" s="710" t="s">
        <v>465</v>
      </c>
      <c r="CO166" s="710" t="s">
        <v>465</v>
      </c>
      <c r="CP166" s="632" t="s">
        <v>504</v>
      </c>
      <c r="CQ166" s="632" t="s">
        <v>465</v>
      </c>
      <c r="CR166" s="710" t="s">
        <v>465</v>
      </c>
      <c r="CS166" s="632" t="s">
        <v>500</v>
      </c>
      <c r="CT166" s="632" t="s">
        <v>1931</v>
      </c>
      <c r="CU166" s="710">
        <v>100</v>
      </c>
      <c r="CV166" s="710" t="s">
        <v>500</v>
      </c>
      <c r="CW166" s="710" t="s">
        <v>1933</v>
      </c>
      <c r="CX166" s="710">
        <v>7</v>
      </c>
      <c r="CY166" s="710" t="s">
        <v>504</v>
      </c>
      <c r="CZ166" s="710" t="s">
        <v>465</v>
      </c>
      <c r="DA166" s="710" t="s">
        <v>465</v>
      </c>
      <c r="DB166" s="632" t="s">
        <v>504</v>
      </c>
      <c r="DC166" s="632" t="s">
        <v>465</v>
      </c>
      <c r="DD166" s="710" t="s">
        <v>465</v>
      </c>
      <c r="DE166" s="632" t="s">
        <v>504</v>
      </c>
      <c r="DF166" s="632" t="s">
        <v>465</v>
      </c>
      <c r="DG166" s="710" t="s">
        <v>465</v>
      </c>
      <c r="DH166" s="632" t="s">
        <v>504</v>
      </c>
      <c r="DI166" s="632" t="s">
        <v>465</v>
      </c>
      <c r="DJ166" s="710" t="s">
        <v>465</v>
      </c>
      <c r="DK166" s="632" t="s">
        <v>504</v>
      </c>
      <c r="DL166" s="632" t="s">
        <v>465</v>
      </c>
      <c r="DM166" s="710" t="s">
        <v>465</v>
      </c>
      <c r="DN166" s="632" t="s">
        <v>504</v>
      </c>
      <c r="DO166" s="632" t="s">
        <v>465</v>
      </c>
      <c r="DP166" s="710" t="s">
        <v>465</v>
      </c>
      <c r="DQ166" s="632" t="s">
        <v>500</v>
      </c>
      <c r="DR166" s="632" t="s">
        <v>1934</v>
      </c>
      <c r="DS166" s="710" t="s">
        <v>1932</v>
      </c>
      <c r="DT166" s="710" t="s">
        <v>500</v>
      </c>
      <c r="DU166" s="710" t="s">
        <v>1931</v>
      </c>
      <c r="DV166" s="710">
        <v>100</v>
      </c>
      <c r="DW166" s="632" t="s">
        <v>504</v>
      </c>
      <c r="DX166" s="632" t="s">
        <v>465</v>
      </c>
      <c r="DY166" s="710" t="s">
        <v>465</v>
      </c>
      <c r="DZ166" s="632" t="s">
        <v>504</v>
      </c>
      <c r="EA166" s="632" t="s">
        <v>465</v>
      </c>
      <c r="EB166" s="710" t="s">
        <v>465</v>
      </c>
      <c r="EC166" s="632" t="s">
        <v>500</v>
      </c>
      <c r="ED166" s="632" t="s">
        <v>1931</v>
      </c>
      <c r="EE166" s="710">
        <v>16</v>
      </c>
      <c r="EF166" s="710" t="s">
        <v>504</v>
      </c>
      <c r="EG166" s="710" t="s">
        <v>465</v>
      </c>
      <c r="EH166" s="710" t="s">
        <v>465</v>
      </c>
      <c r="EI166" s="632" t="s">
        <v>504</v>
      </c>
      <c r="EJ166" s="632" t="s">
        <v>465</v>
      </c>
      <c r="EK166" s="710" t="s">
        <v>465</v>
      </c>
      <c r="EL166" s="688">
        <v>1</v>
      </c>
      <c r="EM166" s="632" t="s">
        <v>465</v>
      </c>
      <c r="EN166" s="710">
        <v>10</v>
      </c>
      <c r="EO166" s="632" t="s">
        <v>504</v>
      </c>
      <c r="EP166" s="632" t="s">
        <v>465</v>
      </c>
      <c r="EQ166" s="632" t="s">
        <v>1935</v>
      </c>
      <c r="ER166" s="632" t="s">
        <v>465</v>
      </c>
      <c r="ES166" s="632" t="s">
        <v>465</v>
      </c>
      <c r="ET166" s="632" t="s">
        <v>1936</v>
      </c>
      <c r="EU166" s="632" t="s">
        <v>465</v>
      </c>
      <c r="EV166" s="632" t="s">
        <v>465</v>
      </c>
      <c r="EW166" s="632" t="s">
        <v>465</v>
      </c>
      <c r="EX166" s="632" t="s">
        <v>465</v>
      </c>
    </row>
    <row r="167" spans="3:154" ht="25.5" x14ac:dyDescent="0.2">
      <c r="C167" s="1156"/>
      <c r="D167" s="1156"/>
      <c r="E167" s="1454" t="s">
        <v>351</v>
      </c>
      <c r="F167" s="1454" t="s">
        <v>436</v>
      </c>
      <c r="G167" s="1454"/>
      <c r="H167" s="1460"/>
      <c r="I167" s="1460"/>
      <c r="J167" s="1460"/>
      <c r="K167" s="1460"/>
      <c r="L167" s="1460"/>
      <c r="M167" s="1369">
        <f t="shared" si="21"/>
        <v>0</v>
      </c>
      <c r="N167" s="1460"/>
      <c r="O167" s="1460"/>
      <c r="P167" s="1460"/>
      <c r="Q167" s="1460"/>
      <c r="R167" s="1460"/>
      <c r="S167" s="1460"/>
      <c r="T167" s="1460"/>
      <c r="U167" s="1460"/>
      <c r="V167" s="1460"/>
      <c r="W167" s="1460"/>
      <c r="X167" s="1460"/>
      <c r="Y167" s="1460"/>
      <c r="Z167" s="1460"/>
      <c r="AA167" s="1460"/>
      <c r="AB167" s="1460"/>
      <c r="AC167" s="1460"/>
      <c r="AD167" s="1460"/>
      <c r="AE167" s="1461"/>
      <c r="AF167" s="1462">
        <f t="shared" si="17"/>
        <v>0</v>
      </c>
      <c r="AG167" s="1462">
        <f t="shared" si="18"/>
        <v>0</v>
      </c>
      <c r="AH167" s="1461"/>
      <c r="AI167" s="1460"/>
      <c r="AJ167" s="1460"/>
      <c r="AK167" s="1461"/>
      <c r="AL167" s="1460"/>
      <c r="AM167" s="1460"/>
      <c r="AN167" s="1461"/>
      <c r="AO167" s="1460"/>
      <c r="AP167" s="1461"/>
      <c r="AQ167" s="1460"/>
      <c r="AR167" s="1461"/>
      <c r="AS167" s="1460"/>
      <c r="AT167" s="1460"/>
      <c r="AU167" s="1460"/>
      <c r="AV167" s="1460"/>
      <c r="AW167" s="1460"/>
      <c r="AX167" s="1460"/>
      <c r="AY167" s="1460"/>
      <c r="AZ167" s="1460"/>
      <c r="BA167" s="1460"/>
      <c r="BB167" s="1460"/>
      <c r="BC167" s="1460"/>
      <c r="BD167" s="1460"/>
      <c r="BE167" s="1463"/>
      <c r="BF167" s="1460"/>
      <c r="BG167" s="1460"/>
      <c r="BH167" s="1460"/>
      <c r="BI167" s="1460"/>
      <c r="BJ167" s="1460"/>
      <c r="BK167" s="1460"/>
      <c r="BL167" s="1460"/>
      <c r="BM167" s="1460"/>
      <c r="BN167" s="1460"/>
      <c r="BO167" s="1460"/>
      <c r="BP167" s="1460"/>
      <c r="BQ167" s="1460"/>
      <c r="BR167" s="1460"/>
      <c r="BS167" s="1460"/>
      <c r="BT167" s="1460"/>
      <c r="BU167" s="1460"/>
      <c r="BV167" s="1460"/>
      <c r="BW167" s="1460"/>
      <c r="BX167" s="1460"/>
      <c r="BY167" s="1460"/>
      <c r="BZ167" s="1460"/>
      <c r="CA167" s="1460"/>
      <c r="CB167" s="1464">
        <f t="shared" si="19"/>
        <v>0</v>
      </c>
      <c r="CC167" s="1464">
        <f t="shared" si="20"/>
        <v>0</v>
      </c>
      <c r="CD167" s="1460"/>
      <c r="CE167" s="1460"/>
      <c r="CF167" s="1460"/>
      <c r="CG167" s="1460"/>
      <c r="CH167" s="1460"/>
      <c r="CI167" s="1460"/>
      <c r="CJ167" s="1460"/>
      <c r="CK167" s="1460"/>
      <c r="CL167" s="1460"/>
      <c r="CM167" s="1460"/>
      <c r="CN167" s="1460"/>
      <c r="CO167" s="1460"/>
      <c r="CP167" s="1460"/>
      <c r="CQ167" s="1460"/>
      <c r="CR167" s="1460"/>
      <c r="CS167" s="1460"/>
      <c r="CT167" s="1460"/>
      <c r="CU167" s="1460"/>
      <c r="CV167" s="1460"/>
      <c r="CW167" s="1460"/>
      <c r="CX167" s="1460"/>
      <c r="CY167" s="1460"/>
      <c r="CZ167" s="1460"/>
      <c r="DA167" s="1460"/>
      <c r="DB167" s="1460"/>
      <c r="DC167" s="1460"/>
      <c r="DD167" s="1460"/>
      <c r="DE167" s="1460"/>
      <c r="DF167" s="1460"/>
      <c r="DG167" s="1460"/>
      <c r="DH167" s="1460"/>
      <c r="DI167" s="1460"/>
      <c r="DJ167" s="1460"/>
      <c r="DK167" s="1460"/>
      <c r="DL167" s="1460"/>
      <c r="DM167" s="1460"/>
      <c r="DN167" s="1460"/>
      <c r="DO167" s="1460"/>
      <c r="DP167" s="1460"/>
      <c r="DQ167" s="1460"/>
      <c r="DR167" s="1460"/>
      <c r="DS167" s="1460"/>
      <c r="DT167" s="1460"/>
      <c r="DU167" s="1460"/>
      <c r="DV167" s="1460"/>
      <c r="DW167" s="1460"/>
      <c r="DX167" s="1460"/>
      <c r="DY167" s="1460"/>
      <c r="DZ167" s="1460"/>
      <c r="EA167" s="1460"/>
      <c r="EB167" s="1460"/>
      <c r="EC167" s="1460"/>
      <c r="ED167" s="1460"/>
      <c r="EE167" s="1460"/>
      <c r="EF167" s="1460"/>
      <c r="EG167" s="1460"/>
      <c r="EH167" s="1460"/>
      <c r="EI167" s="1460"/>
      <c r="EJ167" s="1460"/>
      <c r="EK167" s="1460"/>
      <c r="EL167" s="1460"/>
      <c r="EM167" s="1460"/>
      <c r="EN167" s="1460"/>
      <c r="EO167" s="1460"/>
      <c r="EP167" s="1460"/>
      <c r="EQ167" s="1460"/>
      <c r="ER167" s="1460"/>
      <c r="ES167" s="1460"/>
      <c r="ET167" s="1460"/>
      <c r="EU167" s="1460"/>
      <c r="EV167" s="1460"/>
      <c r="EW167" s="1460"/>
      <c r="EX167" s="1460"/>
    </row>
    <row r="168" spans="3:154" ht="65.099999999999994" customHeight="1" x14ac:dyDescent="0.2">
      <c r="C168" s="1156" t="s">
        <v>1423</v>
      </c>
      <c r="D168" s="1156" t="s">
        <v>5277</v>
      </c>
      <c r="E168" s="738" t="s">
        <v>352</v>
      </c>
      <c r="F168" s="738" t="s">
        <v>437</v>
      </c>
      <c r="G168" s="738"/>
      <c r="H168" s="738" t="s">
        <v>1748</v>
      </c>
      <c r="I168" s="632" t="s">
        <v>504</v>
      </c>
      <c r="J168" s="637">
        <v>2018</v>
      </c>
      <c r="K168" s="377">
        <v>43864</v>
      </c>
      <c r="L168" s="377">
        <v>44196</v>
      </c>
      <c r="M168" s="1369">
        <f t="shared" si="21"/>
        <v>332</v>
      </c>
      <c r="N168" s="738" t="s">
        <v>1750</v>
      </c>
      <c r="O168" s="1176" t="s">
        <v>1751</v>
      </c>
      <c r="P168" s="738" t="s">
        <v>1752</v>
      </c>
      <c r="Q168" s="632" t="s">
        <v>504</v>
      </c>
      <c r="R168" s="632"/>
      <c r="S168" s="632" t="s">
        <v>504</v>
      </c>
      <c r="T168" s="632"/>
      <c r="U168" s="632" t="s">
        <v>504</v>
      </c>
      <c r="V168" s="632"/>
      <c r="W168" s="632" t="s">
        <v>504</v>
      </c>
      <c r="X168" s="632"/>
      <c r="Y168" s="632"/>
      <c r="Z168" s="632"/>
      <c r="AA168" s="738" t="s">
        <v>1753</v>
      </c>
      <c r="AB168" s="738" t="s">
        <v>1753</v>
      </c>
      <c r="AC168" s="632" t="s">
        <v>519</v>
      </c>
      <c r="AD168" s="738" t="s">
        <v>1754</v>
      </c>
      <c r="AE168" s="702">
        <v>10.204000000000001</v>
      </c>
      <c r="AF168" s="671">
        <f t="shared" si="17"/>
        <v>10.2044</v>
      </c>
      <c r="AG168" s="671">
        <f t="shared" si="18"/>
        <v>3.9999999999906777E-4</v>
      </c>
      <c r="AH168" s="702">
        <v>9.4244000000000003</v>
      </c>
      <c r="AI168" s="683">
        <v>0.92349999999999999</v>
      </c>
      <c r="AJ168" s="683">
        <v>1.6000000000000001E-4</v>
      </c>
      <c r="AK168" s="702">
        <v>0.78</v>
      </c>
      <c r="AL168" s="683">
        <v>7.6499999999999999E-2</v>
      </c>
      <c r="AM168" s="683"/>
      <c r="AN168" s="702">
        <v>0</v>
      </c>
      <c r="AO168" s="683">
        <v>0</v>
      </c>
      <c r="AP168" s="702">
        <v>0</v>
      </c>
      <c r="AQ168" s="683">
        <v>0</v>
      </c>
      <c r="AR168" s="702">
        <v>0</v>
      </c>
      <c r="AS168" s="683">
        <v>0</v>
      </c>
      <c r="AT168" s="632">
        <v>0</v>
      </c>
      <c r="AU168" s="632">
        <v>0</v>
      </c>
      <c r="AV168" s="632">
        <v>0</v>
      </c>
      <c r="AW168" s="632" t="s">
        <v>500</v>
      </c>
      <c r="AX168" s="632" t="s">
        <v>1755</v>
      </c>
      <c r="AY168" s="632" t="s">
        <v>997</v>
      </c>
      <c r="AZ168" s="683" t="s">
        <v>997</v>
      </c>
      <c r="BA168" s="632">
        <v>4.5</v>
      </c>
      <c r="BB168" s="683">
        <v>8.0000000000000007E-5</v>
      </c>
      <c r="BC168" s="710">
        <v>24</v>
      </c>
      <c r="BD168" s="710">
        <v>24</v>
      </c>
      <c r="BE168" s="706">
        <v>9</v>
      </c>
      <c r="BF168" s="710">
        <v>0</v>
      </c>
      <c r="BG168" s="710">
        <v>0</v>
      </c>
      <c r="BH168" s="710">
        <v>1</v>
      </c>
      <c r="BI168" s="710">
        <v>0</v>
      </c>
      <c r="BJ168" s="710">
        <v>0</v>
      </c>
      <c r="BK168" s="710">
        <v>0</v>
      </c>
      <c r="BL168" s="710">
        <v>0</v>
      </c>
      <c r="BM168" s="710">
        <v>0</v>
      </c>
      <c r="BN168" s="710">
        <v>2</v>
      </c>
      <c r="BO168" s="710">
        <v>1</v>
      </c>
      <c r="BP168" s="710">
        <v>4</v>
      </c>
      <c r="BQ168" s="710">
        <v>1</v>
      </c>
      <c r="BR168" s="710">
        <v>0</v>
      </c>
      <c r="BS168" s="710">
        <v>0</v>
      </c>
      <c r="BT168" s="710">
        <v>0</v>
      </c>
      <c r="BU168" s="710">
        <v>0</v>
      </c>
      <c r="BV168" s="710">
        <v>0</v>
      </c>
      <c r="BW168" s="710">
        <v>0</v>
      </c>
      <c r="BX168" s="710">
        <v>0</v>
      </c>
      <c r="BY168" s="710">
        <v>0</v>
      </c>
      <c r="BZ168" s="710">
        <v>0</v>
      </c>
      <c r="CA168" s="717">
        <f t="shared" ref="CA168:CA181" si="23">SUM(BF168:BZ168)</f>
        <v>9</v>
      </c>
      <c r="CB168" s="717">
        <f t="shared" si="19"/>
        <v>9</v>
      </c>
      <c r="CC168" s="717">
        <f t="shared" si="20"/>
        <v>0</v>
      </c>
      <c r="CD168" s="671">
        <v>7.7</v>
      </c>
      <c r="CE168" s="697" t="s">
        <v>1756</v>
      </c>
      <c r="CF168" s="632"/>
      <c r="CG168" s="683">
        <v>8.2000000000000007E-3</v>
      </c>
      <c r="CH168" s="671">
        <v>934.88900000000001</v>
      </c>
      <c r="CI168" s="683" t="s">
        <v>1757</v>
      </c>
      <c r="CJ168" s="632" t="s">
        <v>504</v>
      </c>
      <c r="CK168" s="632" t="s">
        <v>504</v>
      </c>
      <c r="CL168" s="632" t="s">
        <v>504</v>
      </c>
      <c r="CM168" s="710" t="s">
        <v>504</v>
      </c>
      <c r="CN168" s="710" t="s">
        <v>504</v>
      </c>
      <c r="CO168" s="710">
        <v>2</v>
      </c>
      <c r="CP168" s="632" t="s">
        <v>504</v>
      </c>
      <c r="CQ168" s="632"/>
      <c r="CR168" s="710"/>
      <c r="CS168" s="632" t="s">
        <v>504</v>
      </c>
      <c r="CT168" s="632"/>
      <c r="CU168" s="710"/>
      <c r="CV168" s="710" t="s">
        <v>500</v>
      </c>
      <c r="CW168" s="710" t="s">
        <v>1758</v>
      </c>
      <c r="CX168" s="710">
        <v>1250</v>
      </c>
      <c r="CY168" s="710" t="s">
        <v>504</v>
      </c>
      <c r="CZ168" s="710"/>
      <c r="DA168" s="710"/>
      <c r="DB168" s="632" t="s">
        <v>504</v>
      </c>
      <c r="DC168" s="632"/>
      <c r="DD168" s="710"/>
      <c r="DE168" s="632" t="s">
        <v>504</v>
      </c>
      <c r="DF168" s="632"/>
      <c r="DG168" s="710"/>
      <c r="DH168" s="632" t="s">
        <v>504</v>
      </c>
      <c r="DI168" s="632"/>
      <c r="DJ168" s="710"/>
      <c r="DK168" s="632" t="s">
        <v>500</v>
      </c>
      <c r="DL168" s="738" t="s">
        <v>1759</v>
      </c>
      <c r="DM168" s="710" t="s">
        <v>1760</v>
      </c>
      <c r="DN168" s="632" t="s">
        <v>504</v>
      </c>
      <c r="DO168" s="632"/>
      <c r="DP168" s="710"/>
      <c r="DQ168" s="632" t="s">
        <v>504</v>
      </c>
      <c r="DR168" s="632"/>
      <c r="DS168" s="710"/>
      <c r="DT168" s="710" t="s">
        <v>504</v>
      </c>
      <c r="DU168" s="710"/>
      <c r="DV168" s="710"/>
      <c r="DW168" s="632" t="s">
        <v>504</v>
      </c>
      <c r="DX168" s="632"/>
      <c r="DY168" s="710"/>
      <c r="DZ168" s="632" t="s">
        <v>504</v>
      </c>
      <c r="EA168" s="632"/>
      <c r="EB168" s="710"/>
      <c r="EC168" s="632" t="s">
        <v>504</v>
      </c>
      <c r="ED168" s="738"/>
      <c r="EE168" s="710"/>
      <c r="EF168" s="632" t="s">
        <v>500</v>
      </c>
      <c r="EG168" s="738" t="s">
        <v>1761</v>
      </c>
      <c r="EH168" s="710">
        <v>7</v>
      </c>
      <c r="EI168" s="632" t="s">
        <v>504</v>
      </c>
      <c r="EJ168" s="632"/>
      <c r="EK168" s="710"/>
      <c r="EL168" s="738" t="s">
        <v>1762</v>
      </c>
      <c r="EM168" s="661" t="s">
        <v>1763</v>
      </c>
      <c r="EN168" s="632">
        <v>22</v>
      </c>
      <c r="EO168" s="632" t="s">
        <v>504</v>
      </c>
      <c r="EP168" s="632" t="s">
        <v>504</v>
      </c>
      <c r="EQ168" s="632" t="s">
        <v>504</v>
      </c>
      <c r="ER168" s="632" t="s">
        <v>504</v>
      </c>
      <c r="ES168" s="632" t="s">
        <v>504</v>
      </c>
      <c r="ET168" s="632" t="s">
        <v>1764</v>
      </c>
      <c r="EU168" s="632" t="s">
        <v>504</v>
      </c>
      <c r="EV168" s="632" t="s">
        <v>1765</v>
      </c>
      <c r="EW168" s="632" t="s">
        <v>504</v>
      </c>
      <c r="EX168" s="632" t="s">
        <v>504</v>
      </c>
    </row>
    <row r="169" spans="3:154" ht="57.95" customHeight="1" x14ac:dyDescent="0.2">
      <c r="C169" s="1156" t="s">
        <v>693</v>
      </c>
      <c r="D169" s="1156" t="s">
        <v>5277</v>
      </c>
      <c r="E169" s="738" t="s">
        <v>353</v>
      </c>
      <c r="F169" s="738" t="s">
        <v>438</v>
      </c>
      <c r="G169" s="738"/>
      <c r="H169" s="738" t="s">
        <v>1766</v>
      </c>
      <c r="I169" s="738" t="s">
        <v>1767</v>
      </c>
      <c r="J169" s="1165">
        <v>2007</v>
      </c>
      <c r="K169" s="1096">
        <v>43556</v>
      </c>
      <c r="L169" s="1096">
        <v>44196</v>
      </c>
      <c r="M169" s="1369">
        <f t="shared" si="21"/>
        <v>640</v>
      </c>
      <c r="N169" s="738" t="s">
        <v>1768</v>
      </c>
      <c r="O169" s="738" t="s">
        <v>1769</v>
      </c>
      <c r="P169" s="738" t="s">
        <v>1770</v>
      </c>
      <c r="Q169" s="632" t="s">
        <v>465</v>
      </c>
      <c r="R169" s="632" t="s">
        <v>465</v>
      </c>
      <c r="S169" s="632" t="s">
        <v>1771</v>
      </c>
      <c r="T169" s="738" t="s">
        <v>1770</v>
      </c>
      <c r="U169" s="632" t="s">
        <v>465</v>
      </c>
      <c r="V169" s="632" t="s">
        <v>465</v>
      </c>
      <c r="W169" s="738" t="s">
        <v>1772</v>
      </c>
      <c r="X169" s="738" t="s">
        <v>1770</v>
      </c>
      <c r="Y169" s="738"/>
      <c r="Z169" s="738"/>
      <c r="AA169" s="738" t="s">
        <v>1773</v>
      </c>
      <c r="AB169" s="738" t="s">
        <v>1773</v>
      </c>
      <c r="AC169" s="738" t="s">
        <v>622</v>
      </c>
      <c r="AD169" s="738" t="s">
        <v>1774</v>
      </c>
      <c r="AE169" s="702">
        <v>735.30100000000004</v>
      </c>
      <c r="AF169" s="671">
        <f t="shared" si="17"/>
        <v>735.30439999999999</v>
      </c>
      <c r="AG169" s="671">
        <f t="shared" si="18"/>
        <v>3.399999999942338E-3</v>
      </c>
      <c r="AH169" s="702">
        <v>430.09739999999999</v>
      </c>
      <c r="AI169" s="683">
        <f>AH169/AE169</f>
        <v>0.58492698908338214</v>
      </c>
      <c r="AJ169" s="683">
        <f>AH169/145861.259</f>
        <v>2.9486746717303463E-3</v>
      </c>
      <c r="AK169" s="702">
        <v>207.10300000000001</v>
      </c>
      <c r="AL169" s="683">
        <f>AK169/AE169</f>
        <v>0.28165744368632711</v>
      </c>
      <c r="AM169" s="683"/>
      <c r="AN169" s="702">
        <v>26.004000000000001</v>
      </c>
      <c r="AO169" s="683">
        <f>AN169/AE169</f>
        <v>3.5365108982579919E-2</v>
      </c>
      <c r="AP169" s="702">
        <v>72.099999999999994</v>
      </c>
      <c r="AQ169" s="683">
        <v>9.8100000000000007E-2</v>
      </c>
      <c r="AR169" s="702"/>
      <c r="AS169" s="683"/>
      <c r="AT169" s="632" t="s">
        <v>465</v>
      </c>
      <c r="AU169" s="632" t="s">
        <v>465</v>
      </c>
      <c r="AV169" s="632" t="s">
        <v>465</v>
      </c>
      <c r="AW169" s="632" t="s">
        <v>500</v>
      </c>
      <c r="AX169" s="632" t="s">
        <v>1775</v>
      </c>
      <c r="AY169" s="632">
        <v>54.271000000000001</v>
      </c>
      <c r="AZ169" s="683">
        <f>AY169/791.297</f>
        <v>6.8584867628715893E-2</v>
      </c>
      <c r="BA169" s="706">
        <v>520.50800000000004</v>
      </c>
      <c r="BB169" s="683">
        <f>BA169/133493.359</f>
        <v>3.8991302930657399E-3</v>
      </c>
      <c r="BC169" s="710">
        <v>326</v>
      </c>
      <c r="BD169" s="710">
        <v>326</v>
      </c>
      <c r="BE169" s="706">
        <v>279</v>
      </c>
      <c r="BF169" s="710" t="s">
        <v>465</v>
      </c>
      <c r="BG169" s="710">
        <v>31</v>
      </c>
      <c r="BH169" s="710" t="s">
        <v>465</v>
      </c>
      <c r="BI169" s="710">
        <v>1</v>
      </c>
      <c r="BJ169" s="710">
        <v>1</v>
      </c>
      <c r="BK169" s="710" t="s">
        <v>465</v>
      </c>
      <c r="BL169" s="710" t="s">
        <v>465</v>
      </c>
      <c r="BM169" s="710">
        <v>33</v>
      </c>
      <c r="BN169" s="710">
        <v>61</v>
      </c>
      <c r="BO169" s="710" t="s">
        <v>465</v>
      </c>
      <c r="BP169" s="710" t="s">
        <v>465</v>
      </c>
      <c r="BQ169" s="710">
        <v>139</v>
      </c>
      <c r="BR169" s="710">
        <v>13</v>
      </c>
      <c r="BS169" s="710" t="s">
        <v>465</v>
      </c>
      <c r="BT169" s="710" t="s">
        <v>465</v>
      </c>
      <c r="BU169" s="1252" t="s">
        <v>465</v>
      </c>
      <c r="BV169" s="710" t="s">
        <v>465</v>
      </c>
      <c r="BW169" s="710" t="s">
        <v>465</v>
      </c>
      <c r="BX169" s="710" t="s">
        <v>465</v>
      </c>
      <c r="BY169" s="710" t="s">
        <v>465</v>
      </c>
      <c r="BZ169" s="710" t="s">
        <v>465</v>
      </c>
      <c r="CA169" s="717">
        <f t="shared" si="23"/>
        <v>279</v>
      </c>
      <c r="CB169" s="717">
        <f t="shared" si="19"/>
        <v>279</v>
      </c>
      <c r="CC169" s="717">
        <f t="shared" si="20"/>
        <v>0</v>
      </c>
      <c r="CD169" s="710">
        <v>1874.2819999999999</v>
      </c>
      <c r="CE169" s="632" t="s">
        <v>1776</v>
      </c>
      <c r="CF169" s="632" t="s">
        <v>465</v>
      </c>
      <c r="CG169" s="683">
        <f>CD169/CH169</f>
        <v>0.66866498681244269</v>
      </c>
      <c r="CH169" s="710">
        <v>2803.0210000000002</v>
      </c>
      <c r="CI169" s="710" t="s">
        <v>1777</v>
      </c>
      <c r="CJ169" s="632" t="s">
        <v>500</v>
      </c>
      <c r="CK169" s="738" t="s">
        <v>1778</v>
      </c>
      <c r="CL169" s="738" t="s">
        <v>1779</v>
      </c>
      <c r="CM169" s="710">
        <v>5</v>
      </c>
      <c r="CN169" s="710" t="s">
        <v>465</v>
      </c>
      <c r="CO169" s="710" t="s">
        <v>465</v>
      </c>
      <c r="CP169" s="738" t="s">
        <v>500</v>
      </c>
      <c r="CQ169" s="738" t="s">
        <v>1780</v>
      </c>
      <c r="CR169" s="710" t="s">
        <v>465</v>
      </c>
      <c r="CS169" s="632" t="s">
        <v>500</v>
      </c>
      <c r="CT169" s="632" t="s">
        <v>1781</v>
      </c>
      <c r="CU169" s="710" t="s">
        <v>465</v>
      </c>
      <c r="CV169" s="710" t="s">
        <v>465</v>
      </c>
      <c r="CW169" s="710" t="s">
        <v>465</v>
      </c>
      <c r="CX169" s="710" t="s">
        <v>465</v>
      </c>
      <c r="CY169" s="710" t="s">
        <v>465</v>
      </c>
      <c r="CZ169" s="710" t="s">
        <v>465</v>
      </c>
      <c r="DA169" s="710" t="s">
        <v>465</v>
      </c>
      <c r="DB169" s="710" t="s">
        <v>465</v>
      </c>
      <c r="DC169" s="710" t="s">
        <v>465</v>
      </c>
      <c r="DD169" s="710" t="s">
        <v>465</v>
      </c>
      <c r="DE169" s="632" t="s">
        <v>500</v>
      </c>
      <c r="DF169" s="632" t="s">
        <v>1782</v>
      </c>
      <c r="DG169" s="710">
        <v>294</v>
      </c>
      <c r="DH169" s="710" t="s">
        <v>465</v>
      </c>
      <c r="DI169" s="710" t="s">
        <v>465</v>
      </c>
      <c r="DJ169" s="710" t="s">
        <v>465</v>
      </c>
      <c r="DK169" s="710" t="s">
        <v>465</v>
      </c>
      <c r="DL169" s="710" t="s">
        <v>465</v>
      </c>
      <c r="DM169" s="710" t="s">
        <v>465</v>
      </c>
      <c r="DN169" s="632" t="s">
        <v>500</v>
      </c>
      <c r="DO169" s="632" t="s">
        <v>1782</v>
      </c>
      <c r="DP169" s="822">
        <v>5555</v>
      </c>
      <c r="DQ169" s="632" t="s">
        <v>500</v>
      </c>
      <c r="DR169" s="632" t="s">
        <v>1783</v>
      </c>
      <c r="DS169" s="822">
        <v>193130</v>
      </c>
      <c r="DT169" s="738" t="s">
        <v>504</v>
      </c>
      <c r="DU169" s="738" t="s">
        <v>465</v>
      </c>
      <c r="DV169" s="822" t="s">
        <v>465</v>
      </c>
      <c r="DW169" s="738" t="s">
        <v>504</v>
      </c>
      <c r="DX169" s="738" t="s">
        <v>465</v>
      </c>
      <c r="DY169" s="822" t="s">
        <v>465</v>
      </c>
      <c r="DZ169" s="738" t="s">
        <v>504</v>
      </c>
      <c r="EA169" s="738" t="s">
        <v>465</v>
      </c>
      <c r="EB169" s="822" t="s">
        <v>465</v>
      </c>
      <c r="EC169" s="738" t="s">
        <v>504</v>
      </c>
      <c r="ED169" s="738" t="s">
        <v>465</v>
      </c>
      <c r="EE169" s="822" t="s">
        <v>465</v>
      </c>
      <c r="EF169" s="738" t="s">
        <v>504</v>
      </c>
      <c r="EG169" s="738" t="s">
        <v>465</v>
      </c>
      <c r="EH169" s="822" t="s">
        <v>465</v>
      </c>
      <c r="EI169" s="738" t="s">
        <v>504</v>
      </c>
      <c r="EJ169" s="738" t="s">
        <v>465</v>
      </c>
      <c r="EK169" s="822" t="s">
        <v>465</v>
      </c>
      <c r="EL169" s="1200">
        <v>1</v>
      </c>
      <c r="EM169" s="738" t="s">
        <v>465</v>
      </c>
      <c r="EN169" s="632">
        <v>93</v>
      </c>
      <c r="EO169" s="632" t="s">
        <v>500</v>
      </c>
      <c r="EP169" s="632" t="s">
        <v>1784</v>
      </c>
      <c r="EQ169" s="632" t="s">
        <v>1785</v>
      </c>
      <c r="ER169" s="632" t="s">
        <v>1786</v>
      </c>
      <c r="ES169" s="632" t="s">
        <v>1787</v>
      </c>
      <c r="ET169" s="632" t="s">
        <v>1788</v>
      </c>
      <c r="EU169" s="653" t="s">
        <v>1789</v>
      </c>
      <c r="EV169" s="632" t="s">
        <v>1790</v>
      </c>
      <c r="EW169" s="632">
        <v>3</v>
      </c>
      <c r="EX169" s="632" t="s">
        <v>1791</v>
      </c>
    </row>
    <row r="170" spans="3:154" ht="57.95" customHeight="1" x14ac:dyDescent="0.2">
      <c r="C170" s="1156" t="s">
        <v>5483</v>
      </c>
      <c r="D170" s="1156" t="s">
        <v>5278</v>
      </c>
      <c r="E170" s="1104" t="s">
        <v>353</v>
      </c>
      <c r="F170" s="1104" t="s">
        <v>438</v>
      </c>
      <c r="G170" s="1253" t="s">
        <v>3423</v>
      </c>
      <c r="H170" s="1253" t="s">
        <v>3424</v>
      </c>
      <c r="I170" s="1253"/>
      <c r="J170" s="1254">
        <v>2020</v>
      </c>
      <c r="K170" s="1128">
        <v>43460</v>
      </c>
      <c r="L170" s="1128">
        <v>44110</v>
      </c>
      <c r="M170" s="1369">
        <f t="shared" si="21"/>
        <v>650</v>
      </c>
      <c r="N170" s="1128"/>
      <c r="O170" s="1128"/>
      <c r="P170" s="1128"/>
      <c r="Q170" s="1128"/>
      <c r="R170" s="1128"/>
      <c r="S170" s="1128"/>
      <c r="T170" s="1128"/>
      <c r="U170" s="1128"/>
      <c r="V170" s="1128"/>
      <c r="W170" s="1128"/>
      <c r="X170" s="1128"/>
      <c r="Y170" s="1253" t="s">
        <v>3425</v>
      </c>
      <c r="Z170" s="1255" t="s">
        <v>3426</v>
      </c>
      <c r="AA170" s="1253" t="s">
        <v>3427</v>
      </c>
      <c r="AB170" s="1253" t="s">
        <v>3428</v>
      </c>
      <c r="AC170" s="1253" t="s">
        <v>2731</v>
      </c>
      <c r="AD170" s="1253" t="s">
        <v>3428</v>
      </c>
      <c r="AE170" s="1257">
        <v>1.4550000000000001</v>
      </c>
      <c r="AF170" s="1113">
        <f>AH170+AK170+AN170+AP170+AR170</f>
        <v>1.4550000000000001</v>
      </c>
      <c r="AG170" s="1113">
        <f t="shared" si="18"/>
        <v>0</v>
      </c>
      <c r="AH170" s="1257">
        <v>1.4550000000000001</v>
      </c>
      <c r="AI170" s="1256">
        <v>1</v>
      </c>
      <c r="AJ170" s="1256">
        <f>6000000/4570694478.68</f>
        <v>1.3127107987608872E-3</v>
      </c>
      <c r="AK170" s="1257">
        <v>0</v>
      </c>
      <c r="AL170" s="1256">
        <v>0</v>
      </c>
      <c r="AM170" s="1257">
        <v>0</v>
      </c>
      <c r="AN170" s="1256">
        <v>0</v>
      </c>
      <c r="AO170" s="1256"/>
      <c r="AP170" s="1256"/>
      <c r="AQ170" s="1256">
        <v>0</v>
      </c>
      <c r="AR170" s="1256">
        <v>0</v>
      </c>
      <c r="AS170" s="1257">
        <v>10.545</v>
      </c>
      <c r="AT170" s="1256">
        <f>10544941.6/4271005649.82</f>
        <v>2.4689598807822724E-3</v>
      </c>
      <c r="AU170" s="1256"/>
      <c r="AV170" s="1256"/>
      <c r="AW170" s="1256" t="s">
        <v>504</v>
      </c>
      <c r="AX170" s="1256"/>
      <c r="AY170" s="1256"/>
      <c r="AZ170" s="1256"/>
      <c r="BA170" s="1257">
        <v>10.545</v>
      </c>
      <c r="BB170" s="1256">
        <f>10544941.6/4271005649.82</f>
        <v>2.4689598807822724E-3</v>
      </c>
      <c r="BC170" s="1258">
        <v>40</v>
      </c>
      <c r="BD170" s="1258">
        <v>40</v>
      </c>
      <c r="BE170" s="1259"/>
      <c r="BF170" s="1258" t="s">
        <v>465</v>
      </c>
      <c r="BG170" s="1258">
        <v>5</v>
      </c>
      <c r="BH170" s="1258" t="s">
        <v>465</v>
      </c>
      <c r="BI170" s="1258" t="s">
        <v>465</v>
      </c>
      <c r="BJ170" s="1258" t="s">
        <v>465</v>
      </c>
      <c r="BK170" s="1258" t="s">
        <v>465</v>
      </c>
      <c r="BL170" s="1258" t="s">
        <v>465</v>
      </c>
      <c r="BM170" s="1258" t="s">
        <v>465</v>
      </c>
      <c r="BN170" s="1258" t="s">
        <v>465</v>
      </c>
      <c r="BO170" s="1258" t="s">
        <v>465</v>
      </c>
      <c r="BP170" s="1258" t="s">
        <v>465</v>
      </c>
      <c r="BQ170" s="1258" t="s">
        <v>465</v>
      </c>
      <c r="BR170" s="1258" t="s">
        <v>465</v>
      </c>
      <c r="BS170" s="1258" t="s">
        <v>465</v>
      </c>
      <c r="BT170" s="1258" t="s">
        <v>465</v>
      </c>
      <c r="BU170" s="1258" t="s">
        <v>465</v>
      </c>
      <c r="BV170" s="1258" t="s">
        <v>465</v>
      </c>
      <c r="BW170" s="1258" t="s">
        <v>465</v>
      </c>
      <c r="BX170" s="1258" t="s">
        <v>465</v>
      </c>
      <c r="BY170" s="1258" t="s">
        <v>465</v>
      </c>
      <c r="BZ170" s="1258" t="s">
        <v>465</v>
      </c>
      <c r="CA170" s="1452">
        <f>SUM(BF170:BZ170)</f>
        <v>5</v>
      </c>
      <c r="CB170" s="1117">
        <f t="shared" si="19"/>
        <v>5</v>
      </c>
      <c r="CC170" s="1117">
        <f t="shared" si="20"/>
        <v>0</v>
      </c>
      <c r="CD170" s="1257">
        <v>32.155000000000001</v>
      </c>
      <c r="CE170" s="1253" t="s">
        <v>3429</v>
      </c>
      <c r="CF170" s="1253"/>
      <c r="CG170" s="1253">
        <v>19.5</v>
      </c>
      <c r="CH170" s="1257">
        <v>164.43299999999999</v>
      </c>
      <c r="CI170" s="1260" t="s">
        <v>3430</v>
      </c>
      <c r="CJ170" s="1253" t="s">
        <v>504</v>
      </c>
      <c r="CK170" s="1253"/>
      <c r="CL170" s="1253"/>
      <c r="CM170" s="1258"/>
      <c r="CN170" s="1258"/>
      <c r="CO170" s="1258"/>
      <c r="CP170" s="1253" t="s">
        <v>500</v>
      </c>
      <c r="CQ170" s="1253" t="s">
        <v>3431</v>
      </c>
      <c r="CR170" s="1258">
        <v>1209</v>
      </c>
      <c r="CS170" s="1253" t="s">
        <v>504</v>
      </c>
      <c r="CT170" s="1253"/>
      <c r="CU170" s="1258"/>
      <c r="CV170" s="1258" t="s">
        <v>504</v>
      </c>
      <c r="CW170" s="1258"/>
      <c r="CX170" s="1258"/>
      <c r="CY170" s="1258" t="s">
        <v>504</v>
      </c>
      <c r="CZ170" s="1258"/>
      <c r="DA170" s="1258"/>
      <c r="DB170" s="1253" t="s">
        <v>504</v>
      </c>
      <c r="DC170" s="1253"/>
      <c r="DD170" s="1258"/>
      <c r="DE170" s="1253" t="s">
        <v>504</v>
      </c>
      <c r="DF170" s="1253"/>
      <c r="DG170" s="1258"/>
      <c r="DH170" s="1253" t="s">
        <v>500</v>
      </c>
      <c r="DI170" s="1253" t="s">
        <v>3432</v>
      </c>
      <c r="DJ170" s="1258">
        <v>1209</v>
      </c>
      <c r="DK170" s="1253" t="s">
        <v>504</v>
      </c>
      <c r="DL170" s="1253"/>
      <c r="DM170" s="1258"/>
      <c r="DN170" s="1253" t="s">
        <v>504</v>
      </c>
      <c r="DO170" s="1253"/>
      <c r="DP170" s="1258"/>
      <c r="DQ170" s="1253" t="s">
        <v>504</v>
      </c>
      <c r="DR170" s="1253"/>
      <c r="DS170" s="1258"/>
      <c r="DT170" s="1258" t="s">
        <v>504</v>
      </c>
      <c r="DU170" s="1258"/>
      <c r="DV170" s="1258"/>
      <c r="DW170" s="1253" t="s">
        <v>504</v>
      </c>
      <c r="DX170" s="1253"/>
      <c r="DY170" s="1258"/>
      <c r="DZ170" s="1253" t="s">
        <v>504</v>
      </c>
      <c r="EA170" s="1253"/>
      <c r="EB170" s="1258"/>
      <c r="EC170" s="1253" t="s">
        <v>500</v>
      </c>
      <c r="ED170" s="1253" t="s">
        <v>3433</v>
      </c>
      <c r="EE170" s="1258">
        <v>38</v>
      </c>
      <c r="EF170" s="1258"/>
      <c r="EG170" s="1258"/>
      <c r="EH170" s="1258"/>
      <c r="EI170" s="1253" t="s">
        <v>504</v>
      </c>
      <c r="EJ170" s="1253"/>
      <c r="EK170" s="1258"/>
      <c r="EL170" s="1258"/>
      <c r="EM170" s="1258"/>
      <c r="EN170" s="1258"/>
      <c r="EO170" s="1253" t="s">
        <v>504</v>
      </c>
      <c r="EP170" s="1253"/>
      <c r="EQ170" s="1253"/>
      <c r="ER170" s="1253" t="s">
        <v>465</v>
      </c>
      <c r="ES170" s="1253" t="s">
        <v>465</v>
      </c>
      <c r="ET170" s="1253"/>
      <c r="EU170" s="1253"/>
      <c r="EV170" s="1253" t="s">
        <v>465</v>
      </c>
      <c r="EW170" s="1253" t="s">
        <v>465</v>
      </c>
      <c r="EX170" s="1253" t="s">
        <v>465</v>
      </c>
    </row>
    <row r="171" spans="3:154" ht="57.95" customHeight="1" x14ac:dyDescent="0.2">
      <c r="C171" s="1156" t="s">
        <v>693</v>
      </c>
      <c r="D171" s="1156" t="s">
        <v>5278</v>
      </c>
      <c r="E171" s="1104" t="s">
        <v>353</v>
      </c>
      <c r="F171" s="1104" t="s">
        <v>438</v>
      </c>
      <c r="G171" s="1187" t="s">
        <v>3434</v>
      </c>
      <c r="H171" s="1187" t="s">
        <v>3435</v>
      </c>
      <c r="I171" s="1261" t="s">
        <v>3436</v>
      </c>
      <c r="J171" s="1187">
        <v>2019</v>
      </c>
      <c r="K171" s="1128">
        <v>43770</v>
      </c>
      <c r="L171" s="1128">
        <v>44075</v>
      </c>
      <c r="M171" s="1369">
        <f t="shared" si="21"/>
        <v>305</v>
      </c>
      <c r="N171" s="1109"/>
      <c r="O171" s="1109"/>
      <c r="P171" s="1109"/>
      <c r="Q171" s="1109"/>
      <c r="R171" s="1109"/>
      <c r="S171" s="1109"/>
      <c r="T171" s="1109"/>
      <c r="U171" s="1109"/>
      <c r="V171" s="1109"/>
      <c r="W171" s="1109"/>
      <c r="X171" s="1109"/>
      <c r="Y171" s="1187" t="s">
        <v>3439</v>
      </c>
      <c r="Z171" s="1262" t="s">
        <v>3440</v>
      </c>
      <c r="AA171" s="1261" t="s">
        <v>3441</v>
      </c>
      <c r="AB171" s="1261" t="s">
        <v>3442</v>
      </c>
      <c r="AC171" s="1187" t="s">
        <v>3443</v>
      </c>
      <c r="AD171" s="1187" t="s">
        <v>3441</v>
      </c>
      <c r="AE171" s="1263">
        <v>1.736</v>
      </c>
      <c r="AF171" s="1113">
        <f t="shared" si="17"/>
        <v>1.7363999999999999</v>
      </c>
      <c r="AG171" s="1113">
        <f t="shared" si="18"/>
        <v>3.9999999999995595E-4</v>
      </c>
      <c r="AH171" s="1263"/>
      <c r="AI171" s="1264"/>
      <c r="AJ171" s="1264"/>
      <c r="AK171" s="1263">
        <v>1.38</v>
      </c>
      <c r="AL171" s="1265">
        <v>0.79500000000000004</v>
      </c>
      <c r="AM171" s="1265">
        <v>1.6000000000000001E-3</v>
      </c>
      <c r="AN171" s="1263">
        <v>8.4000000000000005E-2</v>
      </c>
      <c r="AO171" s="1265">
        <v>4.8500000000000001E-2</v>
      </c>
      <c r="AP171" s="1263">
        <v>0.27239999999999998</v>
      </c>
      <c r="AQ171" s="1265">
        <v>0.1565</v>
      </c>
      <c r="AR171" s="1263"/>
      <c r="AS171" s="1265"/>
      <c r="AT171" s="1265"/>
      <c r="AU171" s="1265"/>
      <c r="AV171" s="1265"/>
      <c r="AW171" s="1265" t="s">
        <v>500</v>
      </c>
      <c r="AX171" s="1265" t="s">
        <v>3444</v>
      </c>
      <c r="AY171" s="1266">
        <v>0.12809999999999999</v>
      </c>
      <c r="AZ171" s="1265">
        <v>7.3700000000000002E-2</v>
      </c>
      <c r="BA171" s="1264">
        <v>2.1840000000000002</v>
      </c>
      <c r="BB171" s="1265">
        <v>2.5000000000000001E-3</v>
      </c>
      <c r="BC171" s="1267">
        <v>12</v>
      </c>
      <c r="BD171" s="1267">
        <v>3</v>
      </c>
      <c r="BE171" s="1266">
        <v>3</v>
      </c>
      <c r="BF171" s="1267"/>
      <c r="BG171" s="1267">
        <v>1</v>
      </c>
      <c r="BH171" s="1267"/>
      <c r="BI171" s="1267"/>
      <c r="BJ171" s="1267"/>
      <c r="BK171" s="1267"/>
      <c r="BL171" s="1267"/>
      <c r="BM171" s="1267"/>
      <c r="BN171" s="1267"/>
      <c r="BO171" s="1267"/>
      <c r="BP171" s="1267">
        <v>1</v>
      </c>
      <c r="BQ171" s="1267">
        <v>1</v>
      </c>
      <c r="BR171" s="1267"/>
      <c r="BS171" s="1267"/>
      <c r="BT171" s="1267"/>
      <c r="BU171" s="1267"/>
      <c r="BV171" s="1267"/>
      <c r="BW171" s="1267"/>
      <c r="BX171" s="1267"/>
      <c r="BY171" s="1267"/>
      <c r="BZ171" s="1267"/>
      <c r="CA171" s="1268">
        <f t="shared" si="23"/>
        <v>3</v>
      </c>
      <c r="CB171" s="1117">
        <f t="shared" si="19"/>
        <v>3</v>
      </c>
      <c r="CC171" s="1117">
        <f t="shared" si="20"/>
        <v>0</v>
      </c>
      <c r="CD171" s="1264">
        <v>0.96399999999999997</v>
      </c>
      <c r="CE171" s="1261" t="s">
        <v>3445</v>
      </c>
      <c r="CF171" s="1262" t="s">
        <v>3446</v>
      </c>
      <c r="CG171" s="1261">
        <v>1.72</v>
      </c>
      <c r="CH171" s="1264">
        <v>56.197000000000003</v>
      </c>
      <c r="CI171" s="1265" t="s">
        <v>3446</v>
      </c>
      <c r="CJ171" s="1261"/>
      <c r="CK171" s="1261"/>
      <c r="CL171" s="1261"/>
      <c r="CM171" s="1267"/>
      <c r="CN171" s="1267">
        <v>8</v>
      </c>
      <c r="CO171" s="1267">
        <v>1</v>
      </c>
      <c r="CP171" s="1261" t="s">
        <v>500</v>
      </c>
      <c r="CQ171" s="1261" t="s">
        <v>3447</v>
      </c>
      <c r="CR171" s="1267">
        <v>487</v>
      </c>
      <c r="CS171" s="1261" t="s">
        <v>500</v>
      </c>
      <c r="CT171" s="1261" t="s">
        <v>3448</v>
      </c>
      <c r="CU171" s="1267">
        <v>155</v>
      </c>
      <c r="CV171" s="1261" t="s">
        <v>504</v>
      </c>
      <c r="CW171" s="1267"/>
      <c r="CX171" s="1267"/>
      <c r="CY171" s="1261" t="s">
        <v>504</v>
      </c>
      <c r="CZ171" s="1267"/>
      <c r="DA171" s="1267"/>
      <c r="DB171" s="1261" t="s">
        <v>504</v>
      </c>
      <c r="DC171" s="1261"/>
      <c r="DD171" s="1267"/>
      <c r="DE171" s="1261" t="s">
        <v>504</v>
      </c>
      <c r="DF171" s="1261"/>
      <c r="DG171" s="1267"/>
      <c r="DH171" s="1261" t="s">
        <v>504</v>
      </c>
      <c r="DI171" s="1261"/>
      <c r="DJ171" s="1267"/>
      <c r="DK171" s="1261" t="s">
        <v>504</v>
      </c>
      <c r="DL171" s="1261"/>
      <c r="DM171" s="1267"/>
      <c r="DN171" s="1261" t="s">
        <v>504</v>
      </c>
      <c r="DO171" s="1261"/>
      <c r="DP171" s="1267"/>
      <c r="DQ171" s="1261" t="s">
        <v>500</v>
      </c>
      <c r="DR171" s="1261" t="s">
        <v>3448</v>
      </c>
      <c r="DS171" s="1267">
        <v>155</v>
      </c>
      <c r="DT171" s="1261" t="s">
        <v>504</v>
      </c>
      <c r="DU171" s="1261"/>
      <c r="DV171" s="1261"/>
      <c r="DW171" s="1261" t="s">
        <v>504</v>
      </c>
      <c r="DX171" s="1261"/>
      <c r="DY171" s="1261"/>
      <c r="DZ171" s="1261" t="s">
        <v>504</v>
      </c>
      <c r="EA171" s="1261"/>
      <c r="EB171" s="1261"/>
      <c r="EC171" s="1261" t="s">
        <v>504</v>
      </c>
      <c r="ED171" s="1261"/>
      <c r="EE171" s="1261"/>
      <c r="EF171" s="1267" t="s">
        <v>500</v>
      </c>
      <c r="EG171" s="1267" t="s">
        <v>3449</v>
      </c>
      <c r="EH171" s="1261" t="s">
        <v>504</v>
      </c>
      <c r="EI171" s="1261" t="s">
        <v>504</v>
      </c>
      <c r="EJ171" s="1261"/>
      <c r="EK171" s="1261"/>
      <c r="EL171" s="1261"/>
      <c r="EM171" s="1261"/>
      <c r="EN171" s="1261"/>
      <c r="EO171" s="1261" t="s">
        <v>504</v>
      </c>
      <c r="EP171" s="1261"/>
      <c r="EQ171" s="1261" t="s">
        <v>504</v>
      </c>
      <c r="ER171" s="1261"/>
      <c r="ES171" s="1261"/>
      <c r="ET171" s="1261" t="s">
        <v>504</v>
      </c>
      <c r="EU171" s="1261" t="s">
        <v>504</v>
      </c>
      <c r="EV171" s="1261" t="s">
        <v>3450</v>
      </c>
      <c r="EW171" s="1261">
        <v>1</v>
      </c>
      <c r="EX171" s="1261">
        <v>40</v>
      </c>
    </row>
    <row r="172" spans="3:154" ht="57.95" customHeight="1" x14ac:dyDescent="0.2">
      <c r="C172" s="1156" t="s">
        <v>693</v>
      </c>
      <c r="D172" s="1156" t="s">
        <v>5278</v>
      </c>
      <c r="E172" s="1104" t="s">
        <v>353</v>
      </c>
      <c r="F172" s="1104" t="s">
        <v>438</v>
      </c>
      <c r="G172" s="1269" t="s">
        <v>3451</v>
      </c>
      <c r="H172" s="1269" t="s">
        <v>3452</v>
      </c>
      <c r="I172" s="1270"/>
      <c r="J172" s="1271">
        <v>2018</v>
      </c>
      <c r="K172" s="1128">
        <v>43802</v>
      </c>
      <c r="L172" s="1128">
        <v>44134</v>
      </c>
      <c r="M172" s="1369">
        <f t="shared" si="21"/>
        <v>332</v>
      </c>
      <c r="N172" s="1270"/>
      <c r="O172" s="1270"/>
      <c r="P172" s="1270"/>
      <c r="Q172" s="1270"/>
      <c r="R172" s="1270"/>
      <c r="S172" s="1270"/>
      <c r="T172" s="1270"/>
      <c r="U172" s="1270"/>
      <c r="V172" s="1270"/>
      <c r="W172" s="1270"/>
      <c r="X172" s="1270"/>
      <c r="Y172" s="1269" t="s">
        <v>3453</v>
      </c>
      <c r="Z172" s="1269" t="s">
        <v>3454</v>
      </c>
      <c r="AA172" s="1269" t="s">
        <v>3455</v>
      </c>
      <c r="AB172" s="1269" t="s">
        <v>3455</v>
      </c>
      <c r="AC172" s="1269" t="s">
        <v>3456</v>
      </c>
      <c r="AD172" s="1269" t="s">
        <v>3455</v>
      </c>
      <c r="AE172" s="1272">
        <v>7.22</v>
      </c>
      <c r="AF172" s="1113">
        <f t="shared" si="17"/>
        <v>7.2200000000000006</v>
      </c>
      <c r="AG172" s="1113">
        <f t="shared" si="18"/>
        <v>0</v>
      </c>
      <c r="AH172" s="1272"/>
      <c r="AI172" s="1273"/>
      <c r="AJ172" s="1273"/>
      <c r="AK172" s="1272">
        <v>5.5460000000000003</v>
      </c>
      <c r="AL172" s="1274">
        <v>0.76814000000000004</v>
      </c>
      <c r="AM172" s="1274">
        <v>5.7999999999999996E-3</v>
      </c>
      <c r="AN172" s="1272">
        <v>1.6739999999999999</v>
      </c>
      <c r="AO172" s="1274">
        <v>0.2281</v>
      </c>
      <c r="AP172" s="1272"/>
      <c r="AQ172" s="1270"/>
      <c r="AR172" s="1272"/>
      <c r="AS172" s="1270"/>
      <c r="AT172" s="1270"/>
      <c r="AU172" s="1270"/>
      <c r="AV172" s="1270"/>
      <c r="AW172" s="1274" t="s">
        <v>504</v>
      </c>
      <c r="AX172" s="1270"/>
      <c r="AY172" s="1270"/>
      <c r="AZ172" s="1270"/>
      <c r="BA172" s="1273"/>
      <c r="BB172" s="1270"/>
      <c r="BC172" s="1275">
        <v>9</v>
      </c>
      <c r="BD172" s="1275">
        <v>9</v>
      </c>
      <c r="BE172" s="1276">
        <v>9</v>
      </c>
      <c r="BF172" s="1270"/>
      <c r="BG172" s="1275">
        <v>9</v>
      </c>
      <c r="BH172" s="1270"/>
      <c r="BI172" s="1270"/>
      <c r="BJ172" s="1270"/>
      <c r="BK172" s="1270"/>
      <c r="BL172" s="1270"/>
      <c r="BM172" s="1270"/>
      <c r="BN172" s="1270"/>
      <c r="BO172" s="1270"/>
      <c r="BP172" s="1270"/>
      <c r="BQ172" s="1270"/>
      <c r="BR172" s="1270"/>
      <c r="BS172" s="1270"/>
      <c r="BT172" s="1270"/>
      <c r="BU172" s="1270"/>
      <c r="BV172" s="1270"/>
      <c r="BW172" s="1270"/>
      <c r="BX172" s="1270"/>
      <c r="BY172" s="1270"/>
      <c r="BZ172" s="1270"/>
      <c r="CA172" s="1277">
        <f t="shared" si="23"/>
        <v>9</v>
      </c>
      <c r="CB172" s="1117">
        <f t="shared" si="19"/>
        <v>9</v>
      </c>
      <c r="CC172" s="1117">
        <f t="shared" si="20"/>
        <v>0</v>
      </c>
      <c r="CD172" s="1273">
        <v>0.47099999999999997</v>
      </c>
      <c r="CE172" s="1269" t="s">
        <v>3457</v>
      </c>
      <c r="CF172" s="1270"/>
      <c r="CG172" s="1269" t="s">
        <v>3458</v>
      </c>
      <c r="CH172" s="1273" t="s">
        <v>5608</v>
      </c>
      <c r="CI172" s="1269" t="s">
        <v>3459</v>
      </c>
      <c r="CJ172" s="1269" t="s">
        <v>504</v>
      </c>
      <c r="CK172" s="1270"/>
      <c r="CL172" s="1270"/>
      <c r="CM172" s="1270"/>
      <c r="CN172" s="1270"/>
      <c r="CO172" s="1275">
        <v>3</v>
      </c>
      <c r="CP172" s="1269" t="s">
        <v>504</v>
      </c>
      <c r="CQ172" s="1270"/>
      <c r="CR172" s="1270"/>
      <c r="CS172" s="1269" t="s">
        <v>500</v>
      </c>
      <c r="CT172" s="1269" t="s">
        <v>3460</v>
      </c>
      <c r="CU172" s="1275">
        <v>471</v>
      </c>
      <c r="CV172" s="1275" t="s">
        <v>504</v>
      </c>
      <c r="CW172" s="1270"/>
      <c r="CX172" s="1270"/>
      <c r="CY172" s="1275" t="s">
        <v>504</v>
      </c>
      <c r="CZ172" s="1270"/>
      <c r="DA172" s="1270"/>
      <c r="DB172" s="1269" t="s">
        <v>504</v>
      </c>
      <c r="DC172" s="1270"/>
      <c r="DD172" s="1270"/>
      <c r="DE172" s="1269" t="s">
        <v>504</v>
      </c>
      <c r="DF172" s="1270"/>
      <c r="DG172" s="1270"/>
      <c r="DH172" s="1269" t="s">
        <v>504</v>
      </c>
      <c r="DI172" s="1270"/>
      <c r="DJ172" s="1270"/>
      <c r="DK172" s="1269" t="s">
        <v>500</v>
      </c>
      <c r="DL172" s="1269" t="s">
        <v>3461</v>
      </c>
      <c r="DM172" s="1453">
        <v>9</v>
      </c>
      <c r="DN172" s="1269" t="s">
        <v>504</v>
      </c>
      <c r="DO172" s="1270"/>
      <c r="DP172" s="1270"/>
      <c r="DQ172" s="1269" t="s">
        <v>504</v>
      </c>
      <c r="DR172" s="1270"/>
      <c r="DS172" s="1270"/>
      <c r="DT172" s="1275" t="s">
        <v>504</v>
      </c>
      <c r="DU172" s="1270"/>
      <c r="DV172" s="1270"/>
      <c r="DW172" s="1269" t="s">
        <v>504</v>
      </c>
      <c r="DX172" s="1270"/>
      <c r="DY172" s="1270"/>
      <c r="DZ172" s="1269" t="s">
        <v>504</v>
      </c>
      <c r="EA172" s="1270"/>
      <c r="EB172" s="1270"/>
      <c r="EC172" s="1275" t="s">
        <v>500</v>
      </c>
      <c r="ED172" s="1275" t="s">
        <v>3454</v>
      </c>
      <c r="EE172" s="1275">
        <v>30</v>
      </c>
      <c r="EF172" s="1269" t="s">
        <v>504</v>
      </c>
      <c r="EG172" s="1270"/>
      <c r="EH172" s="1270"/>
      <c r="EI172" s="1269" t="s">
        <v>504</v>
      </c>
      <c r="EJ172" s="1270"/>
      <c r="EK172" s="1270"/>
      <c r="EL172" s="1270"/>
      <c r="EM172" s="1270"/>
      <c r="EN172" s="1270"/>
      <c r="EO172" s="1269" t="s">
        <v>504</v>
      </c>
      <c r="EP172" s="1270"/>
      <c r="EQ172" s="1269" t="s">
        <v>3454</v>
      </c>
      <c r="ER172" s="1269" t="s">
        <v>3454</v>
      </c>
      <c r="ES172" s="1270" t="s">
        <v>1104</v>
      </c>
      <c r="ET172" s="1270" t="s">
        <v>1104</v>
      </c>
      <c r="EU172" s="1270"/>
      <c r="EV172" s="1270"/>
      <c r="EW172" s="1270" t="s">
        <v>1104</v>
      </c>
      <c r="EX172" s="1270" t="s">
        <v>1104</v>
      </c>
    </row>
    <row r="173" spans="3:154" ht="48" customHeight="1" x14ac:dyDescent="0.2">
      <c r="C173" s="1156" t="s">
        <v>5478</v>
      </c>
      <c r="D173" s="1156" t="s">
        <v>5277</v>
      </c>
      <c r="E173" s="738" t="s">
        <v>354</v>
      </c>
      <c r="F173" s="738" t="s">
        <v>439</v>
      </c>
      <c r="G173" s="738"/>
      <c r="H173" s="632" t="s">
        <v>730</v>
      </c>
      <c r="I173" s="632" t="s">
        <v>504</v>
      </c>
      <c r="J173" s="637">
        <v>2020</v>
      </c>
      <c r="K173" s="377">
        <v>43831</v>
      </c>
      <c r="L173" s="377">
        <v>44196</v>
      </c>
      <c r="M173" s="1369">
        <f t="shared" si="21"/>
        <v>365</v>
      </c>
      <c r="N173" s="632" t="s">
        <v>1274</v>
      </c>
      <c r="O173" s="632" t="s">
        <v>1275</v>
      </c>
      <c r="P173" s="728" t="s">
        <v>1276</v>
      </c>
      <c r="Q173" s="736"/>
      <c r="R173" s="632"/>
      <c r="S173" s="632" t="s">
        <v>1277</v>
      </c>
      <c r="T173" s="632"/>
      <c r="U173" s="632"/>
      <c r="V173" s="632"/>
      <c r="W173" s="632"/>
      <c r="X173" s="632"/>
      <c r="Y173" s="632"/>
      <c r="Z173" s="632"/>
      <c r="AA173" s="632" t="s">
        <v>1278</v>
      </c>
      <c r="AB173" s="632" t="s">
        <v>1278</v>
      </c>
      <c r="AC173" s="632" t="s">
        <v>1024</v>
      </c>
      <c r="AD173" s="632" t="s">
        <v>1279</v>
      </c>
      <c r="AE173" s="702">
        <v>40.493000000000002</v>
      </c>
      <c r="AF173" s="671">
        <f>AH173+AK173+AN173+AP173+AR173</f>
        <v>40.493399999999994</v>
      </c>
      <c r="AG173" s="671">
        <f t="shared" si="18"/>
        <v>3.9999999999196234E-4</v>
      </c>
      <c r="AH173" s="702">
        <v>3.2513999999999998</v>
      </c>
      <c r="AI173" s="683">
        <v>6.0999999999999999E-2</v>
      </c>
      <c r="AJ173" s="683">
        <v>6.0000000000000002E-5</v>
      </c>
      <c r="AK173" s="702">
        <v>4.3419999999999996</v>
      </c>
      <c r="AL173" s="683">
        <v>8.2000000000000003E-2</v>
      </c>
      <c r="AM173" s="683"/>
      <c r="AN173" s="702">
        <v>0</v>
      </c>
      <c r="AO173" s="683">
        <v>0</v>
      </c>
      <c r="AP173" s="702">
        <v>0</v>
      </c>
      <c r="AQ173" s="683">
        <v>0</v>
      </c>
      <c r="AR173" s="702">
        <v>32.9</v>
      </c>
      <c r="AS173" s="683">
        <v>0.62</v>
      </c>
      <c r="AT173" s="632" t="s">
        <v>1280</v>
      </c>
      <c r="AU173" s="632" t="s">
        <v>825</v>
      </c>
      <c r="AV173" s="632" t="s">
        <v>1278</v>
      </c>
      <c r="AW173" s="632" t="s">
        <v>656</v>
      </c>
      <c r="AX173" s="632" t="s">
        <v>1281</v>
      </c>
      <c r="AY173" s="671">
        <v>12.6</v>
      </c>
      <c r="AZ173" s="683">
        <v>0.23699999999999999</v>
      </c>
      <c r="BA173" s="702">
        <v>0.39</v>
      </c>
      <c r="BB173" s="1166">
        <v>1.0000000000000001E-5</v>
      </c>
      <c r="BC173" s="735">
        <v>62</v>
      </c>
      <c r="BD173" s="735">
        <v>62</v>
      </c>
      <c r="BE173" s="1173">
        <v>30</v>
      </c>
      <c r="BF173" s="710"/>
      <c r="BG173" s="710">
        <v>3</v>
      </c>
      <c r="BH173" s="710">
        <v>1</v>
      </c>
      <c r="BI173" s="710"/>
      <c r="BJ173" s="710"/>
      <c r="BK173" s="710"/>
      <c r="BL173" s="710"/>
      <c r="BM173" s="710"/>
      <c r="BN173" s="710">
        <v>4</v>
      </c>
      <c r="BO173" s="710"/>
      <c r="BP173" s="710">
        <v>14</v>
      </c>
      <c r="BQ173" s="710">
        <v>7</v>
      </c>
      <c r="BR173" s="710"/>
      <c r="BS173" s="710"/>
      <c r="BT173" s="710"/>
      <c r="BU173" s="710"/>
      <c r="BV173" s="710"/>
      <c r="BW173" s="710"/>
      <c r="BX173" s="710"/>
      <c r="BY173" s="710"/>
      <c r="BZ173" s="710">
        <v>1</v>
      </c>
      <c r="CA173" s="717">
        <f t="shared" si="23"/>
        <v>30</v>
      </c>
      <c r="CB173" s="717">
        <f t="shared" si="19"/>
        <v>30</v>
      </c>
      <c r="CC173" s="717">
        <f t="shared" si="20"/>
        <v>0</v>
      </c>
      <c r="CD173" s="671">
        <v>65</v>
      </c>
      <c r="CE173" s="632" t="s">
        <v>504</v>
      </c>
      <c r="CF173" s="632"/>
      <c r="CG173" s="683">
        <v>6.5000000000000002E-2</v>
      </c>
      <c r="CH173" s="671">
        <v>1006.748</v>
      </c>
      <c r="CI173" s="1278" t="s">
        <v>1282</v>
      </c>
      <c r="CJ173" s="632" t="s">
        <v>504</v>
      </c>
      <c r="CK173" s="632"/>
      <c r="CL173" s="632"/>
      <c r="CM173" s="710"/>
      <c r="CN173" s="710"/>
      <c r="CO173" s="710">
        <v>1</v>
      </c>
      <c r="CP173" s="632" t="s">
        <v>504</v>
      </c>
      <c r="CQ173" s="632"/>
      <c r="CR173" s="710"/>
      <c r="CS173" s="632" t="s">
        <v>500</v>
      </c>
      <c r="CT173" s="632" t="s">
        <v>581</v>
      </c>
      <c r="CU173" s="710">
        <v>3769</v>
      </c>
      <c r="CV173" s="710" t="s">
        <v>504</v>
      </c>
      <c r="CW173" s="710"/>
      <c r="CX173" s="710"/>
      <c r="CY173" s="710" t="s">
        <v>504</v>
      </c>
      <c r="CZ173" s="710"/>
      <c r="DA173" s="710"/>
      <c r="DB173" s="632" t="s">
        <v>504</v>
      </c>
      <c r="DC173" s="632"/>
      <c r="DD173" s="710"/>
      <c r="DE173" s="632" t="s">
        <v>504</v>
      </c>
      <c r="DF173" s="632"/>
      <c r="DG173" s="710"/>
      <c r="DH173" s="632" t="s">
        <v>504</v>
      </c>
      <c r="DI173" s="632"/>
      <c r="DJ173" s="710"/>
      <c r="DK173" s="632" t="s">
        <v>504</v>
      </c>
      <c r="DL173" s="632"/>
      <c r="DM173" s="710"/>
      <c r="DN173" s="632" t="s">
        <v>504</v>
      </c>
      <c r="DO173" s="632"/>
      <c r="DP173" s="710"/>
      <c r="DQ173" s="632" t="s">
        <v>500</v>
      </c>
      <c r="DR173" s="632" t="s">
        <v>1283</v>
      </c>
      <c r="DS173" s="710">
        <v>3182</v>
      </c>
      <c r="DT173" s="710" t="s">
        <v>504</v>
      </c>
      <c r="DU173" s="710"/>
      <c r="DV173" s="710"/>
      <c r="DW173" s="632" t="s">
        <v>504</v>
      </c>
      <c r="DX173" s="632"/>
      <c r="DY173" s="710"/>
      <c r="DZ173" s="632" t="s">
        <v>504</v>
      </c>
      <c r="EA173" s="632"/>
      <c r="EB173" s="710"/>
      <c r="EC173" s="632" t="s">
        <v>504</v>
      </c>
      <c r="ED173" s="632"/>
      <c r="EE173" s="710"/>
      <c r="EF173" s="710" t="s">
        <v>504</v>
      </c>
      <c r="EG173" s="710"/>
      <c r="EH173" s="710"/>
      <c r="EI173" s="632" t="s">
        <v>504</v>
      </c>
      <c r="EJ173" s="632"/>
      <c r="EK173" s="710"/>
      <c r="EL173" s="688">
        <v>1</v>
      </c>
      <c r="EM173" s="632"/>
      <c r="EN173" s="670">
        <v>24</v>
      </c>
      <c r="EO173" s="632" t="s">
        <v>504</v>
      </c>
      <c r="EP173" s="632"/>
      <c r="EQ173" s="728" t="s">
        <v>1284</v>
      </c>
      <c r="ER173" s="632"/>
      <c r="ES173" s="632"/>
      <c r="ET173" s="632" t="s">
        <v>1285</v>
      </c>
      <c r="EU173" s="632" t="s">
        <v>504</v>
      </c>
      <c r="EV173" s="632" t="s">
        <v>940</v>
      </c>
      <c r="EW173" s="632"/>
      <c r="EX173" s="632"/>
    </row>
    <row r="174" spans="3:154" ht="54" customHeight="1" x14ac:dyDescent="0.2">
      <c r="C174" s="1156" t="s">
        <v>5479</v>
      </c>
      <c r="D174" s="1156" t="s">
        <v>5277</v>
      </c>
      <c r="E174" s="738" t="s">
        <v>354</v>
      </c>
      <c r="F174" s="738" t="s">
        <v>439</v>
      </c>
      <c r="G174" s="738"/>
      <c r="H174" s="632" t="s">
        <v>1286</v>
      </c>
      <c r="I174" s="632" t="s">
        <v>701</v>
      </c>
      <c r="J174" s="637">
        <v>2017</v>
      </c>
      <c r="K174" s="377">
        <v>43831</v>
      </c>
      <c r="L174" s="377">
        <v>44075</v>
      </c>
      <c r="M174" s="1369">
        <f t="shared" si="21"/>
        <v>244</v>
      </c>
      <c r="N174" s="632" t="s">
        <v>1287</v>
      </c>
      <c r="O174" s="1279" t="s">
        <v>1288</v>
      </c>
      <c r="P174" s="1280" t="s">
        <v>1289</v>
      </c>
      <c r="Q174" s="632"/>
      <c r="R174" s="632"/>
      <c r="S174" s="632" t="s">
        <v>1277</v>
      </c>
      <c r="T174" s="632"/>
      <c r="U174" s="632"/>
      <c r="V174" s="632"/>
      <c r="W174" s="632"/>
      <c r="X174" s="632"/>
      <c r="Y174" s="632"/>
      <c r="Z174" s="632"/>
      <c r="AA174" s="632" t="s">
        <v>1290</v>
      </c>
      <c r="AB174" s="632" t="s">
        <v>1290</v>
      </c>
      <c r="AC174" s="632" t="s">
        <v>519</v>
      </c>
      <c r="AD174" s="632" t="s">
        <v>1291</v>
      </c>
      <c r="AE174" s="702">
        <v>284.93900000000002</v>
      </c>
      <c r="AF174" s="671">
        <f t="shared" si="17"/>
        <v>284.93939999999998</v>
      </c>
      <c r="AG174" s="671">
        <f t="shared" si="18"/>
        <v>3.999999999564352E-4</v>
      </c>
      <c r="AH174" s="702">
        <v>5.6933999999999996</v>
      </c>
      <c r="AI174" s="683">
        <v>0.02</v>
      </c>
      <c r="AJ174" s="683">
        <v>1E-4</v>
      </c>
      <c r="AK174" s="702">
        <v>0.28399999999999997</v>
      </c>
      <c r="AL174" s="683">
        <v>1E-3</v>
      </c>
      <c r="AM174" s="683"/>
      <c r="AN174" s="702"/>
      <c r="AO174" s="683"/>
      <c r="AP174" s="702"/>
      <c r="AQ174" s="683"/>
      <c r="AR174" s="702">
        <v>278.96199999999999</v>
      </c>
      <c r="AS174" s="683">
        <v>0.97899999999999998</v>
      </c>
      <c r="AT174" s="632" t="s">
        <v>1292</v>
      </c>
      <c r="AU174" s="632" t="s">
        <v>968</v>
      </c>
      <c r="AV174" s="632" t="s">
        <v>1290</v>
      </c>
      <c r="AW174" s="632" t="s">
        <v>504</v>
      </c>
      <c r="AX174" s="632"/>
      <c r="AY174" s="632"/>
      <c r="AZ174" s="683"/>
      <c r="BA174" s="671">
        <v>5.3840000000000003</v>
      </c>
      <c r="BB174" s="683">
        <v>1E-4</v>
      </c>
      <c r="BC174" s="710">
        <v>301</v>
      </c>
      <c r="BD174" s="710">
        <v>301</v>
      </c>
      <c r="BE174" s="706">
        <v>301</v>
      </c>
      <c r="BF174" s="710"/>
      <c r="BG174" s="710"/>
      <c r="BH174" s="710"/>
      <c r="BI174" s="710"/>
      <c r="BJ174" s="710"/>
      <c r="BK174" s="710"/>
      <c r="BL174" s="710"/>
      <c r="BM174" s="710"/>
      <c r="BN174" s="710"/>
      <c r="BO174" s="710">
        <v>185</v>
      </c>
      <c r="BP174" s="710"/>
      <c r="BQ174" s="710"/>
      <c r="BR174" s="710"/>
      <c r="BS174" s="710"/>
      <c r="BT174" s="710"/>
      <c r="BU174" s="710"/>
      <c r="BV174" s="710"/>
      <c r="BW174" s="710"/>
      <c r="BX174" s="710"/>
      <c r="BY174" s="710"/>
      <c r="BZ174" s="710">
        <v>116</v>
      </c>
      <c r="CA174" s="717">
        <f t="shared" si="23"/>
        <v>301</v>
      </c>
      <c r="CB174" s="717">
        <f t="shared" si="19"/>
        <v>301</v>
      </c>
      <c r="CC174" s="717">
        <f t="shared" si="20"/>
        <v>0</v>
      </c>
      <c r="CD174" s="671">
        <v>856.78399999999999</v>
      </c>
      <c r="CE174" s="632"/>
      <c r="CF174" s="632"/>
      <c r="CG174" s="1281">
        <v>0.85099999999999998</v>
      </c>
      <c r="CH174" s="1282">
        <v>1006.748</v>
      </c>
      <c r="CI174" s="1278" t="s">
        <v>1282</v>
      </c>
      <c r="CJ174" s="632" t="s">
        <v>504</v>
      </c>
      <c r="CK174" s="632"/>
      <c r="CL174" s="632"/>
      <c r="CM174" s="710"/>
      <c r="CN174" s="710"/>
      <c r="CO174" s="710">
        <v>2</v>
      </c>
      <c r="CP174" s="632" t="s">
        <v>500</v>
      </c>
      <c r="CQ174" s="632" t="s">
        <v>1293</v>
      </c>
      <c r="CR174" s="710">
        <v>92</v>
      </c>
      <c r="CS174" s="632" t="s">
        <v>504</v>
      </c>
      <c r="CT174" s="632"/>
      <c r="CU174" s="710"/>
      <c r="CV174" s="632" t="s">
        <v>504</v>
      </c>
      <c r="CW174" s="710"/>
      <c r="CX174" s="710"/>
      <c r="CY174" s="632" t="s">
        <v>504</v>
      </c>
      <c r="CZ174" s="710"/>
      <c r="DA174" s="710"/>
      <c r="DB174" s="632" t="s">
        <v>504</v>
      </c>
      <c r="DC174" s="632"/>
      <c r="DD174" s="710"/>
      <c r="DE174" s="632" t="s">
        <v>504</v>
      </c>
      <c r="DF174" s="632"/>
      <c r="DG174" s="710"/>
      <c r="DH174" s="632" t="s">
        <v>504</v>
      </c>
      <c r="DI174" s="632"/>
      <c r="DJ174" s="710"/>
      <c r="DK174" s="632" t="s">
        <v>504</v>
      </c>
      <c r="DL174" s="632"/>
      <c r="DM174" s="710"/>
      <c r="DN174" s="632" t="s">
        <v>500</v>
      </c>
      <c r="DO174" s="632" t="s">
        <v>1294</v>
      </c>
      <c r="DP174" s="710">
        <v>106</v>
      </c>
      <c r="DQ174" s="632" t="s">
        <v>504</v>
      </c>
      <c r="DR174" s="632"/>
      <c r="DS174" s="710"/>
      <c r="DT174" s="632" t="s">
        <v>504</v>
      </c>
      <c r="DU174" s="710"/>
      <c r="DV174" s="710"/>
      <c r="DW174" s="632" t="s">
        <v>504</v>
      </c>
      <c r="DX174" s="632"/>
      <c r="DY174" s="710"/>
      <c r="DZ174" s="1426" t="s">
        <v>504</v>
      </c>
      <c r="EA174" s="632"/>
      <c r="EB174" s="710"/>
      <c r="EC174" s="1426" t="s">
        <v>504</v>
      </c>
      <c r="ED174" s="632"/>
      <c r="EE174" s="710"/>
      <c r="EF174" s="1426" t="s">
        <v>504</v>
      </c>
      <c r="EG174" s="710"/>
      <c r="EH174" s="710"/>
      <c r="EI174" s="1426" t="s">
        <v>504</v>
      </c>
      <c r="EJ174" s="632"/>
      <c r="EK174" s="710"/>
      <c r="EL174" s="632">
        <v>33.6</v>
      </c>
      <c r="EM174" s="632" t="s">
        <v>1295</v>
      </c>
      <c r="EN174" s="670">
        <v>92</v>
      </c>
      <c r="EO174" s="632" t="s">
        <v>504</v>
      </c>
      <c r="EP174" s="632"/>
      <c r="EQ174" s="728" t="s">
        <v>1296</v>
      </c>
      <c r="ER174" s="632"/>
      <c r="ES174" s="632"/>
      <c r="ET174" s="632"/>
      <c r="EU174" s="632"/>
      <c r="EV174" s="632" t="s">
        <v>702</v>
      </c>
      <c r="EW174" s="632"/>
      <c r="EX174" s="632"/>
    </row>
    <row r="175" spans="3:154" ht="81" customHeight="1" x14ac:dyDescent="0.2">
      <c r="C175" s="1156" t="s">
        <v>693</v>
      </c>
      <c r="D175" s="1156" t="s">
        <v>5277</v>
      </c>
      <c r="E175" s="738" t="s">
        <v>354</v>
      </c>
      <c r="F175" s="738" t="s">
        <v>439</v>
      </c>
      <c r="G175" s="738"/>
      <c r="H175" s="1279" t="s">
        <v>1297</v>
      </c>
      <c r="I175" s="1279" t="s">
        <v>798</v>
      </c>
      <c r="J175" s="1283">
        <v>2012</v>
      </c>
      <c r="K175" s="1101">
        <v>43927</v>
      </c>
      <c r="L175" s="1101">
        <v>44189</v>
      </c>
      <c r="M175" s="1369">
        <f t="shared" si="21"/>
        <v>262</v>
      </c>
      <c r="N175" s="1279" t="s">
        <v>1298</v>
      </c>
      <c r="O175" s="1279" t="s">
        <v>1288</v>
      </c>
      <c r="P175" s="1280" t="s">
        <v>1289</v>
      </c>
      <c r="Q175" s="1284" t="s">
        <v>702</v>
      </c>
      <c r="R175" s="1284" t="s">
        <v>702</v>
      </c>
      <c r="S175" s="1279" t="s">
        <v>1277</v>
      </c>
      <c r="T175" s="1284" t="s">
        <v>702</v>
      </c>
      <c r="U175" s="1284" t="s">
        <v>702</v>
      </c>
      <c r="V175" s="1284" t="s">
        <v>702</v>
      </c>
      <c r="W175" s="1284" t="s">
        <v>702</v>
      </c>
      <c r="X175" s="1284" t="s">
        <v>702</v>
      </c>
      <c r="Y175" s="1284"/>
      <c r="Z175" s="1284"/>
      <c r="AA175" s="1279" t="s">
        <v>1299</v>
      </c>
      <c r="AB175" s="1279" t="s">
        <v>1300</v>
      </c>
      <c r="AC175" s="1279" t="s">
        <v>622</v>
      </c>
      <c r="AD175" s="1279" t="s">
        <v>1301</v>
      </c>
      <c r="AE175" s="1285">
        <v>196.596</v>
      </c>
      <c r="AF175" s="671">
        <f t="shared" si="17"/>
        <v>196.596</v>
      </c>
      <c r="AG175" s="671">
        <f t="shared" si="18"/>
        <v>0</v>
      </c>
      <c r="AH175" s="1285">
        <v>196.4</v>
      </c>
      <c r="AI175" s="1281">
        <v>0.999</v>
      </c>
      <c r="AJ175" s="1281">
        <v>3.5000000000000001E-3</v>
      </c>
      <c r="AK175" s="1285">
        <v>0.19600000000000001</v>
      </c>
      <c r="AL175" s="1281">
        <v>1E-3</v>
      </c>
      <c r="AM175" s="1281"/>
      <c r="AN175" s="1286"/>
      <c r="AO175" s="1287"/>
      <c r="AP175" s="1286"/>
      <c r="AQ175" s="1287"/>
      <c r="AR175" s="1286"/>
      <c r="AS175" s="1287"/>
      <c r="AT175" s="1284"/>
      <c r="AU175" s="1284"/>
      <c r="AV175" s="1284" t="s">
        <v>702</v>
      </c>
      <c r="AW175" s="1279" t="s">
        <v>504</v>
      </c>
      <c r="AX175" s="1284" t="s">
        <v>702</v>
      </c>
      <c r="AY175" s="1284" t="s">
        <v>702</v>
      </c>
      <c r="AZ175" s="1287" t="s">
        <v>702</v>
      </c>
      <c r="BA175" s="1288">
        <v>200</v>
      </c>
      <c r="BB175" s="1281">
        <v>3.8999999999999998E-3</v>
      </c>
      <c r="BC175" s="1289">
        <v>1500</v>
      </c>
      <c r="BD175" s="1289">
        <v>641</v>
      </c>
      <c r="BE175" s="1288">
        <v>641</v>
      </c>
      <c r="BF175" s="1289">
        <v>89</v>
      </c>
      <c r="BG175" s="1289">
        <v>185</v>
      </c>
      <c r="BH175" s="1289">
        <v>177</v>
      </c>
      <c r="BI175" s="1289" t="s">
        <v>702</v>
      </c>
      <c r="BJ175" s="1289" t="s">
        <v>702</v>
      </c>
      <c r="BK175" s="1289">
        <v>39</v>
      </c>
      <c r="BL175" s="1289">
        <v>4</v>
      </c>
      <c r="BM175" s="1289">
        <v>4</v>
      </c>
      <c r="BN175" s="1289">
        <v>8</v>
      </c>
      <c r="BO175" s="1289" t="s">
        <v>702</v>
      </c>
      <c r="BP175" s="1289">
        <v>16</v>
      </c>
      <c r="BQ175" s="1289">
        <v>65</v>
      </c>
      <c r="BR175" s="1289">
        <v>23</v>
      </c>
      <c r="BS175" s="1289">
        <v>24</v>
      </c>
      <c r="BT175" s="1289" t="s">
        <v>702</v>
      </c>
      <c r="BU175" s="1289" t="s">
        <v>702</v>
      </c>
      <c r="BV175" s="1289">
        <v>2</v>
      </c>
      <c r="BW175" s="1289">
        <v>5</v>
      </c>
      <c r="BX175" s="1289" t="s">
        <v>702</v>
      </c>
      <c r="BY175" s="1289" t="s">
        <v>702</v>
      </c>
      <c r="BZ175" s="1289" t="s">
        <v>702</v>
      </c>
      <c r="CA175" s="1290">
        <f t="shared" si="23"/>
        <v>641</v>
      </c>
      <c r="CB175" s="717">
        <f t="shared" si="19"/>
        <v>641</v>
      </c>
      <c r="CC175" s="717">
        <f t="shared" si="20"/>
        <v>0</v>
      </c>
      <c r="CD175" s="1282">
        <v>369.5</v>
      </c>
      <c r="CE175" s="1279" t="s">
        <v>1303</v>
      </c>
      <c r="CF175" s="1280" t="s">
        <v>1289</v>
      </c>
      <c r="CG175" s="1281">
        <v>0.36699999999999999</v>
      </c>
      <c r="CH175" s="1282">
        <v>1006.748</v>
      </c>
      <c r="CI175" s="1278" t="s">
        <v>1282</v>
      </c>
      <c r="CJ175" s="1279" t="s">
        <v>504</v>
      </c>
      <c r="CK175" s="1279" t="s">
        <v>702</v>
      </c>
      <c r="CL175" s="1279" t="s">
        <v>702</v>
      </c>
      <c r="CM175" s="1289" t="s">
        <v>702</v>
      </c>
      <c r="CN175" s="1291" t="s">
        <v>702</v>
      </c>
      <c r="CO175" s="1291">
        <v>7</v>
      </c>
      <c r="CP175" s="1279" t="s">
        <v>504</v>
      </c>
      <c r="CQ175" s="1284" t="s">
        <v>702</v>
      </c>
      <c r="CR175" s="1291" t="s">
        <v>702</v>
      </c>
      <c r="CS175" s="1279" t="s">
        <v>500</v>
      </c>
      <c r="CT175" s="1280" t="s">
        <v>1304</v>
      </c>
      <c r="CU175" s="1289">
        <v>182580</v>
      </c>
      <c r="CV175" s="1289" t="s">
        <v>504</v>
      </c>
      <c r="CW175" s="1291" t="s">
        <v>702</v>
      </c>
      <c r="CX175" s="1291" t="s">
        <v>702</v>
      </c>
      <c r="CY175" s="1289" t="s">
        <v>504</v>
      </c>
      <c r="CZ175" s="1291" t="s">
        <v>702</v>
      </c>
      <c r="DA175" s="1291" t="s">
        <v>702</v>
      </c>
      <c r="DB175" s="1279" t="s">
        <v>504</v>
      </c>
      <c r="DC175" s="1284" t="s">
        <v>702</v>
      </c>
      <c r="DD175" s="1291" t="s">
        <v>702</v>
      </c>
      <c r="DE175" s="1279" t="s">
        <v>504</v>
      </c>
      <c r="DF175" s="1284" t="s">
        <v>702</v>
      </c>
      <c r="DG175" s="1291" t="s">
        <v>702</v>
      </c>
      <c r="DH175" s="1279" t="s">
        <v>504</v>
      </c>
      <c r="DI175" s="1284" t="s">
        <v>702</v>
      </c>
      <c r="DJ175" s="1291" t="s">
        <v>702</v>
      </c>
      <c r="DK175" s="1279" t="s">
        <v>504</v>
      </c>
      <c r="DL175" s="1284" t="s">
        <v>702</v>
      </c>
      <c r="DM175" s="1291" t="s">
        <v>702</v>
      </c>
      <c r="DN175" s="1279" t="s">
        <v>500</v>
      </c>
      <c r="DO175" s="1279" t="s">
        <v>1305</v>
      </c>
      <c r="DP175" s="1291" t="s">
        <v>702</v>
      </c>
      <c r="DQ175" s="1279" t="s">
        <v>500</v>
      </c>
      <c r="DR175" s="1279" t="s">
        <v>1306</v>
      </c>
      <c r="DS175" s="1289">
        <v>6136</v>
      </c>
      <c r="DT175" s="1289" t="s">
        <v>504</v>
      </c>
      <c r="DU175" s="1291" t="s">
        <v>702</v>
      </c>
      <c r="DV175" s="1291" t="s">
        <v>702</v>
      </c>
      <c r="DW175" s="1279" t="s">
        <v>504</v>
      </c>
      <c r="DX175" s="1284" t="s">
        <v>702</v>
      </c>
      <c r="DY175" s="1291" t="s">
        <v>702</v>
      </c>
      <c r="DZ175" s="1279" t="s">
        <v>504</v>
      </c>
      <c r="EA175" s="1284" t="s">
        <v>702</v>
      </c>
      <c r="EB175" s="1291" t="s">
        <v>702</v>
      </c>
      <c r="EC175" s="1279" t="s">
        <v>504</v>
      </c>
      <c r="ED175" s="1284" t="s">
        <v>702</v>
      </c>
      <c r="EE175" s="1291" t="s">
        <v>702</v>
      </c>
      <c r="EF175" s="1289" t="s">
        <v>504</v>
      </c>
      <c r="EG175" s="1291" t="s">
        <v>702</v>
      </c>
      <c r="EH175" s="1291" t="s">
        <v>702</v>
      </c>
      <c r="EI175" s="1279" t="s">
        <v>504</v>
      </c>
      <c r="EJ175" s="1284" t="s">
        <v>702</v>
      </c>
      <c r="EK175" s="1291" t="s">
        <v>702</v>
      </c>
      <c r="EL175" s="688">
        <v>1</v>
      </c>
      <c r="EM175" s="1280" t="s">
        <v>1307</v>
      </c>
      <c r="EN175" s="1292">
        <v>251</v>
      </c>
      <c r="EO175" s="1279" t="s">
        <v>504</v>
      </c>
      <c r="EP175" s="1284" t="s">
        <v>702</v>
      </c>
      <c r="EQ175" s="1293" t="s">
        <v>1308</v>
      </c>
      <c r="ER175" s="1280" t="s">
        <v>1309</v>
      </c>
      <c r="ES175" s="1293" t="s">
        <v>1310</v>
      </c>
      <c r="ET175" s="1280" t="s">
        <v>1311</v>
      </c>
      <c r="EU175" s="1284" t="s">
        <v>702</v>
      </c>
      <c r="EV175" s="1284" t="s">
        <v>702</v>
      </c>
      <c r="EW175" s="1284" t="s">
        <v>702</v>
      </c>
      <c r="EX175" s="1284" t="s">
        <v>702</v>
      </c>
    </row>
    <row r="176" spans="3:154" ht="77.099999999999994" customHeight="1" x14ac:dyDescent="0.2">
      <c r="C176" s="1156" t="s">
        <v>5478</v>
      </c>
      <c r="D176" s="1156" t="s">
        <v>5277</v>
      </c>
      <c r="E176" s="738" t="s">
        <v>354</v>
      </c>
      <c r="F176" s="738" t="s">
        <v>439</v>
      </c>
      <c r="G176" s="738"/>
      <c r="H176" s="632" t="s">
        <v>1312</v>
      </c>
      <c r="I176" s="632" t="s">
        <v>504</v>
      </c>
      <c r="J176" s="637">
        <v>2020</v>
      </c>
      <c r="K176" s="377">
        <v>43831</v>
      </c>
      <c r="L176" s="377">
        <v>44196</v>
      </c>
      <c r="M176" s="1369">
        <f t="shared" si="21"/>
        <v>365</v>
      </c>
      <c r="N176" s="632" t="s">
        <v>1274</v>
      </c>
      <c r="O176" s="632" t="s">
        <v>1313</v>
      </c>
      <c r="P176" s="728" t="s">
        <v>1276</v>
      </c>
      <c r="Q176" s="632" t="s">
        <v>701</v>
      </c>
      <c r="R176" s="632" t="s">
        <v>701</v>
      </c>
      <c r="S176" s="632" t="s">
        <v>1277</v>
      </c>
      <c r="T176" s="632" t="s">
        <v>701</v>
      </c>
      <c r="U176" s="632" t="s">
        <v>701</v>
      </c>
      <c r="V176" s="632" t="s">
        <v>701</v>
      </c>
      <c r="W176" s="632" t="s">
        <v>701</v>
      </c>
      <c r="X176" s="632" t="s">
        <v>701</v>
      </c>
      <c r="Y176" s="632"/>
      <c r="Z176" s="632"/>
      <c r="AA176" s="632" t="s">
        <v>1278</v>
      </c>
      <c r="AB176" s="632" t="s">
        <v>1278</v>
      </c>
      <c r="AC176" s="632" t="s">
        <v>1024</v>
      </c>
      <c r="AD176" s="632" t="s">
        <v>1279</v>
      </c>
      <c r="AE176" s="702">
        <v>14.840999999999999</v>
      </c>
      <c r="AF176" s="671">
        <f t="shared" si="17"/>
        <v>14.8414</v>
      </c>
      <c r="AG176" s="671">
        <f t="shared" si="18"/>
        <v>4.0000000000084412E-4</v>
      </c>
      <c r="AH176" s="702">
        <v>1.1734</v>
      </c>
      <c r="AI176" s="683">
        <v>7.9000000000000001E-2</v>
      </c>
      <c r="AJ176" s="1166">
        <v>2.0000000000000002E-5</v>
      </c>
      <c r="AK176" s="702">
        <v>0.35099999999999998</v>
      </c>
      <c r="AL176" s="683">
        <v>2.4E-2</v>
      </c>
      <c r="AM176" s="683"/>
      <c r="AN176" s="702">
        <v>0</v>
      </c>
      <c r="AO176" s="683">
        <v>0</v>
      </c>
      <c r="AP176" s="702">
        <v>1.45</v>
      </c>
      <c r="AQ176" s="683">
        <v>9.8000000000000004E-2</v>
      </c>
      <c r="AR176" s="702">
        <v>11.867000000000001</v>
      </c>
      <c r="AS176" s="683">
        <v>0.8</v>
      </c>
      <c r="AT176" s="632" t="s">
        <v>1280</v>
      </c>
      <c r="AU176" s="632" t="s">
        <v>825</v>
      </c>
      <c r="AV176" s="632" t="s">
        <v>1278</v>
      </c>
      <c r="AW176" s="632" t="s">
        <v>504</v>
      </c>
      <c r="AX176" s="632"/>
      <c r="AY176" s="632"/>
      <c r="AZ176" s="683"/>
      <c r="BA176" s="702">
        <v>3.97</v>
      </c>
      <c r="BB176" s="1166">
        <v>8.0000000000000007E-5</v>
      </c>
      <c r="BC176" s="735">
        <v>22</v>
      </c>
      <c r="BD176" s="735">
        <v>22</v>
      </c>
      <c r="BE176" s="1173">
        <v>1</v>
      </c>
      <c r="BF176" s="710"/>
      <c r="BG176" s="710"/>
      <c r="BH176" s="710"/>
      <c r="BI176" s="710"/>
      <c r="BJ176" s="710"/>
      <c r="BK176" s="710"/>
      <c r="BL176" s="710"/>
      <c r="BM176" s="710"/>
      <c r="BN176" s="710"/>
      <c r="BO176" s="710"/>
      <c r="BP176" s="710"/>
      <c r="BQ176" s="710"/>
      <c r="BR176" s="710"/>
      <c r="BS176" s="710"/>
      <c r="BT176" s="710"/>
      <c r="BU176" s="710"/>
      <c r="BV176" s="710"/>
      <c r="BW176" s="710"/>
      <c r="BX176" s="710"/>
      <c r="BY176" s="710"/>
      <c r="BZ176" s="710">
        <v>1</v>
      </c>
      <c r="CA176" s="717">
        <f t="shared" si="23"/>
        <v>1</v>
      </c>
      <c r="CB176" s="717">
        <f t="shared" si="19"/>
        <v>1</v>
      </c>
      <c r="CC176" s="717">
        <f t="shared" si="20"/>
        <v>0</v>
      </c>
      <c r="CD176" s="671">
        <v>0.48299999999999998</v>
      </c>
      <c r="CE176" s="632" t="s">
        <v>504</v>
      </c>
      <c r="CF176" s="632"/>
      <c r="CG176" s="683">
        <v>5.0000000000000001E-4</v>
      </c>
      <c r="CH176" s="671">
        <v>1006.748</v>
      </c>
      <c r="CI176" s="1278" t="s">
        <v>1282</v>
      </c>
      <c r="CJ176" s="632" t="s">
        <v>504</v>
      </c>
      <c r="CK176" s="632" t="s">
        <v>504</v>
      </c>
      <c r="CL176" s="632"/>
      <c r="CM176" s="710"/>
      <c r="CN176" s="710"/>
      <c r="CO176" s="710">
        <v>1</v>
      </c>
      <c r="CP176" s="632" t="s">
        <v>504</v>
      </c>
      <c r="CQ176" s="632"/>
      <c r="CR176" s="710"/>
      <c r="CS176" s="632" t="s">
        <v>500</v>
      </c>
      <c r="CT176" s="632" t="s">
        <v>1314</v>
      </c>
      <c r="CU176" s="710">
        <v>247</v>
      </c>
      <c r="CV176" s="710" t="s">
        <v>504</v>
      </c>
      <c r="CW176" s="710"/>
      <c r="CX176" s="710"/>
      <c r="CY176" s="710" t="s">
        <v>504</v>
      </c>
      <c r="CZ176" s="710"/>
      <c r="DA176" s="710"/>
      <c r="DB176" s="632" t="s">
        <v>504</v>
      </c>
      <c r="DC176" s="632"/>
      <c r="DD176" s="710"/>
      <c r="DE176" s="632" t="s">
        <v>504</v>
      </c>
      <c r="DF176" s="632"/>
      <c r="DG176" s="710"/>
      <c r="DH176" s="632" t="s">
        <v>504</v>
      </c>
      <c r="DI176" s="632"/>
      <c r="DJ176" s="710"/>
      <c r="DK176" s="632" t="s">
        <v>504</v>
      </c>
      <c r="DL176" s="632"/>
      <c r="DM176" s="710"/>
      <c r="DN176" s="632" t="s">
        <v>504</v>
      </c>
      <c r="DO176" s="632"/>
      <c r="DP176" s="710"/>
      <c r="DQ176" s="632" t="s">
        <v>504</v>
      </c>
      <c r="DR176" s="632"/>
      <c r="DS176" s="710"/>
      <c r="DT176" s="710" t="s">
        <v>504</v>
      </c>
      <c r="DU176" s="710"/>
      <c r="DV176" s="710"/>
      <c r="DW176" s="632" t="s">
        <v>504</v>
      </c>
      <c r="DX176" s="632"/>
      <c r="DY176" s="710"/>
      <c r="DZ176" s="632" t="s">
        <v>504</v>
      </c>
      <c r="EA176" s="632"/>
      <c r="EB176" s="710"/>
      <c r="EC176" s="632" t="s">
        <v>500</v>
      </c>
      <c r="ED176" s="632" t="s">
        <v>1315</v>
      </c>
      <c r="EE176" s="710">
        <v>8</v>
      </c>
      <c r="EF176" s="710" t="s">
        <v>504</v>
      </c>
      <c r="EG176" s="710"/>
      <c r="EH176" s="710"/>
      <c r="EI176" s="632" t="s">
        <v>504</v>
      </c>
      <c r="EJ176" s="632"/>
      <c r="EK176" s="710"/>
      <c r="EL176" s="688">
        <v>1</v>
      </c>
      <c r="EM176" s="632"/>
      <c r="EN176" s="670">
        <v>1</v>
      </c>
      <c r="EO176" s="632" t="s">
        <v>504</v>
      </c>
      <c r="EP176" s="632"/>
      <c r="EQ176" s="728" t="s">
        <v>1284</v>
      </c>
      <c r="ER176" s="632"/>
      <c r="ES176" s="632"/>
      <c r="ET176" s="632" t="s">
        <v>1285</v>
      </c>
      <c r="EU176" s="632" t="s">
        <v>504</v>
      </c>
      <c r="EV176" s="632" t="s">
        <v>940</v>
      </c>
      <c r="EW176" s="632"/>
      <c r="EX176" s="632"/>
    </row>
    <row r="177" spans="3:154" ht="89.1" customHeight="1" x14ac:dyDescent="0.2">
      <c r="C177" s="1156" t="s">
        <v>1731</v>
      </c>
      <c r="D177" s="1156" t="s">
        <v>5277</v>
      </c>
      <c r="E177" s="738" t="s">
        <v>355</v>
      </c>
      <c r="F177" s="738" t="s">
        <v>440</v>
      </c>
      <c r="G177" s="738"/>
      <c r="H177" s="632" t="s">
        <v>5484</v>
      </c>
      <c r="I177" s="632" t="s">
        <v>5485</v>
      </c>
      <c r="J177" s="637">
        <v>2014</v>
      </c>
      <c r="K177" s="377">
        <v>41600</v>
      </c>
      <c r="L177" s="377">
        <v>44348</v>
      </c>
      <c r="M177" s="1369">
        <f t="shared" si="21"/>
        <v>2748</v>
      </c>
      <c r="N177" s="632" t="s">
        <v>5486</v>
      </c>
      <c r="O177" s="632" t="s">
        <v>5487</v>
      </c>
      <c r="P177" s="653" t="s">
        <v>5488</v>
      </c>
      <c r="Q177" s="632" t="s">
        <v>5489</v>
      </c>
      <c r="R177" s="653" t="s">
        <v>5490</v>
      </c>
      <c r="S177" s="632"/>
      <c r="T177" s="632"/>
      <c r="U177" s="632"/>
      <c r="V177" s="632"/>
      <c r="W177" s="632"/>
      <c r="X177" s="632"/>
      <c r="Y177" s="632"/>
      <c r="Z177" s="632"/>
      <c r="AA177" s="632" t="s">
        <v>5491</v>
      </c>
      <c r="AB177" s="632" t="s">
        <v>5491</v>
      </c>
      <c r="AC177" s="632" t="s">
        <v>767</v>
      </c>
      <c r="AD177" s="632" t="s">
        <v>5492</v>
      </c>
      <c r="AE177" s="702">
        <v>5</v>
      </c>
      <c r="AF177" s="671">
        <f t="shared" si="17"/>
        <v>5</v>
      </c>
      <c r="AG177" s="671">
        <f t="shared" si="18"/>
        <v>0</v>
      </c>
      <c r="AH177" s="702">
        <v>4</v>
      </c>
      <c r="AI177" s="683">
        <v>0.8</v>
      </c>
      <c r="AJ177" s="683">
        <v>2.0000000000000001E-4</v>
      </c>
      <c r="AK177" s="702">
        <v>0.8</v>
      </c>
      <c r="AL177" s="683">
        <v>0.16</v>
      </c>
      <c r="AM177" s="683"/>
      <c r="AN177" s="702">
        <v>0.2</v>
      </c>
      <c r="AO177" s="683">
        <v>0.04</v>
      </c>
      <c r="AP177" s="702">
        <v>0</v>
      </c>
      <c r="AQ177" s="683">
        <v>0</v>
      </c>
      <c r="AR177" s="702">
        <v>0</v>
      </c>
      <c r="AS177" s="683">
        <v>0</v>
      </c>
      <c r="AT177" s="632">
        <v>0</v>
      </c>
      <c r="AU177" s="632">
        <v>0</v>
      </c>
      <c r="AV177" s="632">
        <v>0</v>
      </c>
      <c r="AW177" s="632">
        <v>0</v>
      </c>
      <c r="AX177" s="632">
        <v>0</v>
      </c>
      <c r="AY177" s="632">
        <v>0</v>
      </c>
      <c r="AZ177" s="683">
        <v>0</v>
      </c>
      <c r="BA177" s="683">
        <v>0.02</v>
      </c>
      <c r="BB177" s="683">
        <v>1E-4</v>
      </c>
      <c r="BC177" s="710">
        <v>4</v>
      </c>
      <c r="BD177" s="710">
        <v>4</v>
      </c>
      <c r="BE177" s="706">
        <v>4</v>
      </c>
      <c r="BF177" s="710"/>
      <c r="BG177" s="710"/>
      <c r="BH177" s="710"/>
      <c r="BI177" s="710"/>
      <c r="BJ177" s="710"/>
      <c r="BK177" s="710"/>
      <c r="BL177" s="710"/>
      <c r="BM177" s="710"/>
      <c r="BN177" s="710"/>
      <c r="BO177" s="710">
        <v>3</v>
      </c>
      <c r="BP177" s="710">
        <v>1</v>
      </c>
      <c r="BQ177" s="710"/>
      <c r="BR177" s="710"/>
      <c r="BS177" s="710"/>
      <c r="BT177" s="710"/>
      <c r="BU177" s="710"/>
      <c r="BV177" s="710"/>
      <c r="BW177" s="710"/>
      <c r="BX177" s="710"/>
      <c r="BY177" s="710"/>
      <c r="BZ177" s="710"/>
      <c r="CA177" s="717">
        <f t="shared" si="23"/>
        <v>4</v>
      </c>
      <c r="CB177" s="717">
        <f t="shared" si="19"/>
        <v>4</v>
      </c>
      <c r="CC177" s="717">
        <f t="shared" si="20"/>
        <v>0</v>
      </c>
      <c r="CD177" s="671">
        <v>0.46</v>
      </c>
      <c r="CE177" s="632"/>
      <c r="CF177" s="632"/>
      <c r="CG177" s="683">
        <v>8.9999999999999998E-4</v>
      </c>
      <c r="CH177" s="671">
        <v>507.1</v>
      </c>
      <c r="CI177" s="683" t="s">
        <v>2184</v>
      </c>
      <c r="CJ177" s="632" t="s">
        <v>504</v>
      </c>
      <c r="CK177" s="632"/>
      <c r="CL177" s="632"/>
      <c r="CM177" s="710"/>
      <c r="CN177" s="710"/>
      <c r="CO177" s="710"/>
      <c r="CP177" s="632" t="s">
        <v>504</v>
      </c>
      <c r="CQ177" s="632"/>
      <c r="CR177" s="710"/>
      <c r="CS177" s="632" t="s">
        <v>500</v>
      </c>
      <c r="CT177" s="632" t="s">
        <v>2185</v>
      </c>
      <c r="CU177" s="710">
        <v>151</v>
      </c>
      <c r="CV177" s="710" t="s">
        <v>504</v>
      </c>
      <c r="CW177" s="710"/>
      <c r="CX177" s="710"/>
      <c r="CY177" s="710" t="s">
        <v>504</v>
      </c>
      <c r="CZ177" s="710"/>
      <c r="DA177" s="710"/>
      <c r="DB177" s="632" t="s">
        <v>504</v>
      </c>
      <c r="DC177" s="632"/>
      <c r="DD177" s="710"/>
      <c r="DE177" s="632" t="s">
        <v>504</v>
      </c>
      <c r="DF177" s="632"/>
      <c r="DG177" s="710"/>
      <c r="DH177" s="632" t="s">
        <v>504</v>
      </c>
      <c r="DI177" s="632"/>
      <c r="DJ177" s="710"/>
      <c r="DK177" s="632" t="s">
        <v>504</v>
      </c>
      <c r="DL177" s="632"/>
      <c r="DM177" s="710"/>
      <c r="DN177" s="632" t="s">
        <v>504</v>
      </c>
      <c r="DO177" s="632"/>
      <c r="DP177" s="710"/>
      <c r="DQ177" s="632" t="s">
        <v>500</v>
      </c>
      <c r="DR177" s="632" t="s">
        <v>2186</v>
      </c>
      <c r="DS177" s="710">
        <v>151</v>
      </c>
      <c r="DT177" s="710" t="s">
        <v>504</v>
      </c>
      <c r="DU177" s="710"/>
      <c r="DV177" s="710"/>
      <c r="DW177" s="632" t="s">
        <v>504</v>
      </c>
      <c r="DX177" s="632"/>
      <c r="DY177" s="710"/>
      <c r="DZ177" s="632" t="s">
        <v>504</v>
      </c>
      <c r="EA177" s="632"/>
      <c r="EB177" s="710"/>
      <c r="EC177" s="632" t="s">
        <v>504</v>
      </c>
      <c r="ED177" s="632"/>
      <c r="EE177" s="710"/>
      <c r="EF177" s="710" t="s">
        <v>504</v>
      </c>
      <c r="EG177" s="710"/>
      <c r="EH177" s="710"/>
      <c r="EI177" s="632" t="s">
        <v>504</v>
      </c>
      <c r="EJ177" s="632"/>
      <c r="EK177" s="710"/>
      <c r="EL177" s="632">
        <v>100</v>
      </c>
      <c r="EM177" s="632"/>
      <c r="EN177" s="670">
        <v>2</v>
      </c>
      <c r="EO177" s="632" t="s">
        <v>504</v>
      </c>
      <c r="EP177" s="632"/>
      <c r="EQ177" s="632" t="s">
        <v>2187</v>
      </c>
      <c r="ER177" s="632"/>
      <c r="ES177" s="632" t="s">
        <v>2188</v>
      </c>
      <c r="ET177" s="632"/>
      <c r="EU177" s="632"/>
      <c r="EV177" s="632"/>
      <c r="EW177" s="632"/>
      <c r="EX177" s="632"/>
    </row>
    <row r="178" spans="3:154" ht="90" customHeight="1" x14ac:dyDescent="0.2">
      <c r="C178" s="1156" t="s">
        <v>5482</v>
      </c>
      <c r="D178" s="1156" t="s">
        <v>5277</v>
      </c>
      <c r="E178" s="738" t="s">
        <v>355</v>
      </c>
      <c r="F178" s="738" t="s">
        <v>440</v>
      </c>
      <c r="G178" s="738"/>
      <c r="H178" s="632" t="s">
        <v>2189</v>
      </c>
      <c r="I178" s="632" t="s">
        <v>2190</v>
      </c>
      <c r="J178" s="637">
        <v>2010</v>
      </c>
      <c r="K178" s="377">
        <v>44118</v>
      </c>
      <c r="L178" s="377">
        <v>44469</v>
      </c>
      <c r="M178" s="1369">
        <f t="shared" si="21"/>
        <v>351</v>
      </c>
      <c r="N178" s="632" t="s">
        <v>2193</v>
      </c>
      <c r="O178" s="632" t="s">
        <v>2194</v>
      </c>
      <c r="P178" s="632" t="s">
        <v>2195</v>
      </c>
      <c r="Q178" s="632"/>
      <c r="R178" s="632"/>
      <c r="S178" s="632"/>
      <c r="T178" s="632"/>
      <c r="U178" s="632"/>
      <c r="V178" s="632"/>
      <c r="W178" s="632" t="s">
        <v>2196</v>
      </c>
      <c r="X178" s="653" t="s">
        <v>2197</v>
      </c>
      <c r="Y178" s="653"/>
      <c r="Z178" s="653"/>
      <c r="AA178" s="632" t="s">
        <v>2198</v>
      </c>
      <c r="AB178" s="632" t="s">
        <v>2199</v>
      </c>
      <c r="AC178" s="632" t="s">
        <v>1732</v>
      </c>
      <c r="AD178" s="632" t="s">
        <v>2200</v>
      </c>
      <c r="AE178" s="702">
        <v>82.757000000000005</v>
      </c>
      <c r="AF178" s="671">
        <f t="shared" si="17"/>
        <v>82.759999999999991</v>
      </c>
      <c r="AG178" s="671">
        <f t="shared" si="18"/>
        <v>2.9999999999859028E-3</v>
      </c>
      <c r="AH178" s="702">
        <v>19.899999999999999</v>
      </c>
      <c r="AI178" s="683">
        <v>0.24049999999999999</v>
      </c>
      <c r="AJ178" s="1166">
        <v>6.0000000000000002E-5</v>
      </c>
      <c r="AK178" s="702"/>
      <c r="AL178" s="683"/>
      <c r="AM178" s="683"/>
      <c r="AN178" s="702"/>
      <c r="AO178" s="683"/>
      <c r="AP178" s="702">
        <v>62.86</v>
      </c>
      <c r="AQ178" s="683">
        <v>0.75949999999999995</v>
      </c>
      <c r="AR178" s="702"/>
      <c r="AS178" s="683"/>
      <c r="AT178" s="632"/>
      <c r="AU178" s="632"/>
      <c r="AV178" s="632"/>
      <c r="AW178" s="632" t="s">
        <v>504</v>
      </c>
      <c r="AX178" s="632"/>
      <c r="AY178" s="632"/>
      <c r="AZ178" s="683"/>
      <c r="BA178" s="702">
        <v>20</v>
      </c>
      <c r="BB178" s="1166">
        <v>6.9999999999999994E-5</v>
      </c>
      <c r="BC178" s="710">
        <v>166</v>
      </c>
      <c r="BD178" s="710">
        <v>131</v>
      </c>
      <c r="BE178" s="706">
        <v>76</v>
      </c>
      <c r="BF178" s="710"/>
      <c r="BG178" s="710"/>
      <c r="BH178" s="710"/>
      <c r="BI178" s="710"/>
      <c r="BJ178" s="710"/>
      <c r="BK178" s="710">
        <v>4</v>
      </c>
      <c r="BL178" s="710">
        <v>8</v>
      </c>
      <c r="BM178" s="710">
        <v>4</v>
      </c>
      <c r="BN178" s="710">
        <v>16</v>
      </c>
      <c r="BO178" s="710"/>
      <c r="BP178" s="710"/>
      <c r="BQ178" s="710"/>
      <c r="BR178" s="710"/>
      <c r="BS178" s="710"/>
      <c r="BT178" s="710">
        <v>12</v>
      </c>
      <c r="BU178" s="710"/>
      <c r="BV178" s="710"/>
      <c r="BW178" s="710"/>
      <c r="BX178" s="710">
        <v>24</v>
      </c>
      <c r="BY178" s="710"/>
      <c r="BZ178" s="710">
        <v>8</v>
      </c>
      <c r="CA178" s="717">
        <f t="shared" si="23"/>
        <v>76</v>
      </c>
      <c r="CB178" s="717">
        <f t="shared" si="19"/>
        <v>76</v>
      </c>
      <c r="CC178" s="717">
        <f t="shared" si="20"/>
        <v>0</v>
      </c>
      <c r="CD178" s="671">
        <v>3000</v>
      </c>
      <c r="CE178" s="632" t="s">
        <v>2201</v>
      </c>
      <c r="CF178" s="632"/>
      <c r="CG178" s="683">
        <v>0.77</v>
      </c>
      <c r="CH178" s="671">
        <v>3902.8879999999999</v>
      </c>
      <c r="CI178" s="733" t="s">
        <v>2202</v>
      </c>
      <c r="CJ178" s="632" t="s">
        <v>504</v>
      </c>
      <c r="CK178" s="632"/>
      <c r="CL178" s="632"/>
      <c r="CM178" s="710"/>
      <c r="CN178" s="710"/>
      <c r="CO178" s="710">
        <v>5</v>
      </c>
      <c r="CP178" s="632" t="s">
        <v>504</v>
      </c>
      <c r="CQ178" s="632"/>
      <c r="CR178" s="710"/>
      <c r="CS178" s="632" t="s">
        <v>504</v>
      </c>
      <c r="CT178" s="632"/>
      <c r="CU178" s="710"/>
      <c r="CV178" s="710" t="s">
        <v>504</v>
      </c>
      <c r="CW178" s="710"/>
      <c r="CX178" s="710"/>
      <c r="CY178" s="710" t="s">
        <v>504</v>
      </c>
      <c r="CZ178" s="710"/>
      <c r="DA178" s="710"/>
      <c r="DB178" s="632" t="s">
        <v>504</v>
      </c>
      <c r="DC178" s="632"/>
      <c r="DD178" s="710"/>
      <c r="DE178" s="632" t="s">
        <v>504</v>
      </c>
      <c r="DF178" s="632"/>
      <c r="DG178" s="710"/>
      <c r="DH178" s="632" t="s">
        <v>504</v>
      </c>
      <c r="DI178" s="632"/>
      <c r="DJ178" s="710"/>
      <c r="DK178" s="632" t="s">
        <v>504</v>
      </c>
      <c r="DL178" s="632"/>
      <c r="DM178" s="710"/>
      <c r="DN178" s="632" t="s">
        <v>504</v>
      </c>
      <c r="DO178" s="632"/>
      <c r="DP178" s="710"/>
      <c r="DQ178" s="632" t="s">
        <v>504</v>
      </c>
      <c r="DR178" s="632"/>
      <c r="DS178" s="710"/>
      <c r="DT178" s="710" t="s">
        <v>504</v>
      </c>
      <c r="DU178" s="710"/>
      <c r="DV178" s="710"/>
      <c r="DW178" s="632" t="s">
        <v>504</v>
      </c>
      <c r="DX178" s="632"/>
      <c r="DY178" s="710"/>
      <c r="DZ178" s="632" t="s">
        <v>504</v>
      </c>
      <c r="EA178" s="632"/>
      <c r="EB178" s="710"/>
      <c r="EC178" s="632" t="s">
        <v>504</v>
      </c>
      <c r="ED178" s="632"/>
      <c r="EE178" s="710"/>
      <c r="EF178" s="710" t="s">
        <v>504</v>
      </c>
      <c r="EG178" s="710"/>
      <c r="EH178" s="710"/>
      <c r="EI178" s="632" t="s">
        <v>500</v>
      </c>
      <c r="EJ178" s="632" t="s">
        <v>2203</v>
      </c>
      <c r="EK178" s="710">
        <v>35</v>
      </c>
      <c r="EL178" s="688">
        <v>1</v>
      </c>
      <c r="EM178" s="632"/>
      <c r="EN178" s="710">
        <v>31</v>
      </c>
      <c r="EO178" s="632" t="s">
        <v>504</v>
      </c>
      <c r="EP178" s="632"/>
      <c r="EQ178" s="632" t="s">
        <v>2204</v>
      </c>
      <c r="ER178" s="632" t="s">
        <v>2205</v>
      </c>
      <c r="ES178" s="632"/>
      <c r="ET178" s="632" t="s">
        <v>2206</v>
      </c>
      <c r="EU178" s="632"/>
      <c r="EV178" s="632" t="s">
        <v>2207</v>
      </c>
      <c r="EW178" s="632">
        <v>1</v>
      </c>
      <c r="EX178" s="632">
        <v>200</v>
      </c>
    </row>
    <row r="179" spans="3:154" ht="87" customHeight="1" x14ac:dyDescent="0.2">
      <c r="C179" s="1156" t="s">
        <v>693</v>
      </c>
      <c r="D179" s="1156" t="s">
        <v>5277</v>
      </c>
      <c r="E179" s="738" t="s">
        <v>356</v>
      </c>
      <c r="F179" s="738" t="s">
        <v>441</v>
      </c>
      <c r="G179" s="738"/>
      <c r="H179" s="632" t="s">
        <v>1216</v>
      </c>
      <c r="I179" s="632" t="s">
        <v>1217</v>
      </c>
      <c r="J179" s="637">
        <v>2013</v>
      </c>
      <c r="K179" s="377">
        <v>43770</v>
      </c>
      <c r="L179" s="377">
        <v>44196</v>
      </c>
      <c r="M179" s="1369">
        <f t="shared" si="21"/>
        <v>426</v>
      </c>
      <c r="N179" s="632" t="s">
        <v>1218</v>
      </c>
      <c r="O179" s="632" t="s">
        <v>1219</v>
      </c>
      <c r="P179" s="632"/>
      <c r="Q179" s="632"/>
      <c r="R179" s="632"/>
      <c r="S179" s="632" t="s">
        <v>1220</v>
      </c>
      <c r="T179" s="653" t="s">
        <v>1221</v>
      </c>
      <c r="U179" s="632" t="s">
        <v>1222</v>
      </c>
      <c r="V179" s="632"/>
      <c r="W179" s="632" t="s">
        <v>1223</v>
      </c>
      <c r="X179" s="632"/>
      <c r="Y179" s="632"/>
      <c r="Z179" s="632"/>
      <c r="AA179" s="632" t="s">
        <v>1224</v>
      </c>
      <c r="AB179" s="632" t="s">
        <v>1225</v>
      </c>
      <c r="AC179" s="632" t="s">
        <v>1226</v>
      </c>
      <c r="AD179" s="632" t="s">
        <v>1227</v>
      </c>
      <c r="AE179" s="702">
        <v>218.5</v>
      </c>
      <c r="AF179" s="671">
        <f t="shared" si="17"/>
        <v>218.5</v>
      </c>
      <c r="AG179" s="671">
        <f t="shared" si="18"/>
        <v>0</v>
      </c>
      <c r="AH179" s="702">
        <v>130.30000000000001</v>
      </c>
      <c r="AI179" s="683">
        <f>AH179/AE179</f>
        <v>0.59633867276887875</v>
      </c>
      <c r="AJ179" s="1294">
        <v>1.5E-5</v>
      </c>
      <c r="AK179" s="702">
        <v>57.4</v>
      </c>
      <c r="AL179" s="683">
        <f>AK179/AE179</f>
        <v>0.26270022883295197</v>
      </c>
      <c r="AM179" s="683"/>
      <c r="AN179" s="702">
        <v>30.7</v>
      </c>
      <c r="AO179" s="683">
        <f>AN179/AE179</f>
        <v>0.14050343249427918</v>
      </c>
      <c r="AP179" s="702">
        <f>AE179-AH179-AK179-AN179</f>
        <v>9.9999999999990763E-2</v>
      </c>
      <c r="AQ179" s="683">
        <f>AP179/AE179</f>
        <v>4.5766590389011792E-4</v>
      </c>
      <c r="AR179" s="702">
        <v>0</v>
      </c>
      <c r="AS179" s="683">
        <v>0</v>
      </c>
      <c r="AT179" s="632" t="s">
        <v>702</v>
      </c>
      <c r="AU179" s="632" t="s">
        <v>702</v>
      </c>
      <c r="AV179" s="632" t="s">
        <v>702</v>
      </c>
      <c r="AW179" s="632" t="s">
        <v>504</v>
      </c>
      <c r="AX179" s="632" t="s">
        <v>702</v>
      </c>
      <c r="AY179" s="671">
        <v>0</v>
      </c>
      <c r="AZ179" s="683">
        <v>0</v>
      </c>
      <c r="BA179" s="671">
        <v>146.9</v>
      </c>
      <c r="BB179" s="1295">
        <v>1.6999999999999999E-3</v>
      </c>
      <c r="BC179" s="710">
        <v>325</v>
      </c>
      <c r="BD179" s="710">
        <v>325</v>
      </c>
      <c r="BE179" s="706">
        <v>271</v>
      </c>
      <c r="BF179" s="710">
        <v>44</v>
      </c>
      <c r="BG179" s="710">
        <v>33</v>
      </c>
      <c r="BH179" s="710">
        <v>48</v>
      </c>
      <c r="BI179" s="710">
        <v>8</v>
      </c>
      <c r="BJ179" s="710">
        <v>1</v>
      </c>
      <c r="BK179" s="710">
        <v>0</v>
      </c>
      <c r="BL179" s="710">
        <v>0</v>
      </c>
      <c r="BM179" s="710">
        <v>17</v>
      </c>
      <c r="BN179" s="710">
        <v>26</v>
      </c>
      <c r="BO179" s="710"/>
      <c r="BP179" s="710">
        <v>26</v>
      </c>
      <c r="BQ179" s="710">
        <v>14</v>
      </c>
      <c r="BR179" s="710">
        <v>15</v>
      </c>
      <c r="BS179" s="710">
        <v>20</v>
      </c>
      <c r="BT179" s="710">
        <v>0</v>
      </c>
      <c r="BU179" s="710">
        <v>0</v>
      </c>
      <c r="BV179" s="710">
        <v>0</v>
      </c>
      <c r="BW179" s="710">
        <v>14</v>
      </c>
      <c r="BX179" s="710">
        <v>0</v>
      </c>
      <c r="BY179" s="710">
        <v>0</v>
      </c>
      <c r="BZ179" s="710">
        <v>0</v>
      </c>
      <c r="CA179" s="717">
        <f t="shared" si="23"/>
        <v>266</v>
      </c>
      <c r="CB179" s="717">
        <f t="shared" si="19"/>
        <v>266</v>
      </c>
      <c r="CC179" s="717">
        <f t="shared" si="20"/>
        <v>0</v>
      </c>
      <c r="CD179" s="671">
        <v>398</v>
      </c>
      <c r="CE179" s="632" t="s">
        <v>1228</v>
      </c>
      <c r="CF179" s="632"/>
      <c r="CG179" s="683"/>
      <c r="CH179" s="671">
        <f>398000/1245619</f>
        <v>0.31951985318143028</v>
      </c>
      <c r="CI179" s="683" t="s">
        <v>1229</v>
      </c>
      <c r="CJ179" s="632" t="s">
        <v>504</v>
      </c>
      <c r="CK179" s="632"/>
      <c r="CL179" s="632"/>
      <c r="CM179" s="710"/>
      <c r="CN179" s="710"/>
      <c r="CO179" s="710">
        <v>4</v>
      </c>
      <c r="CP179" s="632" t="s">
        <v>500</v>
      </c>
      <c r="CQ179" s="632" t="s">
        <v>1230</v>
      </c>
      <c r="CR179" s="710"/>
      <c r="CS179" s="738" t="s">
        <v>500</v>
      </c>
      <c r="CT179" s="738" t="s">
        <v>1230</v>
      </c>
      <c r="CU179" s="710">
        <v>17055</v>
      </c>
      <c r="CV179" s="710" t="s">
        <v>500</v>
      </c>
      <c r="CW179" s="710" t="s">
        <v>1231</v>
      </c>
      <c r="CX179" s="710"/>
      <c r="CY179" s="710" t="s">
        <v>504</v>
      </c>
      <c r="CZ179" s="710"/>
      <c r="DA179" s="710"/>
      <c r="DB179" s="632" t="s">
        <v>504</v>
      </c>
      <c r="DC179" s="632"/>
      <c r="DD179" s="710"/>
      <c r="DE179" s="632" t="s">
        <v>504</v>
      </c>
      <c r="DF179" s="632"/>
      <c r="DG179" s="710"/>
      <c r="DH179" s="632" t="s">
        <v>504</v>
      </c>
      <c r="DI179" s="632"/>
      <c r="DJ179" s="710"/>
      <c r="DK179" s="738" t="s">
        <v>500</v>
      </c>
      <c r="DL179" s="738" t="s">
        <v>1232</v>
      </c>
      <c r="DM179" s="710"/>
      <c r="DN179" s="632" t="s">
        <v>504</v>
      </c>
      <c r="DO179" s="632"/>
      <c r="DP179" s="710"/>
      <c r="DQ179" s="632" t="s">
        <v>504</v>
      </c>
      <c r="DR179" s="632"/>
      <c r="DS179" s="710" t="s">
        <v>504</v>
      </c>
      <c r="DT179" s="710" t="s">
        <v>504</v>
      </c>
      <c r="DU179" s="710"/>
      <c r="DV179" s="710"/>
      <c r="DW179" s="632" t="s">
        <v>504</v>
      </c>
      <c r="DX179" s="632"/>
      <c r="DY179" s="710"/>
      <c r="DZ179" s="632" t="s">
        <v>504</v>
      </c>
      <c r="EA179" s="632"/>
      <c r="EB179" s="710"/>
      <c r="EC179" s="632" t="s">
        <v>500</v>
      </c>
      <c r="ED179" s="632" t="s">
        <v>1233</v>
      </c>
      <c r="EE179" s="710">
        <v>21</v>
      </c>
      <c r="EF179" s="710" t="s">
        <v>504</v>
      </c>
      <c r="EG179" s="710"/>
      <c r="EH179" s="710"/>
      <c r="EI179" s="632" t="s">
        <v>504</v>
      </c>
      <c r="EJ179" s="632"/>
      <c r="EK179" s="710"/>
      <c r="EL179" s="632"/>
      <c r="EM179" s="632" t="s">
        <v>1234</v>
      </c>
      <c r="EN179" s="670">
        <v>121</v>
      </c>
      <c r="EO179" s="632" t="s">
        <v>504</v>
      </c>
      <c r="EP179" s="632"/>
      <c r="EQ179" s="653" t="s">
        <v>1235</v>
      </c>
      <c r="ER179" s="653" t="s">
        <v>1236</v>
      </c>
      <c r="ES179" s="653" t="s">
        <v>1237</v>
      </c>
      <c r="ET179" s="632" t="s">
        <v>1238</v>
      </c>
      <c r="EU179" s="632" t="s">
        <v>1239</v>
      </c>
      <c r="EV179" s="632" t="s">
        <v>1240</v>
      </c>
      <c r="EW179" s="632">
        <v>5</v>
      </c>
      <c r="EX179" s="632">
        <v>200</v>
      </c>
    </row>
    <row r="180" spans="3:154" ht="48" customHeight="1" x14ac:dyDescent="0.2">
      <c r="C180" s="1156" t="s">
        <v>693</v>
      </c>
      <c r="D180" s="1156" t="s">
        <v>5277</v>
      </c>
      <c r="E180" s="738" t="s">
        <v>357</v>
      </c>
      <c r="F180" s="738" t="s">
        <v>442</v>
      </c>
      <c r="G180" s="738"/>
      <c r="H180" s="738" t="s">
        <v>1241</v>
      </c>
      <c r="I180" s="738" t="s">
        <v>1242</v>
      </c>
      <c r="J180" s="1165">
        <v>2018</v>
      </c>
      <c r="K180" s="377">
        <v>44075</v>
      </c>
      <c r="L180" s="1096">
        <v>44196</v>
      </c>
      <c r="M180" s="1369">
        <f t="shared" si="21"/>
        <v>121</v>
      </c>
      <c r="N180" s="738" t="s">
        <v>1244</v>
      </c>
      <c r="O180" s="632" t="s">
        <v>1245</v>
      </c>
      <c r="P180" s="728" t="s">
        <v>1247</v>
      </c>
      <c r="Q180" s="632" t="s">
        <v>504</v>
      </c>
      <c r="R180" s="632"/>
      <c r="S180" s="632" t="s">
        <v>504</v>
      </c>
      <c r="T180" s="632"/>
      <c r="U180" s="632" t="s">
        <v>504</v>
      </c>
      <c r="V180" s="632"/>
      <c r="W180" s="632" t="s">
        <v>2560</v>
      </c>
      <c r="X180" s="632" t="s">
        <v>1248</v>
      </c>
      <c r="Y180" s="632"/>
      <c r="Z180" s="632"/>
      <c r="AA180" s="738" t="s">
        <v>1249</v>
      </c>
      <c r="AB180" s="738" t="s">
        <v>1249</v>
      </c>
      <c r="AC180" s="738" t="s">
        <v>622</v>
      </c>
      <c r="AD180" s="738" t="s">
        <v>1250</v>
      </c>
      <c r="AE180" s="702">
        <v>55.226934010000001</v>
      </c>
      <c r="AF180" s="671">
        <f t="shared" si="17"/>
        <v>55.227999609999998</v>
      </c>
      <c r="AG180" s="671">
        <f t="shared" si="18"/>
        <v>1.0655999999968913E-3</v>
      </c>
      <c r="AH180" s="1167">
        <v>39.3063</v>
      </c>
      <c r="AI180" s="683">
        <f>AH180/AE180</f>
        <v>0.71172337745352232</v>
      </c>
      <c r="AJ180" s="1168">
        <v>4.6999999999999999E-4</v>
      </c>
      <c r="AK180" s="702">
        <v>9.8301996099999993</v>
      </c>
      <c r="AL180" s="683">
        <f>AK180/AE180</f>
        <v>0.17799647556426063</v>
      </c>
      <c r="AM180" s="683"/>
      <c r="AN180" s="702">
        <v>4.0260999999999996</v>
      </c>
      <c r="AO180" s="683">
        <f>AN180/AE180</f>
        <v>7.2901023244762955E-2</v>
      </c>
      <c r="AP180" s="702">
        <v>2.0653999999999999</v>
      </c>
      <c r="AQ180" s="683">
        <f>AP180/AE180</f>
        <v>3.7398418670607635E-2</v>
      </c>
      <c r="AR180" s="1167">
        <v>0</v>
      </c>
      <c r="AS180" s="1168">
        <v>0</v>
      </c>
      <c r="AT180" s="738" t="s">
        <v>504</v>
      </c>
      <c r="AU180" s="738" t="s">
        <v>504</v>
      </c>
      <c r="AV180" s="738" t="s">
        <v>504</v>
      </c>
      <c r="AW180" s="738" t="s">
        <v>500</v>
      </c>
      <c r="AX180" s="738" t="s">
        <v>1251</v>
      </c>
      <c r="AY180" s="632" t="s">
        <v>997</v>
      </c>
      <c r="AZ180" s="683" t="s">
        <v>997</v>
      </c>
      <c r="BA180" s="697">
        <v>40</v>
      </c>
      <c r="BB180" s="683">
        <v>4.4999999999999999E-4</v>
      </c>
      <c r="BC180" s="710">
        <v>92</v>
      </c>
      <c r="BD180" s="822">
        <v>92</v>
      </c>
      <c r="BE180" s="1201">
        <v>69</v>
      </c>
      <c r="BF180" s="710">
        <v>3</v>
      </c>
      <c r="BG180" s="710">
        <v>9</v>
      </c>
      <c r="BH180" s="710">
        <v>3</v>
      </c>
      <c r="BI180" s="710">
        <v>0</v>
      </c>
      <c r="BJ180" s="710">
        <v>0</v>
      </c>
      <c r="BK180" s="710">
        <v>1</v>
      </c>
      <c r="BL180" s="710">
        <v>0</v>
      </c>
      <c r="BM180" s="710">
        <v>3</v>
      </c>
      <c r="BN180" s="710">
        <v>9</v>
      </c>
      <c r="BO180" s="710">
        <v>0</v>
      </c>
      <c r="BP180" s="710">
        <v>21</v>
      </c>
      <c r="BQ180" s="710">
        <v>5</v>
      </c>
      <c r="BR180" s="710">
        <v>15</v>
      </c>
      <c r="BS180" s="710">
        <v>0</v>
      </c>
      <c r="BT180" s="710">
        <v>0</v>
      </c>
      <c r="BU180" s="710">
        <v>0</v>
      </c>
      <c r="BV180" s="710">
        <v>0</v>
      </c>
      <c r="BW180" s="710">
        <v>0</v>
      </c>
      <c r="BX180" s="710">
        <v>0</v>
      </c>
      <c r="BY180" s="710">
        <v>0</v>
      </c>
      <c r="BZ180" s="710">
        <v>0</v>
      </c>
      <c r="CA180" s="717">
        <f t="shared" si="23"/>
        <v>69</v>
      </c>
      <c r="CB180" s="717">
        <f t="shared" si="19"/>
        <v>69</v>
      </c>
      <c r="CC180" s="717">
        <f t="shared" si="20"/>
        <v>0</v>
      </c>
      <c r="CD180" s="671">
        <v>69.08</v>
      </c>
      <c r="CE180" s="738" t="s">
        <v>1254</v>
      </c>
      <c r="CF180" s="632" t="s">
        <v>504</v>
      </c>
      <c r="CG180" s="683">
        <f>CD180/CH180</f>
        <v>6.4004447326971192E-2</v>
      </c>
      <c r="CH180" s="671">
        <v>1079.3</v>
      </c>
      <c r="CI180" s="1203" t="s">
        <v>1256</v>
      </c>
      <c r="CJ180" s="632" t="s">
        <v>504</v>
      </c>
      <c r="CK180" s="632"/>
      <c r="CL180" s="632"/>
      <c r="CM180" s="710"/>
      <c r="CN180" s="710"/>
      <c r="CO180" s="710">
        <v>2</v>
      </c>
      <c r="CP180" s="738" t="s">
        <v>500</v>
      </c>
      <c r="CQ180" s="738" t="s">
        <v>1258</v>
      </c>
      <c r="CR180" s="710">
        <v>9499</v>
      </c>
      <c r="CS180" s="738" t="s">
        <v>500</v>
      </c>
      <c r="CT180" s="738" t="s">
        <v>1259</v>
      </c>
      <c r="CU180" s="710">
        <v>5501</v>
      </c>
      <c r="CV180" s="710" t="s">
        <v>504</v>
      </c>
      <c r="CW180" s="710"/>
      <c r="CX180" s="710"/>
      <c r="CY180" s="710" t="s">
        <v>504</v>
      </c>
      <c r="CZ180" s="710"/>
      <c r="DA180" s="710"/>
      <c r="DB180" s="632" t="s">
        <v>504</v>
      </c>
      <c r="DC180" s="632"/>
      <c r="DD180" s="710"/>
      <c r="DE180" s="738" t="s">
        <v>500</v>
      </c>
      <c r="DF180" s="738" t="s">
        <v>1260</v>
      </c>
      <c r="DG180" s="822">
        <v>836</v>
      </c>
      <c r="DH180" s="632" t="s">
        <v>504</v>
      </c>
      <c r="DI180" s="632"/>
      <c r="DJ180" s="710"/>
      <c r="DK180" s="632" t="s">
        <v>504</v>
      </c>
      <c r="DL180" s="632"/>
      <c r="DM180" s="710"/>
      <c r="DN180" s="738" t="s">
        <v>504</v>
      </c>
      <c r="DO180" s="738"/>
      <c r="DP180" s="822"/>
      <c r="DQ180" s="738" t="s">
        <v>504</v>
      </c>
      <c r="DR180" s="738"/>
      <c r="DS180" s="822"/>
      <c r="DT180" s="738" t="s">
        <v>504</v>
      </c>
      <c r="DU180" s="738"/>
      <c r="DV180" s="822"/>
      <c r="DW180" s="738" t="s">
        <v>504</v>
      </c>
      <c r="DX180" s="738"/>
      <c r="DY180" s="822"/>
      <c r="DZ180" s="632" t="s">
        <v>504</v>
      </c>
      <c r="EA180" s="632"/>
      <c r="EB180" s="710"/>
      <c r="EC180" s="738" t="s">
        <v>500</v>
      </c>
      <c r="ED180" s="738" t="s">
        <v>1261</v>
      </c>
      <c r="EE180" s="710">
        <v>6</v>
      </c>
      <c r="EF180" s="710" t="s">
        <v>504</v>
      </c>
      <c r="EG180" s="710"/>
      <c r="EH180" s="710"/>
      <c r="EI180" s="632" t="s">
        <v>504</v>
      </c>
      <c r="EJ180" s="632"/>
      <c r="EK180" s="710"/>
      <c r="EL180" s="738" t="s">
        <v>1263</v>
      </c>
      <c r="EM180" s="738" t="s">
        <v>1264</v>
      </c>
      <c r="EN180" s="1208">
        <v>60</v>
      </c>
      <c r="EO180" s="632" t="s">
        <v>504</v>
      </c>
      <c r="EP180" s="632" t="s">
        <v>1266</v>
      </c>
      <c r="EQ180" s="728" t="s">
        <v>1267</v>
      </c>
      <c r="ER180" s="728" t="s">
        <v>1268</v>
      </c>
      <c r="ES180" s="728" t="s">
        <v>1269</v>
      </c>
      <c r="ET180" s="738" t="s">
        <v>1270</v>
      </c>
      <c r="EU180" s="661" t="s">
        <v>1271</v>
      </c>
      <c r="EV180" s="632" t="s">
        <v>1272</v>
      </c>
      <c r="EW180" s="632">
        <v>1</v>
      </c>
      <c r="EX180" s="632">
        <v>42</v>
      </c>
    </row>
    <row r="181" spans="3:154" ht="72.95" customHeight="1" x14ac:dyDescent="0.2">
      <c r="C181" s="1156" t="s">
        <v>693</v>
      </c>
      <c r="D181" s="1156" t="s">
        <v>5277</v>
      </c>
      <c r="E181" s="738" t="s">
        <v>358</v>
      </c>
      <c r="F181" s="738" t="s">
        <v>443</v>
      </c>
      <c r="G181" s="738"/>
      <c r="H181" s="632" t="s">
        <v>1316</v>
      </c>
      <c r="I181" s="632" t="s">
        <v>1316</v>
      </c>
      <c r="J181" s="637">
        <v>2011</v>
      </c>
      <c r="K181" s="377">
        <v>43474</v>
      </c>
      <c r="L181" s="377">
        <v>44196</v>
      </c>
      <c r="M181" s="1369">
        <f t="shared" si="21"/>
        <v>722</v>
      </c>
      <c r="N181" s="632"/>
      <c r="O181" s="632" t="s">
        <v>1317</v>
      </c>
      <c r="P181" s="632" t="s">
        <v>1318</v>
      </c>
      <c r="Q181" s="632"/>
      <c r="R181" s="632"/>
      <c r="S181" s="632" t="s">
        <v>1319</v>
      </c>
      <c r="T181" s="653" t="s">
        <v>1320</v>
      </c>
      <c r="U181" s="632"/>
      <c r="V181" s="632"/>
      <c r="W181" s="632" t="s">
        <v>1321</v>
      </c>
      <c r="X181" s="653" t="s">
        <v>1322</v>
      </c>
      <c r="Y181" s="653"/>
      <c r="Z181" s="653"/>
      <c r="AA181" s="632" t="s">
        <v>1323</v>
      </c>
      <c r="AB181" s="632" t="s">
        <v>1324</v>
      </c>
      <c r="AC181" s="632" t="s">
        <v>622</v>
      </c>
      <c r="AD181" s="632" t="s">
        <v>1325</v>
      </c>
      <c r="AE181" s="702">
        <v>540.29999999999995</v>
      </c>
      <c r="AF181" s="671">
        <f t="shared" si="17"/>
        <v>540.29999999999995</v>
      </c>
      <c r="AG181" s="671">
        <f t="shared" si="18"/>
        <v>0</v>
      </c>
      <c r="AH181" s="702">
        <v>359.3</v>
      </c>
      <c r="AI181" s="683">
        <v>0.66500000000000004</v>
      </c>
      <c r="AJ181" s="683"/>
      <c r="AK181" s="702">
        <v>121</v>
      </c>
      <c r="AL181" s="683">
        <v>0.224</v>
      </c>
      <c r="AM181" s="683"/>
      <c r="AN181" s="702">
        <v>60</v>
      </c>
      <c r="AO181" s="683">
        <v>0.111</v>
      </c>
      <c r="AP181" s="702"/>
      <c r="AQ181" s="683"/>
      <c r="AR181" s="702"/>
      <c r="AS181" s="683"/>
      <c r="AT181" s="632"/>
      <c r="AU181" s="632"/>
      <c r="AV181" s="632"/>
      <c r="AW181" s="632" t="s">
        <v>504</v>
      </c>
      <c r="AX181" s="632"/>
      <c r="AY181" s="632"/>
      <c r="AZ181" s="683"/>
      <c r="BA181" s="671">
        <v>399.1</v>
      </c>
      <c r="BB181" s="683"/>
      <c r="BC181" s="710">
        <v>1133</v>
      </c>
      <c r="BD181" s="710">
        <v>1133</v>
      </c>
      <c r="BE181" s="706">
        <v>346</v>
      </c>
      <c r="BF181" s="710">
        <v>35</v>
      </c>
      <c r="BG181" s="710">
        <v>79</v>
      </c>
      <c r="BH181" s="710">
        <v>9</v>
      </c>
      <c r="BI181" s="710"/>
      <c r="BJ181" s="710">
        <v>1</v>
      </c>
      <c r="BK181" s="710"/>
      <c r="BL181" s="710">
        <v>104</v>
      </c>
      <c r="BM181" s="710">
        <v>12</v>
      </c>
      <c r="BN181" s="710">
        <v>1</v>
      </c>
      <c r="BO181" s="710">
        <v>10</v>
      </c>
      <c r="BP181" s="710">
        <v>17</v>
      </c>
      <c r="BQ181" s="710">
        <v>15</v>
      </c>
      <c r="BR181" s="710"/>
      <c r="BS181" s="710"/>
      <c r="BT181" s="710"/>
      <c r="BU181" s="710">
        <v>63</v>
      </c>
      <c r="BV181" s="710"/>
      <c r="BW181" s="710"/>
      <c r="BX181" s="710"/>
      <c r="BY181" s="710"/>
      <c r="BZ181" s="710"/>
      <c r="CA181" s="717">
        <f t="shared" si="23"/>
        <v>346</v>
      </c>
      <c r="CB181" s="717">
        <f t="shared" si="19"/>
        <v>346</v>
      </c>
      <c r="CC181" s="717">
        <f t="shared" si="20"/>
        <v>0</v>
      </c>
      <c r="CD181" s="671">
        <v>263.012</v>
      </c>
      <c r="CE181" s="632"/>
      <c r="CF181" s="632"/>
      <c r="CG181" s="683">
        <v>0.17899999999999999</v>
      </c>
      <c r="CH181" s="671">
        <v>1466.127</v>
      </c>
      <c r="CI181" s="683" t="s">
        <v>1327</v>
      </c>
      <c r="CJ181" s="632" t="s">
        <v>504</v>
      </c>
      <c r="CK181" s="632"/>
      <c r="CL181" s="632"/>
      <c r="CM181" s="710"/>
      <c r="CN181" s="710"/>
      <c r="CO181" s="710"/>
      <c r="CP181" s="632" t="s">
        <v>504</v>
      </c>
      <c r="CQ181" s="632"/>
      <c r="CR181" s="710"/>
      <c r="CS181" s="632" t="s">
        <v>500</v>
      </c>
      <c r="CT181" s="632" t="s">
        <v>1328</v>
      </c>
      <c r="CU181" s="710">
        <v>197000</v>
      </c>
      <c r="CV181" s="710" t="s">
        <v>500</v>
      </c>
      <c r="CW181" s="710" t="s">
        <v>1329</v>
      </c>
      <c r="CX181" s="710">
        <v>168</v>
      </c>
      <c r="CY181" s="710" t="s">
        <v>500</v>
      </c>
      <c r="CZ181" s="710" t="s">
        <v>1329</v>
      </c>
      <c r="DA181" s="710">
        <v>438</v>
      </c>
      <c r="DB181" s="632" t="s">
        <v>504</v>
      </c>
      <c r="DC181" s="632"/>
      <c r="DD181" s="710"/>
      <c r="DE181" s="710" t="s">
        <v>500</v>
      </c>
      <c r="DF181" s="653" t="s">
        <v>1331</v>
      </c>
      <c r="DG181" s="710">
        <v>1133</v>
      </c>
      <c r="DH181" s="632" t="s">
        <v>504</v>
      </c>
      <c r="DI181" s="632"/>
      <c r="DJ181" s="710"/>
      <c r="DK181" s="632" t="s">
        <v>504</v>
      </c>
      <c r="DL181" s="632"/>
      <c r="DM181" s="710"/>
      <c r="DN181" s="632" t="s">
        <v>500</v>
      </c>
      <c r="DO181" s="738" t="s">
        <v>1332</v>
      </c>
      <c r="DP181" s="710">
        <v>518000</v>
      </c>
      <c r="DQ181" s="632" t="s">
        <v>504</v>
      </c>
      <c r="DR181" s="632"/>
      <c r="DS181" s="710"/>
      <c r="DT181" s="710" t="s">
        <v>504</v>
      </c>
      <c r="DU181" s="710"/>
      <c r="DV181" s="710"/>
      <c r="DW181" s="632" t="s">
        <v>504</v>
      </c>
      <c r="DX181" s="632"/>
      <c r="DY181" s="710"/>
      <c r="DZ181" s="632" t="s">
        <v>504</v>
      </c>
      <c r="EA181" s="632"/>
      <c r="EB181" s="710"/>
      <c r="EC181" s="632"/>
      <c r="ED181" s="632"/>
      <c r="EE181" s="710"/>
      <c r="EF181" s="632" t="s">
        <v>500</v>
      </c>
      <c r="EG181" s="632" t="s">
        <v>1333</v>
      </c>
      <c r="EH181" s="710">
        <v>16</v>
      </c>
      <c r="EI181" s="632" t="s">
        <v>504</v>
      </c>
      <c r="EJ181" s="632"/>
      <c r="EK181" s="710"/>
      <c r="EL181" s="688">
        <v>1</v>
      </c>
      <c r="EM181" s="632"/>
      <c r="EN181" s="670">
        <v>26</v>
      </c>
      <c r="EO181" s="632" t="s">
        <v>500</v>
      </c>
      <c r="EP181" s="632" t="s">
        <v>1334</v>
      </c>
      <c r="EQ181" s="653" t="s">
        <v>1331</v>
      </c>
      <c r="ER181" s="632"/>
      <c r="ES181" s="653" t="s">
        <v>1335</v>
      </c>
      <c r="ET181" s="632" t="s">
        <v>1336</v>
      </c>
      <c r="EU181" s="632"/>
      <c r="EV181" s="632" t="s">
        <v>504</v>
      </c>
      <c r="EW181" s="632"/>
      <c r="EX181" s="632"/>
    </row>
    <row r="182" spans="3:154" x14ac:dyDescent="0.2">
      <c r="C182" s="1156"/>
      <c r="D182" s="1156"/>
      <c r="E182" s="1454" t="s">
        <v>359</v>
      </c>
      <c r="F182" s="1454" t="s">
        <v>444</v>
      </c>
      <c r="G182" s="1454"/>
      <c r="H182" s="1460"/>
      <c r="I182" s="1460"/>
      <c r="J182" s="1460"/>
      <c r="K182" s="1460"/>
      <c r="L182" s="1460"/>
      <c r="M182" s="1369">
        <f t="shared" si="21"/>
        <v>0</v>
      </c>
      <c r="N182" s="1460"/>
      <c r="O182" s="1460"/>
      <c r="P182" s="1460"/>
      <c r="Q182" s="1460"/>
      <c r="R182" s="1460"/>
      <c r="S182" s="1460"/>
      <c r="T182" s="1460"/>
      <c r="U182" s="1460"/>
      <c r="V182" s="1460"/>
      <c r="W182" s="1460"/>
      <c r="X182" s="1460"/>
      <c r="Y182" s="1460"/>
      <c r="Z182" s="1460"/>
      <c r="AA182" s="1460"/>
      <c r="AB182" s="1460"/>
      <c r="AC182" s="1460"/>
      <c r="AD182" s="1460"/>
      <c r="AE182" s="1461"/>
      <c r="AF182" s="1462">
        <f t="shared" si="17"/>
        <v>0</v>
      </c>
      <c r="AG182" s="1462">
        <f t="shared" si="18"/>
        <v>0</v>
      </c>
      <c r="AH182" s="1461"/>
      <c r="AI182" s="1460"/>
      <c r="AJ182" s="1460"/>
      <c r="AK182" s="1461"/>
      <c r="AL182" s="1460"/>
      <c r="AM182" s="1460"/>
      <c r="AN182" s="1461"/>
      <c r="AO182" s="1460"/>
      <c r="AP182" s="1461"/>
      <c r="AQ182" s="1460"/>
      <c r="AR182" s="1461"/>
      <c r="AS182" s="1460"/>
      <c r="AT182" s="1460"/>
      <c r="AU182" s="1460"/>
      <c r="AV182" s="1460"/>
      <c r="AW182" s="1460"/>
      <c r="AX182" s="1460"/>
      <c r="AY182" s="1460"/>
      <c r="AZ182" s="1460"/>
      <c r="BA182" s="1460"/>
      <c r="BB182" s="1460"/>
      <c r="BC182" s="1460"/>
      <c r="BD182" s="1460"/>
      <c r="BE182" s="1463"/>
      <c r="BF182" s="1460"/>
      <c r="BG182" s="1460"/>
      <c r="BH182" s="1460"/>
      <c r="BI182" s="1460"/>
      <c r="BJ182" s="1460"/>
      <c r="BK182" s="1460"/>
      <c r="BL182" s="1460"/>
      <c r="BM182" s="1460"/>
      <c r="BN182" s="1460"/>
      <c r="BO182" s="1460"/>
      <c r="BP182" s="1460"/>
      <c r="BQ182" s="1460"/>
      <c r="BR182" s="1460"/>
      <c r="BS182" s="1460"/>
      <c r="BT182" s="1460"/>
      <c r="BU182" s="1460"/>
      <c r="BV182" s="1460"/>
      <c r="BW182" s="1460"/>
      <c r="BX182" s="1460"/>
      <c r="BY182" s="1460"/>
      <c r="BZ182" s="1460"/>
      <c r="CA182" s="1460"/>
      <c r="CB182" s="1464">
        <f t="shared" si="19"/>
        <v>0</v>
      </c>
      <c r="CC182" s="1464">
        <f t="shared" si="20"/>
        <v>0</v>
      </c>
      <c r="CD182" s="1460"/>
      <c r="CE182" s="1460"/>
      <c r="CF182" s="1460"/>
      <c r="CG182" s="1460"/>
      <c r="CH182" s="1460"/>
      <c r="CI182" s="1460"/>
      <c r="CJ182" s="1460"/>
      <c r="CK182" s="1460"/>
      <c r="CL182" s="1460"/>
      <c r="CM182" s="1460"/>
      <c r="CN182" s="1460"/>
      <c r="CO182" s="1460"/>
      <c r="CP182" s="1460"/>
      <c r="CQ182" s="1460"/>
      <c r="CR182" s="1460"/>
      <c r="CS182" s="1460"/>
      <c r="CT182" s="1460"/>
      <c r="CU182" s="1460"/>
      <c r="CV182" s="1460"/>
      <c r="CW182" s="1460"/>
      <c r="CX182" s="1460"/>
      <c r="CY182" s="1460"/>
      <c r="CZ182" s="1460"/>
      <c r="DA182" s="1460"/>
      <c r="DB182" s="1460"/>
      <c r="DC182" s="1460"/>
      <c r="DD182" s="1460"/>
      <c r="DE182" s="1460"/>
      <c r="DF182" s="1460"/>
      <c r="DG182" s="1460"/>
      <c r="DH182" s="1460"/>
      <c r="DI182" s="1460"/>
      <c r="DJ182" s="1460"/>
      <c r="DK182" s="1460"/>
      <c r="DL182" s="1460"/>
      <c r="DM182" s="1460"/>
      <c r="DN182" s="1460"/>
      <c r="DO182" s="1460"/>
      <c r="DP182" s="1460"/>
      <c r="DQ182" s="1460"/>
      <c r="DR182" s="1460"/>
      <c r="DS182" s="1460"/>
      <c r="DT182" s="1460"/>
      <c r="DU182" s="1460"/>
      <c r="DV182" s="1460"/>
      <c r="DW182" s="1460"/>
      <c r="DX182" s="1460"/>
      <c r="DY182" s="1460"/>
      <c r="DZ182" s="1460"/>
      <c r="EA182" s="1460"/>
      <c r="EB182" s="1460"/>
      <c r="EC182" s="1460"/>
      <c r="ED182" s="1460"/>
      <c r="EE182" s="1460"/>
      <c r="EF182" s="1460"/>
      <c r="EG182" s="1460"/>
      <c r="EH182" s="1460"/>
      <c r="EI182" s="1460"/>
      <c r="EJ182" s="1460"/>
      <c r="EK182" s="1460"/>
      <c r="EL182" s="1460"/>
      <c r="EM182" s="1460"/>
      <c r="EN182" s="1460"/>
      <c r="EO182" s="1460"/>
      <c r="EP182" s="1460"/>
      <c r="EQ182" s="1460"/>
      <c r="ER182" s="1460"/>
      <c r="ES182" s="1460"/>
      <c r="ET182" s="1460"/>
      <c r="EU182" s="1460"/>
      <c r="EV182" s="1460"/>
      <c r="EW182" s="1460"/>
      <c r="EX182" s="1460"/>
    </row>
    <row r="183" spans="3:154" ht="63.95" customHeight="1" x14ac:dyDescent="0.2">
      <c r="C183" s="1156" t="s">
        <v>5478</v>
      </c>
      <c r="D183" s="1156" t="s">
        <v>5277</v>
      </c>
      <c r="E183" s="738" t="s">
        <v>360</v>
      </c>
      <c r="F183" s="738" t="s">
        <v>445</v>
      </c>
      <c r="G183" s="738"/>
      <c r="H183" s="1280" t="s">
        <v>1337</v>
      </c>
      <c r="I183" s="1279" t="s">
        <v>465</v>
      </c>
      <c r="J183" s="1283">
        <v>2020</v>
      </c>
      <c r="K183" s="1101">
        <v>43810</v>
      </c>
      <c r="L183" s="1101">
        <v>44196</v>
      </c>
      <c r="M183" s="1369">
        <f t="shared" si="21"/>
        <v>386</v>
      </c>
      <c r="N183" s="1280" t="s">
        <v>1338</v>
      </c>
      <c r="O183" s="1280" t="s">
        <v>1339</v>
      </c>
      <c r="P183" s="1441" t="s">
        <v>1340</v>
      </c>
      <c r="Q183" s="1279" t="s">
        <v>465</v>
      </c>
      <c r="R183" s="1279" t="s">
        <v>465</v>
      </c>
      <c r="S183" s="1279" t="s">
        <v>465</v>
      </c>
      <c r="T183" s="1279" t="s">
        <v>465</v>
      </c>
      <c r="U183" s="1279" t="s">
        <v>465</v>
      </c>
      <c r="V183" s="1279" t="s">
        <v>465</v>
      </c>
      <c r="W183" s="1279" t="s">
        <v>465</v>
      </c>
      <c r="X183" s="1279" t="s">
        <v>465</v>
      </c>
      <c r="Y183" s="1279"/>
      <c r="Z183" s="1279"/>
      <c r="AA183" s="1280" t="s">
        <v>1341</v>
      </c>
      <c r="AB183" s="1280" t="s">
        <v>1341</v>
      </c>
      <c r="AC183" s="1280" t="s">
        <v>622</v>
      </c>
      <c r="AD183" s="1280" t="s">
        <v>1342</v>
      </c>
      <c r="AE183" s="1285">
        <v>55.11</v>
      </c>
      <c r="AF183" s="671">
        <f t="shared" si="17"/>
        <v>55.110400000000006</v>
      </c>
      <c r="AG183" s="671">
        <f t="shared" si="18"/>
        <v>4.000000000061732E-4</v>
      </c>
      <c r="AH183" s="1285">
        <v>33.953400000000002</v>
      </c>
      <c r="AI183" s="1281">
        <f>AH183/AE183</f>
        <v>0.61610234077299952</v>
      </c>
      <c r="AJ183" s="1281">
        <v>2.0000000000000001E-4</v>
      </c>
      <c r="AK183" s="1285">
        <v>11.566000000000001</v>
      </c>
      <c r="AL183" s="1281">
        <f>AK183/AE183</f>
        <v>0.20987116675739431</v>
      </c>
      <c r="AM183" s="1281"/>
      <c r="AN183" s="1285">
        <v>1.4999999999999999E-2</v>
      </c>
      <c r="AO183" s="1281">
        <f>AN183/AE183</f>
        <v>2.7218290691344581E-4</v>
      </c>
      <c r="AP183" s="1285">
        <v>0</v>
      </c>
      <c r="AQ183" s="1281">
        <v>0</v>
      </c>
      <c r="AR183" s="1285">
        <v>9.5760000000000005</v>
      </c>
      <c r="AS183" s="1281">
        <f>AR183/AE183</f>
        <v>0.17376156777354385</v>
      </c>
      <c r="AT183" s="1280" t="s">
        <v>1343</v>
      </c>
      <c r="AU183" s="1280" t="s">
        <v>825</v>
      </c>
      <c r="AV183" s="1280" t="s">
        <v>1341</v>
      </c>
      <c r="AW183" s="1279" t="s">
        <v>500</v>
      </c>
      <c r="AX183" s="1280" t="s">
        <v>1344</v>
      </c>
      <c r="AY183" s="1282">
        <v>13.247999999999999</v>
      </c>
      <c r="AZ183" s="1281">
        <f>AY183/AE183</f>
        <v>0.24039194338595535</v>
      </c>
      <c r="BA183" s="1282">
        <v>3.6110669999999998</v>
      </c>
      <c r="BB183" s="1442">
        <f>BA183/179524.2</f>
        <v>2.0114653066271841E-5</v>
      </c>
      <c r="BC183" s="1289">
        <v>0</v>
      </c>
      <c r="BD183" s="1289">
        <v>34</v>
      </c>
      <c r="BE183" s="1288">
        <v>34</v>
      </c>
      <c r="BF183" s="1289">
        <v>1</v>
      </c>
      <c r="BG183" s="1289">
        <v>4</v>
      </c>
      <c r="BH183" s="1289">
        <v>4</v>
      </c>
      <c r="BI183" s="1289">
        <v>0</v>
      </c>
      <c r="BJ183" s="1289">
        <v>0</v>
      </c>
      <c r="BK183" s="1289">
        <v>0</v>
      </c>
      <c r="BL183" s="1289">
        <v>0</v>
      </c>
      <c r="BM183" s="1289">
        <v>0</v>
      </c>
      <c r="BN183" s="1289">
        <v>0</v>
      </c>
      <c r="BO183" s="1289">
        <v>0</v>
      </c>
      <c r="BP183" s="1289">
        <v>32</v>
      </c>
      <c r="BQ183" s="1289">
        <v>0</v>
      </c>
      <c r="BR183" s="1289">
        <v>0</v>
      </c>
      <c r="BS183" s="1289">
        <v>0</v>
      </c>
      <c r="BT183" s="1289">
        <v>0</v>
      </c>
      <c r="BU183" s="1289">
        <v>0</v>
      </c>
      <c r="BV183" s="1289">
        <v>0</v>
      </c>
      <c r="BW183" s="1289">
        <v>0</v>
      </c>
      <c r="BX183" s="1289">
        <v>0</v>
      </c>
      <c r="BY183" s="1289">
        <v>0</v>
      </c>
      <c r="BZ183" s="1289">
        <v>0</v>
      </c>
      <c r="CA183" s="1290">
        <f t="shared" ref="CA183:CA224" si="24">SUM(BF183:BZ183)</f>
        <v>41</v>
      </c>
      <c r="CB183" s="717">
        <f t="shared" si="19"/>
        <v>41</v>
      </c>
      <c r="CC183" s="717">
        <f t="shared" si="20"/>
        <v>0</v>
      </c>
      <c r="CD183" s="1282">
        <v>78.328000000000003</v>
      </c>
      <c r="CE183" s="1282" t="s">
        <v>1345</v>
      </c>
      <c r="CF183" s="1282"/>
      <c r="CG183" s="1281">
        <f>CD183/CH183</f>
        <v>5.0947824141286423E-2</v>
      </c>
      <c r="CH183" s="1282">
        <v>1537.4159999999999</v>
      </c>
      <c r="CI183" s="710" t="s">
        <v>1346</v>
      </c>
      <c r="CJ183" s="1279" t="s">
        <v>504</v>
      </c>
      <c r="CK183" s="1279" t="s">
        <v>465</v>
      </c>
      <c r="CL183" s="1279" t="s">
        <v>465</v>
      </c>
      <c r="CM183" s="1289" t="s">
        <v>465</v>
      </c>
      <c r="CN183" s="1289" t="s">
        <v>465</v>
      </c>
      <c r="CO183" s="1289">
        <v>1</v>
      </c>
      <c r="CP183" s="1279" t="s">
        <v>504</v>
      </c>
      <c r="CQ183" s="1279" t="s">
        <v>465</v>
      </c>
      <c r="CR183" s="1289" t="s">
        <v>465</v>
      </c>
      <c r="CS183" s="1289" t="s">
        <v>500</v>
      </c>
      <c r="CT183" s="1289" t="s">
        <v>1347</v>
      </c>
      <c r="CU183" s="1289">
        <v>555</v>
      </c>
      <c r="CV183" s="1289" t="s">
        <v>504</v>
      </c>
      <c r="CW183" s="1289" t="s">
        <v>465</v>
      </c>
      <c r="CX183" s="1289" t="s">
        <v>465</v>
      </c>
      <c r="CY183" s="1289" t="s">
        <v>504</v>
      </c>
      <c r="CZ183" s="1289" t="s">
        <v>465</v>
      </c>
      <c r="DA183" s="1289" t="s">
        <v>465</v>
      </c>
      <c r="DB183" s="1279" t="s">
        <v>504</v>
      </c>
      <c r="DC183" s="1279" t="s">
        <v>465</v>
      </c>
      <c r="DD183" s="1289" t="s">
        <v>465</v>
      </c>
      <c r="DE183" s="1279" t="s">
        <v>504</v>
      </c>
      <c r="DF183" s="1279" t="s">
        <v>465</v>
      </c>
      <c r="DG183" s="1289" t="s">
        <v>465</v>
      </c>
      <c r="DH183" s="1279" t="s">
        <v>504</v>
      </c>
      <c r="DI183" s="1279" t="s">
        <v>465</v>
      </c>
      <c r="DJ183" s="1289" t="s">
        <v>465</v>
      </c>
      <c r="DK183" s="1279" t="s">
        <v>504</v>
      </c>
      <c r="DL183" s="1279" t="s">
        <v>465</v>
      </c>
      <c r="DM183" s="1289" t="s">
        <v>465</v>
      </c>
      <c r="DN183" s="1279" t="s">
        <v>504</v>
      </c>
      <c r="DO183" s="1279" t="s">
        <v>465</v>
      </c>
      <c r="DP183" s="1289" t="s">
        <v>465</v>
      </c>
      <c r="DQ183" s="1279" t="s">
        <v>504</v>
      </c>
      <c r="DR183" s="1279" t="s">
        <v>465</v>
      </c>
      <c r="DS183" s="1289" t="s">
        <v>465</v>
      </c>
      <c r="DT183" s="1289" t="s">
        <v>504</v>
      </c>
      <c r="DU183" s="1289" t="s">
        <v>465</v>
      </c>
      <c r="DV183" s="1289" t="s">
        <v>465</v>
      </c>
      <c r="DW183" s="1279" t="s">
        <v>504</v>
      </c>
      <c r="DX183" s="1279" t="s">
        <v>465</v>
      </c>
      <c r="DY183" s="1289" t="s">
        <v>465</v>
      </c>
      <c r="DZ183" s="1279" t="s">
        <v>504</v>
      </c>
      <c r="EA183" s="1279" t="s">
        <v>465</v>
      </c>
      <c r="EB183" s="1289" t="s">
        <v>465</v>
      </c>
      <c r="EC183" s="1279" t="s">
        <v>500</v>
      </c>
      <c r="ED183" s="1279" t="s">
        <v>1348</v>
      </c>
      <c r="EE183" s="1289">
        <v>5</v>
      </c>
      <c r="EF183" s="1289" t="s">
        <v>504</v>
      </c>
      <c r="EG183" s="1289" t="s">
        <v>465</v>
      </c>
      <c r="EH183" s="1289" t="s">
        <v>465</v>
      </c>
      <c r="EI183" s="1279" t="s">
        <v>504</v>
      </c>
      <c r="EJ183" s="1279" t="s">
        <v>465</v>
      </c>
      <c r="EK183" s="1289" t="s">
        <v>465</v>
      </c>
      <c r="EL183" s="1279" t="s">
        <v>1349</v>
      </c>
      <c r="EM183" s="1279" t="s">
        <v>2565</v>
      </c>
      <c r="EN183" s="1289">
        <v>34</v>
      </c>
      <c r="EO183" s="1279" t="s">
        <v>504</v>
      </c>
      <c r="EP183" s="1279" t="s">
        <v>465</v>
      </c>
      <c r="EQ183" s="1279" t="s">
        <v>465</v>
      </c>
      <c r="ER183" s="1279" t="s">
        <v>465</v>
      </c>
      <c r="ES183" s="1279" t="s">
        <v>465</v>
      </c>
      <c r="ET183" s="1279" t="s">
        <v>465</v>
      </c>
      <c r="EU183" s="1279" t="s">
        <v>465</v>
      </c>
      <c r="EV183" s="1279" t="s">
        <v>465</v>
      </c>
      <c r="EW183" s="1279" t="s">
        <v>465</v>
      </c>
      <c r="EX183" s="1279" t="s">
        <v>465</v>
      </c>
    </row>
    <row r="184" spans="3:154" ht="48" customHeight="1" x14ac:dyDescent="0.2">
      <c r="C184" s="1156" t="s">
        <v>5479</v>
      </c>
      <c r="D184" s="1156" t="s">
        <v>5277</v>
      </c>
      <c r="E184" s="738" t="s">
        <v>360</v>
      </c>
      <c r="F184" s="738" t="s">
        <v>445</v>
      </c>
      <c r="G184" s="738"/>
      <c r="H184" s="1296" t="s">
        <v>867</v>
      </c>
      <c r="I184" s="1296" t="s">
        <v>465</v>
      </c>
      <c r="J184" s="1297">
        <v>2019</v>
      </c>
      <c r="K184" s="1102">
        <v>43831</v>
      </c>
      <c r="L184" s="1102">
        <v>44196</v>
      </c>
      <c r="M184" s="1369">
        <f t="shared" si="21"/>
        <v>365</v>
      </c>
      <c r="N184" s="1296" t="s">
        <v>1350</v>
      </c>
      <c r="O184" s="1296" t="s">
        <v>1351</v>
      </c>
      <c r="P184" s="1298" t="s">
        <v>1352</v>
      </c>
      <c r="Q184" s="1296" t="s">
        <v>465</v>
      </c>
      <c r="R184" s="1296" t="s">
        <v>465</v>
      </c>
      <c r="S184" s="1296" t="s">
        <v>465</v>
      </c>
      <c r="T184" s="1296" t="s">
        <v>465</v>
      </c>
      <c r="U184" s="1296" t="s">
        <v>465</v>
      </c>
      <c r="V184" s="1296" t="s">
        <v>465</v>
      </c>
      <c r="W184" s="1296" t="s">
        <v>1353</v>
      </c>
      <c r="X184" s="1296" t="s">
        <v>1354</v>
      </c>
      <c r="Y184" s="1296"/>
      <c r="Z184" s="1296"/>
      <c r="AA184" s="1296" t="s">
        <v>1355</v>
      </c>
      <c r="AB184" s="1296" t="s">
        <v>1355</v>
      </c>
      <c r="AC184" s="1296" t="s">
        <v>519</v>
      </c>
      <c r="AD184" s="1296" t="s">
        <v>1356</v>
      </c>
      <c r="AE184" s="1299">
        <v>425.51100000000002</v>
      </c>
      <c r="AF184" s="671">
        <f t="shared" si="17"/>
        <v>425.51339999999999</v>
      </c>
      <c r="AG184" s="671">
        <f t="shared" si="18"/>
        <v>2.3999999999659849E-3</v>
      </c>
      <c r="AH184" s="1299">
        <v>310.6234</v>
      </c>
      <c r="AI184" s="1300">
        <v>0.73</v>
      </c>
      <c r="AJ184" s="1300">
        <v>1.5E-3</v>
      </c>
      <c r="AK184" s="1299">
        <v>0</v>
      </c>
      <c r="AL184" s="1300">
        <v>0</v>
      </c>
      <c r="AM184" s="1300"/>
      <c r="AN184" s="1299">
        <v>0</v>
      </c>
      <c r="AO184" s="1300">
        <v>0</v>
      </c>
      <c r="AP184" s="1299">
        <v>0</v>
      </c>
      <c r="AQ184" s="1300">
        <v>0</v>
      </c>
      <c r="AR184" s="1299">
        <v>114.89</v>
      </c>
      <c r="AS184" s="1300">
        <v>0.27</v>
      </c>
      <c r="AT184" s="1296" t="s">
        <v>862</v>
      </c>
      <c r="AU184" s="1296" t="s">
        <v>946</v>
      </c>
      <c r="AV184" s="1296" t="s">
        <v>1355</v>
      </c>
      <c r="AW184" s="1296" t="s">
        <v>504</v>
      </c>
      <c r="AX184" s="1296" t="s">
        <v>465</v>
      </c>
      <c r="AY184" s="1296">
        <v>0</v>
      </c>
      <c r="AZ184" s="1300">
        <v>0</v>
      </c>
      <c r="BA184" s="1299">
        <v>300.10899999999998</v>
      </c>
      <c r="BB184" s="1300">
        <v>1.6999999999999999E-3</v>
      </c>
      <c r="BC184" s="1301">
        <v>0</v>
      </c>
      <c r="BD184" s="1301">
        <v>0</v>
      </c>
      <c r="BE184" s="1302">
        <v>0</v>
      </c>
      <c r="BF184" s="1301">
        <v>0</v>
      </c>
      <c r="BG184" s="1301">
        <v>0</v>
      </c>
      <c r="BH184" s="1301">
        <v>0</v>
      </c>
      <c r="BI184" s="1301">
        <v>0</v>
      </c>
      <c r="BJ184" s="1301">
        <v>0</v>
      </c>
      <c r="BK184" s="1301">
        <v>0</v>
      </c>
      <c r="BL184" s="1301">
        <v>0</v>
      </c>
      <c r="BM184" s="1301">
        <v>0</v>
      </c>
      <c r="BN184" s="1301">
        <v>0</v>
      </c>
      <c r="BO184" s="1301">
        <v>27</v>
      </c>
      <c r="BP184" s="1301">
        <v>0</v>
      </c>
      <c r="BQ184" s="1301">
        <v>4</v>
      </c>
      <c r="BR184" s="1301">
        <v>0</v>
      </c>
      <c r="BS184" s="1301">
        <v>0</v>
      </c>
      <c r="BT184" s="1301">
        <v>0</v>
      </c>
      <c r="BU184" s="1301">
        <v>0</v>
      </c>
      <c r="BV184" s="1301">
        <v>0</v>
      </c>
      <c r="BW184" s="1301">
        <v>0</v>
      </c>
      <c r="BX184" s="1301">
        <v>0</v>
      </c>
      <c r="BY184" s="1301">
        <v>0</v>
      </c>
      <c r="BZ184" s="1301">
        <v>0</v>
      </c>
      <c r="CA184" s="1303">
        <f t="shared" si="24"/>
        <v>31</v>
      </c>
      <c r="CB184" s="717">
        <f t="shared" si="19"/>
        <v>31</v>
      </c>
      <c r="CC184" s="717">
        <f t="shared" si="20"/>
        <v>0</v>
      </c>
      <c r="CD184" s="1296">
        <v>53.752000000000002</v>
      </c>
      <c r="CE184" s="1296" t="s">
        <v>1357</v>
      </c>
      <c r="CF184" s="1296" t="s">
        <v>465</v>
      </c>
      <c r="CG184" s="1304">
        <f>CD184/CH184</f>
        <v>3.4962560556153967E-2</v>
      </c>
      <c r="CH184" s="1305">
        <v>1537.4159999999999</v>
      </c>
      <c r="CI184" s="1301" t="s">
        <v>1346</v>
      </c>
      <c r="CJ184" s="1296" t="s">
        <v>504</v>
      </c>
      <c r="CK184" s="1296" t="s">
        <v>465</v>
      </c>
      <c r="CL184" s="1296" t="s">
        <v>465</v>
      </c>
      <c r="CM184" s="1301">
        <v>0</v>
      </c>
      <c r="CN184" s="1301">
        <v>293</v>
      </c>
      <c r="CO184" s="1301">
        <v>4</v>
      </c>
      <c r="CP184" s="1296" t="s">
        <v>504</v>
      </c>
      <c r="CQ184" s="1296" t="s">
        <v>465</v>
      </c>
      <c r="CR184" s="1301" t="s">
        <v>465</v>
      </c>
      <c r="CS184" s="1296" t="s">
        <v>504</v>
      </c>
      <c r="CT184" s="1296" t="s">
        <v>465</v>
      </c>
      <c r="CU184" s="1301" t="s">
        <v>465</v>
      </c>
      <c r="CV184" s="1301" t="s">
        <v>504</v>
      </c>
      <c r="CW184" s="1301" t="s">
        <v>465</v>
      </c>
      <c r="CX184" s="1301" t="s">
        <v>465</v>
      </c>
      <c r="CY184" s="1301" t="s">
        <v>504</v>
      </c>
      <c r="CZ184" s="1301" t="s">
        <v>465</v>
      </c>
      <c r="DA184" s="1301" t="s">
        <v>465</v>
      </c>
      <c r="DB184" s="1296" t="s">
        <v>504</v>
      </c>
      <c r="DC184" s="1296" t="s">
        <v>465</v>
      </c>
      <c r="DD184" s="1301" t="s">
        <v>465</v>
      </c>
      <c r="DE184" s="1296" t="s">
        <v>504</v>
      </c>
      <c r="DF184" s="1296" t="s">
        <v>465</v>
      </c>
      <c r="DG184" s="1301" t="s">
        <v>465</v>
      </c>
      <c r="DH184" s="1296" t="s">
        <v>504</v>
      </c>
      <c r="DI184" s="1296" t="s">
        <v>465</v>
      </c>
      <c r="DJ184" s="1301" t="s">
        <v>465</v>
      </c>
      <c r="DK184" s="1296" t="s">
        <v>504</v>
      </c>
      <c r="DL184" s="1296" t="s">
        <v>465</v>
      </c>
      <c r="DM184" s="1301" t="s">
        <v>465</v>
      </c>
      <c r="DN184" s="1296" t="s">
        <v>500</v>
      </c>
      <c r="DO184" s="1296" t="s">
        <v>1358</v>
      </c>
      <c r="DP184" s="1301">
        <v>1815</v>
      </c>
      <c r="DQ184" s="1296" t="s">
        <v>504</v>
      </c>
      <c r="DR184" s="1296" t="s">
        <v>465</v>
      </c>
      <c r="DS184" s="1301" t="s">
        <v>465</v>
      </c>
      <c r="DT184" s="1301" t="s">
        <v>504</v>
      </c>
      <c r="DU184" s="1301" t="s">
        <v>465</v>
      </c>
      <c r="DV184" s="1301" t="s">
        <v>465</v>
      </c>
      <c r="DW184" s="1296" t="s">
        <v>504</v>
      </c>
      <c r="DX184" s="1296" t="s">
        <v>465</v>
      </c>
      <c r="DY184" s="1301" t="s">
        <v>465</v>
      </c>
      <c r="DZ184" s="1296" t="s">
        <v>504</v>
      </c>
      <c r="EA184" s="1296" t="s">
        <v>465</v>
      </c>
      <c r="EB184" s="1301" t="s">
        <v>465</v>
      </c>
      <c r="EC184" s="1296" t="s">
        <v>504</v>
      </c>
      <c r="ED184" s="1296" t="s">
        <v>465</v>
      </c>
      <c r="EE184" s="1301" t="s">
        <v>465</v>
      </c>
      <c r="EF184" s="1301" t="s">
        <v>504</v>
      </c>
      <c r="EG184" s="1301" t="s">
        <v>465</v>
      </c>
      <c r="EH184" s="1301" t="s">
        <v>465</v>
      </c>
      <c r="EI184" s="1296" t="s">
        <v>504</v>
      </c>
      <c r="EJ184" s="1296" t="s">
        <v>465</v>
      </c>
      <c r="EK184" s="1301" t="s">
        <v>465</v>
      </c>
      <c r="EL184" s="1296" t="s">
        <v>1359</v>
      </c>
      <c r="EM184" s="1296" t="s">
        <v>1360</v>
      </c>
      <c r="EN184" s="1301">
        <v>1</v>
      </c>
      <c r="EO184" s="1296" t="s">
        <v>500</v>
      </c>
      <c r="EP184" s="1296" t="s">
        <v>1361</v>
      </c>
      <c r="EQ184" s="1298" t="s">
        <v>1362</v>
      </c>
      <c r="ER184" s="1298" t="s">
        <v>1363</v>
      </c>
      <c r="ES184" s="1298" t="s">
        <v>1364</v>
      </c>
      <c r="ET184" s="1296" t="s">
        <v>1365</v>
      </c>
      <c r="EU184" s="1296" t="s">
        <v>465</v>
      </c>
      <c r="EV184" s="1296" t="s">
        <v>465</v>
      </c>
      <c r="EW184" s="1296" t="s">
        <v>465</v>
      </c>
      <c r="EX184" s="1296" t="s">
        <v>465</v>
      </c>
    </row>
    <row r="185" spans="3:154" ht="48" customHeight="1" x14ac:dyDescent="0.2">
      <c r="C185" s="1156" t="s">
        <v>693</v>
      </c>
      <c r="D185" s="1156" t="s">
        <v>5278</v>
      </c>
      <c r="E185" s="1104" t="s">
        <v>360</v>
      </c>
      <c r="F185" s="1104" t="s">
        <v>445</v>
      </c>
      <c r="G185" s="1109" t="s">
        <v>3462</v>
      </c>
      <c r="H185" s="1109" t="s">
        <v>3463</v>
      </c>
      <c r="I185" s="1109" t="s">
        <v>1712</v>
      </c>
      <c r="J185" s="1110">
        <v>2020</v>
      </c>
      <c r="K185" s="1105">
        <v>43948</v>
      </c>
      <c r="L185" s="1105">
        <v>44186</v>
      </c>
      <c r="M185" s="1369">
        <f t="shared" si="21"/>
        <v>238</v>
      </c>
      <c r="N185" s="1105"/>
      <c r="O185" s="1105"/>
      <c r="P185" s="1105"/>
      <c r="Q185" s="1105"/>
      <c r="R185" s="1105"/>
      <c r="S185" s="1105"/>
      <c r="T185" s="1105"/>
      <c r="U185" s="1105"/>
      <c r="V185" s="1105"/>
      <c r="W185" s="1105"/>
      <c r="X185" s="1105"/>
      <c r="Y185" s="1109" t="s">
        <v>3464</v>
      </c>
      <c r="Z185" s="1109" t="s">
        <v>3465</v>
      </c>
      <c r="AA185" s="1109" t="s">
        <v>3466</v>
      </c>
      <c r="AB185" s="1109" t="s">
        <v>3467</v>
      </c>
      <c r="AC185" s="1109" t="s">
        <v>3468</v>
      </c>
      <c r="AD185" s="1109" t="s">
        <v>3469</v>
      </c>
      <c r="AE185" s="1112">
        <v>9.5</v>
      </c>
      <c r="AF185" s="1113">
        <f t="shared" si="17"/>
        <v>9.5</v>
      </c>
      <c r="AG185" s="1113">
        <f t="shared" si="18"/>
        <v>0</v>
      </c>
      <c r="AH185" s="1112"/>
      <c r="AI185" s="1138"/>
      <c r="AJ185" s="1138"/>
      <c r="AK185" s="1112">
        <v>9.5</v>
      </c>
      <c r="AL185" s="1126">
        <v>1</v>
      </c>
      <c r="AM185" s="1114">
        <v>2.9999999999999997E-4</v>
      </c>
      <c r="AN185" s="1112"/>
      <c r="AO185" s="1126"/>
      <c r="AP185" s="1112"/>
      <c r="AQ185" s="1126"/>
      <c r="AR185" s="1112"/>
      <c r="AS185" s="1126"/>
      <c r="AT185" s="1126"/>
      <c r="AU185" s="1126"/>
      <c r="AV185" s="1126"/>
      <c r="AW185" s="1114" t="s">
        <v>504</v>
      </c>
      <c r="AX185" s="1114"/>
      <c r="AY185" s="1114"/>
      <c r="AZ185" s="1114"/>
      <c r="BA185" s="1115">
        <v>10</v>
      </c>
      <c r="BB185" s="1114">
        <v>2.9999999999999997E-4</v>
      </c>
      <c r="BC185" s="1115">
        <v>27</v>
      </c>
      <c r="BD185" s="1115">
        <v>14</v>
      </c>
      <c r="BE185" s="1116">
        <v>10</v>
      </c>
      <c r="BF185" s="1115"/>
      <c r="BG185" s="1115">
        <v>1</v>
      </c>
      <c r="BH185" s="1115"/>
      <c r="BI185" s="1115"/>
      <c r="BJ185" s="1115"/>
      <c r="BK185" s="1115"/>
      <c r="BL185" s="1115"/>
      <c r="BM185" s="1115"/>
      <c r="BN185" s="1115">
        <v>2</v>
      </c>
      <c r="BO185" s="1115"/>
      <c r="BP185" s="1115">
        <v>4</v>
      </c>
      <c r="BQ185" s="1115">
        <v>2</v>
      </c>
      <c r="BR185" s="1115"/>
      <c r="BS185" s="1115"/>
      <c r="BT185" s="1115"/>
      <c r="BU185" s="1115"/>
      <c r="BV185" s="1115"/>
      <c r="BW185" s="1115"/>
      <c r="BX185" s="1115"/>
      <c r="BY185" s="1115"/>
      <c r="BZ185" s="1115">
        <v>1</v>
      </c>
      <c r="CA185" s="1117">
        <f t="shared" si="24"/>
        <v>10</v>
      </c>
      <c r="CB185" s="1117">
        <f t="shared" si="19"/>
        <v>10</v>
      </c>
      <c r="CC185" s="1117">
        <f t="shared" si="20"/>
        <v>0</v>
      </c>
      <c r="CD185" s="1113" t="s">
        <v>3470</v>
      </c>
      <c r="CE185" s="1109" t="s">
        <v>3471</v>
      </c>
      <c r="CF185" s="1109"/>
      <c r="CG185" s="1109" t="s">
        <v>3472</v>
      </c>
      <c r="CH185" s="1113">
        <v>807.27099999999996</v>
      </c>
      <c r="CI185" s="1139" t="s">
        <v>3473</v>
      </c>
      <c r="CJ185" s="1109" t="s">
        <v>504</v>
      </c>
      <c r="CK185" s="1109"/>
      <c r="CL185" s="1109"/>
      <c r="CM185" s="1115"/>
      <c r="CN185" s="1115"/>
      <c r="CO185" s="1115">
        <v>2</v>
      </c>
      <c r="CP185" s="1109" t="s">
        <v>504</v>
      </c>
      <c r="CQ185" s="1109"/>
      <c r="CR185" s="1115"/>
      <c r="CS185" s="1109" t="s">
        <v>500</v>
      </c>
      <c r="CT185" s="1109"/>
      <c r="CU185" s="1115"/>
      <c r="CV185" s="1115" t="s">
        <v>500</v>
      </c>
      <c r="CW185" s="1115"/>
      <c r="CX185" s="1115"/>
      <c r="CY185" s="1115" t="s">
        <v>504</v>
      </c>
      <c r="CZ185" s="1115"/>
      <c r="DA185" s="1115"/>
      <c r="DB185" s="1109" t="s">
        <v>504</v>
      </c>
      <c r="DC185" s="1109"/>
      <c r="DD185" s="1115"/>
      <c r="DE185" s="1109" t="s">
        <v>500</v>
      </c>
      <c r="DF185" s="1109" t="s">
        <v>3474</v>
      </c>
      <c r="DG185" s="1115">
        <v>20</v>
      </c>
      <c r="DH185" s="1109" t="s">
        <v>504</v>
      </c>
      <c r="DI185" s="1109"/>
      <c r="DJ185" s="1115"/>
      <c r="DK185" s="1109" t="s">
        <v>500</v>
      </c>
      <c r="DL185" s="1109" t="s">
        <v>3475</v>
      </c>
      <c r="DM185" s="1115">
        <v>7</v>
      </c>
      <c r="DN185" s="1109" t="s">
        <v>500</v>
      </c>
      <c r="DO185" s="1109" t="s">
        <v>3476</v>
      </c>
      <c r="DP185" s="1115">
        <v>6615</v>
      </c>
      <c r="DQ185" s="1109" t="s">
        <v>504</v>
      </c>
      <c r="DR185" s="1109"/>
      <c r="DS185" s="1115"/>
      <c r="DT185" s="1115" t="s">
        <v>504</v>
      </c>
      <c r="DU185" s="1115"/>
      <c r="DV185" s="1115"/>
      <c r="DW185" s="1109" t="s">
        <v>504</v>
      </c>
      <c r="DX185" s="1109"/>
      <c r="DY185" s="1115"/>
      <c r="DZ185" s="1109" t="s">
        <v>504</v>
      </c>
      <c r="EA185" s="1109"/>
      <c r="EB185" s="1115"/>
      <c r="EC185" s="1109" t="s">
        <v>504</v>
      </c>
      <c r="ED185" s="1109"/>
      <c r="EE185" s="1115"/>
      <c r="EF185" s="1109" t="s">
        <v>504</v>
      </c>
      <c r="EG185" s="1109"/>
      <c r="EH185" s="1115"/>
      <c r="EI185" s="1109" t="s">
        <v>504</v>
      </c>
      <c r="EJ185" s="1109"/>
      <c r="EK185" s="1115"/>
      <c r="EL185" s="1115"/>
      <c r="EM185" s="1115"/>
      <c r="EN185" s="1115"/>
      <c r="EO185" s="1109" t="s">
        <v>504</v>
      </c>
      <c r="EP185" s="1109"/>
      <c r="EQ185" s="1109"/>
      <c r="ER185" s="1109" t="s">
        <v>3477</v>
      </c>
      <c r="ES185" s="1127" t="s">
        <v>3478</v>
      </c>
      <c r="ET185" s="1109" t="s">
        <v>3479</v>
      </c>
      <c r="EU185" s="1109" t="s">
        <v>504</v>
      </c>
      <c r="EV185" s="1109" t="s">
        <v>3480</v>
      </c>
      <c r="EW185" s="1109">
        <v>1</v>
      </c>
      <c r="EX185" s="1109">
        <v>130</v>
      </c>
    </row>
    <row r="186" spans="3:154" ht="48" customHeight="1" x14ac:dyDescent="0.2">
      <c r="C186" s="1156" t="s">
        <v>5480</v>
      </c>
      <c r="D186" s="1156" t="s">
        <v>5278</v>
      </c>
      <c r="E186" s="1104" t="s">
        <v>360</v>
      </c>
      <c r="F186" s="1104" t="s">
        <v>445</v>
      </c>
      <c r="G186" s="1104" t="s">
        <v>3481</v>
      </c>
      <c r="H186" s="1104" t="s">
        <v>3482</v>
      </c>
      <c r="I186" s="1104" t="s">
        <v>3483</v>
      </c>
      <c r="J186" s="1122">
        <v>2018</v>
      </c>
      <c r="K186" s="1125">
        <v>43507</v>
      </c>
      <c r="L186" s="1125">
        <v>44196</v>
      </c>
      <c r="M186" s="1369">
        <f t="shared" si="21"/>
        <v>689</v>
      </c>
      <c r="N186" s="1125"/>
      <c r="O186" s="1125"/>
      <c r="P186" s="1125"/>
      <c r="Q186" s="1125"/>
      <c r="R186" s="1125"/>
      <c r="S186" s="1125"/>
      <c r="T186" s="1125"/>
      <c r="U186" s="1125"/>
      <c r="V186" s="1125"/>
      <c r="W186" s="1125"/>
      <c r="X186" s="1125"/>
      <c r="Y186" s="1104" t="s">
        <v>3484</v>
      </c>
      <c r="Z186" s="1127" t="s">
        <v>3485</v>
      </c>
      <c r="AA186" s="1104" t="s">
        <v>3486</v>
      </c>
      <c r="AB186" s="1104" t="s">
        <v>3486</v>
      </c>
      <c r="AC186" s="1104" t="s">
        <v>671</v>
      </c>
      <c r="AD186" s="1104" t="s">
        <v>3486</v>
      </c>
      <c r="AE186" s="1178">
        <v>18.672999999999998</v>
      </c>
      <c r="AF186" s="1113">
        <f t="shared" si="17"/>
        <v>18.672999999999998</v>
      </c>
      <c r="AG186" s="1113">
        <f t="shared" si="18"/>
        <v>0</v>
      </c>
      <c r="AH186" s="1178"/>
      <c r="AI186" s="1182"/>
      <c r="AJ186" s="1182"/>
      <c r="AK186" s="1178">
        <v>18.672999999999998</v>
      </c>
      <c r="AL186" s="1306">
        <v>1</v>
      </c>
      <c r="AM186" s="1114">
        <v>6.1999999999999998E-3</v>
      </c>
      <c r="AN186" s="1112"/>
      <c r="AO186" s="1114"/>
      <c r="AP186" s="1112"/>
      <c r="AQ186" s="1114"/>
      <c r="AR186" s="1112"/>
      <c r="AS186" s="1114"/>
      <c r="AT186" s="1114"/>
      <c r="AU186" s="1114"/>
      <c r="AV186" s="1114"/>
      <c r="AW186" s="1114" t="s">
        <v>504</v>
      </c>
      <c r="AX186" s="1114"/>
      <c r="AY186" s="1114"/>
      <c r="AZ186" s="1114"/>
      <c r="BA186" s="1113">
        <v>21.327000000000002</v>
      </c>
      <c r="BB186" s="1114">
        <v>7.7000000000000002E-3</v>
      </c>
      <c r="BC186" s="1115"/>
      <c r="BD186" s="1115"/>
      <c r="BE186" s="1116"/>
      <c r="BF186" s="1115"/>
      <c r="BG186" s="1115"/>
      <c r="BH186" s="1115"/>
      <c r="BI186" s="1115"/>
      <c r="BJ186" s="1115"/>
      <c r="BK186" s="1115"/>
      <c r="BL186" s="1115"/>
      <c r="BM186" s="1115"/>
      <c r="BN186" s="1115"/>
      <c r="BO186" s="1115">
        <v>5</v>
      </c>
      <c r="BP186" s="1115"/>
      <c r="BQ186" s="1115"/>
      <c r="BR186" s="1115"/>
      <c r="BS186" s="1115"/>
      <c r="BT186" s="1115"/>
      <c r="BU186" s="1115"/>
      <c r="BV186" s="1115"/>
      <c r="BW186" s="1115"/>
      <c r="BX186" s="1115"/>
      <c r="BY186" s="1115"/>
      <c r="BZ186" s="1115"/>
      <c r="CA186" s="1117">
        <f t="shared" si="24"/>
        <v>5</v>
      </c>
      <c r="CB186" s="1117">
        <f t="shared" si="19"/>
        <v>5</v>
      </c>
      <c r="CC186" s="1117">
        <f t="shared" si="20"/>
        <v>0</v>
      </c>
      <c r="CD186" s="1113">
        <v>1.754</v>
      </c>
      <c r="CE186" s="1104" t="s">
        <v>3487</v>
      </c>
      <c r="CF186" s="1109"/>
      <c r="CG186" s="1114">
        <f>CD186/CH186</f>
        <v>2.7230105256621232E-2</v>
      </c>
      <c r="CH186" s="1113">
        <v>64.414000000000001</v>
      </c>
      <c r="CI186" s="1139" t="s">
        <v>3488</v>
      </c>
      <c r="CJ186" s="1109" t="s">
        <v>504</v>
      </c>
      <c r="CK186" s="1109"/>
      <c r="CL186" s="1109"/>
      <c r="CM186" s="1115"/>
      <c r="CN186" s="1115"/>
      <c r="CO186" s="1115">
        <v>4</v>
      </c>
      <c r="CP186" s="1109" t="s">
        <v>504</v>
      </c>
      <c r="CQ186" s="1109"/>
      <c r="CR186" s="1115"/>
      <c r="CS186" s="1104" t="s">
        <v>500</v>
      </c>
      <c r="CT186" s="1109" t="s">
        <v>3489</v>
      </c>
      <c r="CU186" s="1115">
        <v>1049</v>
      </c>
      <c r="CV186" s="1130" t="s">
        <v>504</v>
      </c>
      <c r="CW186" s="1115"/>
      <c r="CX186" s="1115"/>
      <c r="CY186" s="1115" t="s">
        <v>504</v>
      </c>
      <c r="CZ186" s="1115"/>
      <c r="DA186" s="1115"/>
      <c r="DB186" s="1109" t="s">
        <v>504</v>
      </c>
      <c r="DC186" s="1104"/>
      <c r="DD186" s="1115"/>
      <c r="DE186" s="1109" t="s">
        <v>504</v>
      </c>
      <c r="DF186" s="1109"/>
      <c r="DG186" s="1115"/>
      <c r="DH186" s="1109" t="s">
        <v>504</v>
      </c>
      <c r="DI186" s="1109"/>
      <c r="DJ186" s="1115"/>
      <c r="DK186" s="1109" t="s">
        <v>504</v>
      </c>
      <c r="DL186" s="1109" t="s">
        <v>465</v>
      </c>
      <c r="DM186" s="1115" t="s">
        <v>465</v>
      </c>
      <c r="DN186" s="1109" t="s">
        <v>504</v>
      </c>
      <c r="DO186" s="1109"/>
      <c r="DP186" s="1115"/>
      <c r="DQ186" s="1109" t="s">
        <v>500</v>
      </c>
      <c r="DR186" s="1109" t="s">
        <v>3489</v>
      </c>
      <c r="DS186" s="1115">
        <v>1049</v>
      </c>
      <c r="DT186" s="1115" t="s">
        <v>504</v>
      </c>
      <c r="DU186" s="1115"/>
      <c r="DV186" s="1115"/>
      <c r="DW186" s="1109" t="s">
        <v>504</v>
      </c>
      <c r="DX186" s="1109"/>
      <c r="DY186" s="1115"/>
      <c r="DZ186" s="1109" t="s">
        <v>504</v>
      </c>
      <c r="EA186" s="1109"/>
      <c r="EB186" s="1115"/>
      <c r="EC186" s="1109" t="s">
        <v>504</v>
      </c>
      <c r="ED186" s="1109"/>
      <c r="EE186" s="1115"/>
      <c r="EF186" s="1115" t="s">
        <v>504</v>
      </c>
      <c r="EG186" s="1115"/>
      <c r="EH186" s="1115"/>
      <c r="EI186" s="1109" t="s">
        <v>504</v>
      </c>
      <c r="EJ186" s="1109"/>
      <c r="EK186" s="1115"/>
      <c r="EL186" s="1115"/>
      <c r="EM186" s="1115"/>
      <c r="EN186" s="1115"/>
      <c r="EO186" s="1109" t="s">
        <v>504</v>
      </c>
      <c r="EP186" s="1109"/>
      <c r="EQ186" s="1127" t="s">
        <v>3490</v>
      </c>
      <c r="ER186" s="1109"/>
      <c r="ES186" s="1109"/>
      <c r="ET186" s="1109" t="s">
        <v>465</v>
      </c>
      <c r="EU186" s="1109"/>
      <c r="EV186" s="1109"/>
      <c r="EW186" s="1109" t="s">
        <v>465</v>
      </c>
      <c r="EX186" s="1109" t="s">
        <v>465</v>
      </c>
    </row>
    <row r="187" spans="3:154" ht="75" customHeight="1" x14ac:dyDescent="0.2">
      <c r="C187" s="1156" t="s">
        <v>693</v>
      </c>
      <c r="D187" s="1156" t="s">
        <v>5277</v>
      </c>
      <c r="E187" s="738" t="s">
        <v>361</v>
      </c>
      <c r="F187" s="738" t="s">
        <v>446</v>
      </c>
      <c r="G187" s="738"/>
      <c r="H187" s="738" t="s">
        <v>732</v>
      </c>
      <c r="I187" s="738" t="s">
        <v>733</v>
      </c>
      <c r="J187" s="1165">
        <v>2019</v>
      </c>
      <c r="K187" s="377">
        <v>43676</v>
      </c>
      <c r="L187" s="377">
        <v>44196</v>
      </c>
      <c r="M187" s="1369">
        <f t="shared" si="21"/>
        <v>520</v>
      </c>
      <c r="N187" s="738" t="s">
        <v>734</v>
      </c>
      <c r="O187" s="632" t="s">
        <v>735</v>
      </c>
      <c r="P187" s="632" t="s">
        <v>736</v>
      </c>
      <c r="Q187" s="632"/>
      <c r="R187" s="632"/>
      <c r="S187" s="632"/>
      <c r="T187" s="632"/>
      <c r="U187" s="632"/>
      <c r="V187" s="632"/>
      <c r="W187" s="738" t="s">
        <v>737</v>
      </c>
      <c r="X187" s="728" t="s">
        <v>738</v>
      </c>
      <c r="Y187" s="728"/>
      <c r="Z187" s="728"/>
      <c r="AA187" s="738" t="s">
        <v>739</v>
      </c>
      <c r="AB187" s="738" t="s">
        <v>739</v>
      </c>
      <c r="AC187" s="738" t="s">
        <v>622</v>
      </c>
      <c r="AD187" s="738" t="s">
        <v>740</v>
      </c>
      <c r="AE187" s="702">
        <v>210.57</v>
      </c>
      <c r="AF187" s="671">
        <f t="shared" si="17"/>
        <v>210.57000000000002</v>
      </c>
      <c r="AG187" s="671">
        <f t="shared" si="18"/>
        <v>0</v>
      </c>
      <c r="AH187" s="702">
        <v>143.46</v>
      </c>
      <c r="AI187" s="700">
        <v>68.13</v>
      </c>
      <c r="AJ187" s="700">
        <v>0.19</v>
      </c>
      <c r="AK187" s="702">
        <v>23.77</v>
      </c>
      <c r="AL187" s="700">
        <v>11.29</v>
      </c>
      <c r="AM187" s="700"/>
      <c r="AN187" s="702">
        <v>22.24</v>
      </c>
      <c r="AO187" s="700">
        <v>10.56</v>
      </c>
      <c r="AP187" s="702">
        <v>21.1</v>
      </c>
      <c r="AQ187" s="706">
        <v>10.02</v>
      </c>
      <c r="AR187" s="702"/>
      <c r="AS187" s="683"/>
      <c r="AT187" s="632"/>
      <c r="AU187" s="632"/>
      <c r="AV187" s="632"/>
      <c r="AW187" s="632" t="s">
        <v>741</v>
      </c>
      <c r="AX187" s="632" t="s">
        <v>742</v>
      </c>
      <c r="AY187" s="632"/>
      <c r="AZ187" s="683"/>
      <c r="BA187" s="706">
        <v>180</v>
      </c>
      <c r="BB187" s="683">
        <v>2.3E-3</v>
      </c>
      <c r="BC187" s="710">
        <v>244</v>
      </c>
      <c r="BD187" s="710">
        <v>244</v>
      </c>
      <c r="BE187" s="706">
        <v>244</v>
      </c>
      <c r="BF187" s="710">
        <v>6</v>
      </c>
      <c r="BG187" s="710">
        <v>52</v>
      </c>
      <c r="BH187" s="710">
        <v>15</v>
      </c>
      <c r="BI187" s="710"/>
      <c r="BJ187" s="710"/>
      <c r="BK187" s="710">
        <v>19</v>
      </c>
      <c r="BL187" s="710">
        <v>25</v>
      </c>
      <c r="BM187" s="710">
        <v>14</v>
      </c>
      <c r="BN187" s="710">
        <v>30</v>
      </c>
      <c r="BO187" s="710"/>
      <c r="BP187" s="710">
        <v>41</v>
      </c>
      <c r="BQ187" s="710">
        <v>33</v>
      </c>
      <c r="BR187" s="710">
        <v>8</v>
      </c>
      <c r="BS187" s="710"/>
      <c r="BT187" s="710"/>
      <c r="BU187" s="710"/>
      <c r="BV187" s="710"/>
      <c r="BW187" s="710">
        <v>1</v>
      </c>
      <c r="BX187" s="710"/>
      <c r="BY187" s="710"/>
      <c r="BZ187" s="710"/>
      <c r="CA187" s="717">
        <f t="shared" si="24"/>
        <v>244</v>
      </c>
      <c r="CB187" s="717">
        <f t="shared" si="19"/>
        <v>244</v>
      </c>
      <c r="CC187" s="717">
        <f t="shared" si="20"/>
        <v>0</v>
      </c>
      <c r="CD187" s="670">
        <v>394.7</v>
      </c>
      <c r="CE187" s="632" t="s">
        <v>743</v>
      </c>
      <c r="CF187" s="728" t="s">
        <v>738</v>
      </c>
      <c r="CG187" s="670">
        <v>26.3</v>
      </c>
      <c r="CH187" s="710">
        <v>1501</v>
      </c>
      <c r="CI187" s="1203" t="s">
        <v>744</v>
      </c>
      <c r="CJ187" s="632" t="s">
        <v>500</v>
      </c>
      <c r="CK187" s="632" t="s">
        <v>745</v>
      </c>
      <c r="CL187" s="632" t="s">
        <v>746</v>
      </c>
      <c r="CM187" s="710">
        <v>5</v>
      </c>
      <c r="CN187" s="710"/>
      <c r="CO187" s="710"/>
      <c r="CP187" s="738" t="s">
        <v>500</v>
      </c>
      <c r="CQ187" s="738" t="s">
        <v>747</v>
      </c>
      <c r="CR187" s="710" t="s">
        <v>748</v>
      </c>
      <c r="CS187" s="738" t="s">
        <v>500</v>
      </c>
      <c r="CT187" s="738" t="s">
        <v>749</v>
      </c>
      <c r="CU187" s="822">
        <v>44761</v>
      </c>
      <c r="CV187" s="710" t="s">
        <v>504</v>
      </c>
      <c r="CW187" s="710"/>
      <c r="CX187" s="710"/>
      <c r="CY187" s="710" t="s">
        <v>504</v>
      </c>
      <c r="CZ187" s="710"/>
      <c r="DA187" s="710"/>
      <c r="DB187" s="632" t="s">
        <v>504</v>
      </c>
      <c r="DC187" s="632"/>
      <c r="DD187" s="710"/>
      <c r="DE187" s="632" t="s">
        <v>504</v>
      </c>
      <c r="DF187" s="632"/>
      <c r="DG187" s="710"/>
      <c r="DH187" s="632" t="s">
        <v>504</v>
      </c>
      <c r="DI187" s="632"/>
      <c r="DJ187" s="710"/>
      <c r="DK187" s="632" t="s">
        <v>504</v>
      </c>
      <c r="DL187" s="632"/>
      <c r="DM187" s="710"/>
      <c r="DN187" s="632" t="s">
        <v>504</v>
      </c>
      <c r="DO187" s="632"/>
      <c r="DP187" s="710"/>
      <c r="DQ187" s="632" t="s">
        <v>500</v>
      </c>
      <c r="DR187" s="738" t="s">
        <v>750</v>
      </c>
      <c r="DS187" s="710">
        <v>12984</v>
      </c>
      <c r="DT187" s="710" t="s">
        <v>504</v>
      </c>
      <c r="DU187" s="710"/>
      <c r="DV187" s="710"/>
      <c r="DW187" s="632" t="s">
        <v>504</v>
      </c>
      <c r="DX187" s="632"/>
      <c r="DY187" s="710"/>
      <c r="DZ187" s="632" t="s">
        <v>504</v>
      </c>
      <c r="EA187" s="632"/>
      <c r="EB187" s="710"/>
      <c r="EC187" s="632" t="s">
        <v>504</v>
      </c>
      <c r="ED187" s="632"/>
      <c r="EE187" s="710"/>
      <c r="EF187" s="738" t="s">
        <v>500</v>
      </c>
      <c r="EG187" s="738" t="s">
        <v>751</v>
      </c>
      <c r="EH187" s="822">
        <v>22</v>
      </c>
      <c r="EI187" s="632" t="s">
        <v>504</v>
      </c>
      <c r="EJ187" s="632"/>
      <c r="EK187" s="710"/>
      <c r="EL187" s="688">
        <v>1</v>
      </c>
      <c r="EM187" s="632"/>
      <c r="EN187" s="1177">
        <v>153</v>
      </c>
      <c r="EO187" s="632" t="s">
        <v>504</v>
      </c>
      <c r="EP187" s="738" t="s">
        <v>752</v>
      </c>
      <c r="EQ187" s="632" t="s">
        <v>753</v>
      </c>
      <c r="ER187" s="632" t="s">
        <v>754</v>
      </c>
      <c r="ES187" s="632" t="s">
        <v>755</v>
      </c>
      <c r="ET187" s="632" t="s">
        <v>756</v>
      </c>
      <c r="EU187" s="632" t="s">
        <v>757</v>
      </c>
      <c r="EV187" s="738" t="s">
        <v>758</v>
      </c>
      <c r="EW187" s="632" t="s">
        <v>759</v>
      </c>
      <c r="EX187" s="632" t="s">
        <v>760</v>
      </c>
    </row>
    <row r="188" spans="3:154" ht="54.95" customHeight="1" x14ac:dyDescent="0.2">
      <c r="C188" s="1156" t="s">
        <v>782</v>
      </c>
      <c r="D188" s="1156" t="s">
        <v>5277</v>
      </c>
      <c r="E188" s="738" t="s">
        <v>361</v>
      </c>
      <c r="F188" s="738" t="s">
        <v>446</v>
      </c>
      <c r="G188" s="738"/>
      <c r="H188" s="738" t="s">
        <v>761</v>
      </c>
      <c r="I188" s="738" t="s">
        <v>762</v>
      </c>
      <c r="J188" s="1165">
        <v>2020</v>
      </c>
      <c r="K188" s="377">
        <v>43848</v>
      </c>
      <c r="L188" s="377">
        <v>44196</v>
      </c>
      <c r="M188" s="1369">
        <f t="shared" si="21"/>
        <v>348</v>
      </c>
      <c r="N188" s="738" t="s">
        <v>734</v>
      </c>
      <c r="O188" s="632" t="s">
        <v>763</v>
      </c>
      <c r="P188" s="632" t="s">
        <v>764</v>
      </c>
      <c r="Q188" s="632"/>
      <c r="R188" s="632"/>
      <c r="S188" s="632"/>
      <c r="T188" s="632"/>
      <c r="U188" s="632"/>
      <c r="V188" s="632"/>
      <c r="W188" s="738" t="s">
        <v>765</v>
      </c>
      <c r="X188" s="728" t="s">
        <v>766</v>
      </c>
      <c r="Y188" s="728"/>
      <c r="Z188" s="728"/>
      <c r="AA188" s="738" t="s">
        <v>739</v>
      </c>
      <c r="AB188" s="738" t="s">
        <v>739</v>
      </c>
      <c r="AC188" s="738" t="s">
        <v>767</v>
      </c>
      <c r="AD188" s="738" t="s">
        <v>740</v>
      </c>
      <c r="AE188" s="702">
        <v>41.5</v>
      </c>
      <c r="AF188" s="671">
        <f t="shared" si="17"/>
        <v>41.5</v>
      </c>
      <c r="AG188" s="671">
        <f t="shared" si="18"/>
        <v>0</v>
      </c>
      <c r="AH188" s="702">
        <v>34.799999999999997</v>
      </c>
      <c r="AI188" s="700">
        <v>83.855000000000004</v>
      </c>
      <c r="AJ188" s="700">
        <v>4.5499999999999999E-2</v>
      </c>
      <c r="AK188" s="702">
        <v>6.7</v>
      </c>
      <c r="AL188" s="700">
        <v>16.14</v>
      </c>
      <c r="AM188" s="700"/>
      <c r="AN188" s="702">
        <v>0</v>
      </c>
      <c r="AO188" s="700"/>
      <c r="AP188" s="702">
        <v>0</v>
      </c>
      <c r="AQ188" s="706"/>
      <c r="AR188" s="702"/>
      <c r="AS188" s="683"/>
      <c r="AT188" s="632"/>
      <c r="AU188" s="632"/>
      <c r="AV188" s="632"/>
      <c r="AW188" s="632" t="s">
        <v>504</v>
      </c>
      <c r="AX188" s="632"/>
      <c r="AY188" s="632"/>
      <c r="AZ188" s="683"/>
      <c r="BA188" s="706">
        <v>36.6</v>
      </c>
      <c r="BB188" s="683">
        <v>5.0000000000000001E-4</v>
      </c>
      <c r="BC188" s="710">
        <v>264</v>
      </c>
      <c r="BD188" s="710">
        <v>144</v>
      </c>
      <c r="BE188" s="706">
        <v>143</v>
      </c>
      <c r="BF188" s="710"/>
      <c r="BG188" s="710"/>
      <c r="BH188" s="710"/>
      <c r="BI188" s="710"/>
      <c r="BJ188" s="710"/>
      <c r="BK188" s="710">
        <v>2</v>
      </c>
      <c r="BL188" s="710">
        <v>16</v>
      </c>
      <c r="BM188" s="710">
        <v>7</v>
      </c>
      <c r="BN188" s="710">
        <v>38</v>
      </c>
      <c r="BO188" s="710"/>
      <c r="BP188" s="710"/>
      <c r="BQ188" s="710">
        <v>19</v>
      </c>
      <c r="BR188" s="710"/>
      <c r="BS188" s="710"/>
      <c r="BT188" s="710">
        <v>57</v>
      </c>
      <c r="BU188" s="710"/>
      <c r="BV188" s="710"/>
      <c r="BW188" s="710"/>
      <c r="BX188" s="710"/>
      <c r="BY188" s="710"/>
      <c r="BZ188" s="710">
        <v>4</v>
      </c>
      <c r="CA188" s="717">
        <f t="shared" si="24"/>
        <v>143</v>
      </c>
      <c r="CB188" s="717">
        <f t="shared" si="19"/>
        <v>143</v>
      </c>
      <c r="CC188" s="717">
        <f t="shared" si="20"/>
        <v>0</v>
      </c>
      <c r="CD188" s="670">
        <v>443.1</v>
      </c>
      <c r="CE188" s="632"/>
      <c r="CF188" s="728"/>
      <c r="CG188" s="670">
        <v>29.5</v>
      </c>
      <c r="CH188" s="710">
        <v>1501</v>
      </c>
      <c r="CI188" s="1203" t="s">
        <v>744</v>
      </c>
      <c r="CJ188" s="632" t="s">
        <v>500</v>
      </c>
      <c r="CK188" s="632" t="s">
        <v>745</v>
      </c>
      <c r="CL188" s="632" t="s">
        <v>746</v>
      </c>
      <c r="CM188" s="710">
        <v>5</v>
      </c>
      <c r="CN188" s="710"/>
      <c r="CO188" s="710"/>
      <c r="CP188" s="738" t="s">
        <v>504</v>
      </c>
      <c r="CQ188" s="738"/>
      <c r="CR188" s="710"/>
      <c r="CS188" s="738" t="s">
        <v>504</v>
      </c>
      <c r="CT188" s="738"/>
      <c r="CU188" s="822"/>
      <c r="CV188" s="710" t="s">
        <v>504</v>
      </c>
      <c r="CW188" s="710"/>
      <c r="CX188" s="710"/>
      <c r="CY188" s="710" t="s">
        <v>504</v>
      </c>
      <c r="CZ188" s="710"/>
      <c r="DA188" s="710"/>
      <c r="DB188" s="632" t="s">
        <v>504</v>
      </c>
      <c r="DC188" s="632"/>
      <c r="DD188" s="710"/>
      <c r="DE188" s="632" t="s">
        <v>504</v>
      </c>
      <c r="DF188" s="632"/>
      <c r="DG188" s="710"/>
      <c r="DH188" s="632" t="s">
        <v>504</v>
      </c>
      <c r="DI188" s="632"/>
      <c r="DJ188" s="710"/>
      <c r="DK188" s="632" t="s">
        <v>500</v>
      </c>
      <c r="DL188" s="632" t="s">
        <v>783</v>
      </c>
      <c r="DM188" s="710">
        <v>1049</v>
      </c>
      <c r="DN188" s="632" t="s">
        <v>504</v>
      </c>
      <c r="DO188" s="632"/>
      <c r="DP188" s="710"/>
      <c r="DQ188" s="632" t="s">
        <v>504</v>
      </c>
      <c r="DR188" s="738"/>
      <c r="DS188" s="710"/>
      <c r="DT188" s="710" t="s">
        <v>504</v>
      </c>
      <c r="DU188" s="710"/>
      <c r="DV188" s="710"/>
      <c r="DW188" s="632" t="s">
        <v>504</v>
      </c>
      <c r="DX188" s="632"/>
      <c r="DY188" s="710"/>
      <c r="DZ188" s="632" t="s">
        <v>504</v>
      </c>
      <c r="EA188" s="632"/>
      <c r="EB188" s="710"/>
      <c r="EC188" s="632" t="s">
        <v>504</v>
      </c>
      <c r="ED188" s="632"/>
      <c r="EE188" s="710"/>
      <c r="EF188" s="738" t="s">
        <v>768</v>
      </c>
      <c r="EG188" s="738" t="s">
        <v>769</v>
      </c>
      <c r="EH188" s="822">
        <v>14</v>
      </c>
      <c r="EI188" s="632" t="s">
        <v>770</v>
      </c>
      <c r="EJ188" s="632" t="s">
        <v>771</v>
      </c>
      <c r="EK188" s="710">
        <v>1049</v>
      </c>
      <c r="EL188" s="688">
        <v>1</v>
      </c>
      <c r="EM188" s="632"/>
      <c r="EN188" s="670">
        <v>54</v>
      </c>
      <c r="EO188" s="632" t="s">
        <v>772</v>
      </c>
      <c r="EP188" s="738" t="s">
        <v>773</v>
      </c>
      <c r="EQ188" s="728" t="s">
        <v>774</v>
      </c>
      <c r="ER188" s="728" t="s">
        <v>775</v>
      </c>
      <c r="ES188" s="632" t="s">
        <v>776</v>
      </c>
      <c r="ET188" s="632" t="s">
        <v>777</v>
      </c>
      <c r="EU188" s="632" t="s">
        <v>778</v>
      </c>
      <c r="EV188" s="738" t="s">
        <v>779</v>
      </c>
      <c r="EW188" s="632" t="s">
        <v>780</v>
      </c>
      <c r="EX188" s="632" t="s">
        <v>781</v>
      </c>
    </row>
    <row r="189" spans="3:154" ht="54.95" customHeight="1" x14ac:dyDescent="0.2">
      <c r="C189" s="1156" t="s">
        <v>693</v>
      </c>
      <c r="D189" s="1156" t="s">
        <v>5278</v>
      </c>
      <c r="E189" s="1104" t="s">
        <v>361</v>
      </c>
      <c r="F189" s="1104" t="s">
        <v>446</v>
      </c>
      <c r="G189" s="1104" t="s">
        <v>3491</v>
      </c>
      <c r="H189" s="1104" t="s">
        <v>3492</v>
      </c>
      <c r="I189" s="1104" t="s">
        <v>3492</v>
      </c>
      <c r="J189" s="1110">
        <v>2020</v>
      </c>
      <c r="K189" s="1105">
        <v>43840</v>
      </c>
      <c r="L189" s="1105">
        <v>44196</v>
      </c>
      <c r="M189" s="1369">
        <f t="shared" si="21"/>
        <v>356</v>
      </c>
      <c r="N189" s="1105"/>
      <c r="O189" s="1105"/>
      <c r="P189" s="1105"/>
      <c r="Q189" s="1105"/>
      <c r="R189" s="1105"/>
      <c r="S189" s="1105"/>
      <c r="T189" s="1105"/>
      <c r="U189" s="1105"/>
      <c r="V189" s="1105"/>
      <c r="W189" s="1105"/>
      <c r="X189" s="1105"/>
      <c r="Y189" s="1104" t="s">
        <v>3493</v>
      </c>
      <c r="Z189" s="1111" t="s">
        <v>3494</v>
      </c>
      <c r="AA189" s="1104" t="s">
        <v>3495</v>
      </c>
      <c r="AB189" s="1104" t="s">
        <v>3495</v>
      </c>
      <c r="AC189" s="1104" t="s">
        <v>3496</v>
      </c>
      <c r="AD189" s="1104" t="s">
        <v>3495</v>
      </c>
      <c r="AE189" s="1112">
        <v>13.788</v>
      </c>
      <c r="AF189" s="1113">
        <f t="shared" si="17"/>
        <v>13.7934</v>
      </c>
      <c r="AG189" s="1113">
        <f t="shared" si="18"/>
        <v>5.3999999999998494E-3</v>
      </c>
      <c r="AH189" s="1112"/>
      <c r="AI189" s="1113"/>
      <c r="AJ189" s="1113"/>
      <c r="AK189" s="1112">
        <v>11.72</v>
      </c>
      <c r="AL189" s="1114">
        <v>0.85</v>
      </c>
      <c r="AM189" s="1114">
        <v>1.2E-2</v>
      </c>
      <c r="AN189" s="1112">
        <v>1.522</v>
      </c>
      <c r="AO189" s="1114">
        <v>0.1104</v>
      </c>
      <c r="AP189" s="1112">
        <v>0.5514</v>
      </c>
      <c r="AQ189" s="1114">
        <v>3.9600000000000003E-2</v>
      </c>
      <c r="AR189" s="1112"/>
      <c r="AS189" s="1114"/>
      <c r="AT189" s="1114"/>
      <c r="AU189" s="1114"/>
      <c r="AV189" s="1114"/>
      <c r="AW189" s="1114" t="s">
        <v>500</v>
      </c>
      <c r="AX189" s="1114" t="s">
        <v>838</v>
      </c>
      <c r="AY189" s="1129">
        <v>0.27800000000000002</v>
      </c>
      <c r="AZ189" s="1114">
        <v>0.02</v>
      </c>
      <c r="BA189" s="1113">
        <v>14.384</v>
      </c>
      <c r="BB189" s="1114">
        <v>1.6500000000000001E-2</v>
      </c>
      <c r="BC189" s="1115">
        <v>16</v>
      </c>
      <c r="BD189" s="1115">
        <v>16</v>
      </c>
      <c r="BE189" s="1116">
        <v>14</v>
      </c>
      <c r="BF189" s="1115"/>
      <c r="BG189" s="1115">
        <v>13</v>
      </c>
      <c r="BH189" s="1115"/>
      <c r="BI189" s="1115"/>
      <c r="BJ189" s="1115"/>
      <c r="BK189" s="1115"/>
      <c r="BL189" s="1115"/>
      <c r="BM189" s="1115"/>
      <c r="BN189" s="1115"/>
      <c r="BO189" s="1115"/>
      <c r="BP189" s="1115">
        <v>1</v>
      </c>
      <c r="BQ189" s="1115"/>
      <c r="BR189" s="1115"/>
      <c r="BS189" s="1115"/>
      <c r="BT189" s="1115"/>
      <c r="BU189" s="1115"/>
      <c r="BV189" s="1115"/>
      <c r="BW189" s="1115"/>
      <c r="BX189" s="1115"/>
      <c r="BY189" s="1115"/>
      <c r="BZ189" s="1115"/>
      <c r="CA189" s="1117">
        <f t="shared" si="24"/>
        <v>14</v>
      </c>
      <c r="CB189" s="1117">
        <f t="shared" si="19"/>
        <v>14</v>
      </c>
      <c r="CC189" s="1117">
        <f t="shared" si="20"/>
        <v>0</v>
      </c>
      <c r="CD189" s="1113">
        <v>7.6989999999999998</v>
      </c>
      <c r="CE189" s="1104" t="s">
        <v>3497</v>
      </c>
      <c r="CF189" s="1111" t="s">
        <v>3498</v>
      </c>
      <c r="CG189" s="1109">
        <v>29.76</v>
      </c>
      <c r="CH189" s="1113">
        <v>25.87</v>
      </c>
      <c r="CI189" s="1114" t="s">
        <v>3499</v>
      </c>
      <c r="CJ189" s="1109"/>
      <c r="CK189" s="1109"/>
      <c r="CL189" s="1109"/>
      <c r="CM189" s="1115"/>
      <c r="CN189" s="1115"/>
      <c r="CO189" s="1115">
        <v>10</v>
      </c>
      <c r="CP189" s="1109" t="s">
        <v>500</v>
      </c>
      <c r="CQ189" s="1104" t="s">
        <v>3500</v>
      </c>
      <c r="CR189" s="1115">
        <v>891</v>
      </c>
      <c r="CS189" s="1109" t="s">
        <v>500</v>
      </c>
      <c r="CT189" s="1104" t="s">
        <v>3080</v>
      </c>
      <c r="CU189" s="1115">
        <v>623</v>
      </c>
      <c r="CV189" s="1115" t="s">
        <v>504</v>
      </c>
      <c r="CW189" s="1115"/>
      <c r="CX189" s="1115"/>
      <c r="CY189" s="1115" t="s">
        <v>504</v>
      </c>
      <c r="CZ189" s="1115"/>
      <c r="DA189" s="1115"/>
      <c r="DB189" s="1109" t="s">
        <v>504</v>
      </c>
      <c r="DC189" s="1109"/>
      <c r="DD189" s="1115"/>
      <c r="DE189" s="1109" t="s">
        <v>504</v>
      </c>
      <c r="DF189" s="1109"/>
      <c r="DG189" s="1115"/>
      <c r="DH189" s="1109" t="s">
        <v>504</v>
      </c>
      <c r="DI189" s="1109"/>
      <c r="DJ189" s="1115"/>
      <c r="DK189" s="1109" t="s">
        <v>504</v>
      </c>
      <c r="DL189" s="1109"/>
      <c r="DM189" s="1115"/>
      <c r="DN189" s="1109" t="s">
        <v>504</v>
      </c>
      <c r="DO189" s="1109"/>
      <c r="DP189" s="1115"/>
      <c r="DQ189" s="1109" t="s">
        <v>500</v>
      </c>
      <c r="DR189" s="1104" t="s">
        <v>3501</v>
      </c>
      <c r="DS189" s="1115">
        <v>648</v>
      </c>
      <c r="DT189" s="1109" t="s">
        <v>504</v>
      </c>
      <c r="DU189" s="1109"/>
      <c r="DV189" s="1115"/>
      <c r="DW189" s="1109" t="s">
        <v>504</v>
      </c>
      <c r="DX189" s="1109"/>
      <c r="DY189" s="1115"/>
      <c r="DZ189" s="1109" t="s">
        <v>504</v>
      </c>
      <c r="EA189" s="1109"/>
      <c r="EB189" s="1115"/>
      <c r="EC189" s="1104" t="s">
        <v>500</v>
      </c>
      <c r="ED189" s="1104" t="s">
        <v>3502</v>
      </c>
      <c r="EE189" s="1130">
        <v>8</v>
      </c>
      <c r="EF189" s="1109" t="s">
        <v>504</v>
      </c>
      <c r="EG189" s="1109"/>
      <c r="EH189" s="1115"/>
      <c r="EI189" s="1109" t="s">
        <v>504</v>
      </c>
      <c r="EJ189" s="1109"/>
      <c r="EK189" s="1115"/>
      <c r="EL189" s="1115"/>
      <c r="EM189" s="1115"/>
      <c r="EN189" s="1115"/>
      <c r="EO189" s="1104" t="s">
        <v>500</v>
      </c>
      <c r="EP189" s="1104" t="s">
        <v>3503</v>
      </c>
      <c r="EQ189" s="1111" t="s">
        <v>3498</v>
      </c>
      <c r="ER189" s="1111" t="s">
        <v>3504</v>
      </c>
      <c r="ES189" s="1111" t="s">
        <v>3498</v>
      </c>
      <c r="ET189" s="1104" t="s">
        <v>3505</v>
      </c>
      <c r="EU189" s="1104" t="s">
        <v>3506</v>
      </c>
      <c r="EV189" s="1104" t="s">
        <v>3507</v>
      </c>
      <c r="EW189" s="1104">
        <v>1</v>
      </c>
      <c r="EX189" s="1104">
        <v>30</v>
      </c>
    </row>
    <row r="190" spans="3:154" ht="54.95" customHeight="1" x14ac:dyDescent="0.2">
      <c r="C190" s="1156" t="s">
        <v>693</v>
      </c>
      <c r="D190" s="1156" t="s">
        <v>5278</v>
      </c>
      <c r="E190" s="1104" t="s">
        <v>361</v>
      </c>
      <c r="F190" s="1104" t="s">
        <v>446</v>
      </c>
      <c r="G190" s="1109" t="s">
        <v>3508</v>
      </c>
      <c r="H190" s="1109" t="s">
        <v>3509</v>
      </c>
      <c r="I190" s="1109" t="s">
        <v>3509</v>
      </c>
      <c r="J190" s="1110">
        <v>2019</v>
      </c>
      <c r="K190" s="1105">
        <v>43943</v>
      </c>
      <c r="L190" s="1105">
        <v>43980</v>
      </c>
      <c r="M190" s="1369">
        <f t="shared" si="21"/>
        <v>37</v>
      </c>
      <c r="N190" s="1105"/>
      <c r="O190" s="1105"/>
      <c r="P190" s="1105"/>
      <c r="Q190" s="1105"/>
      <c r="R190" s="1105"/>
      <c r="S190" s="1105"/>
      <c r="T190" s="1105"/>
      <c r="U190" s="1105"/>
      <c r="V190" s="1105"/>
      <c r="W190" s="1105"/>
      <c r="X190" s="1105"/>
      <c r="Y190" s="1109" t="s">
        <v>3510</v>
      </c>
      <c r="Z190" s="1131" t="s">
        <v>3511</v>
      </c>
      <c r="AA190" s="1104" t="s">
        <v>3512</v>
      </c>
      <c r="AB190" s="1104" t="s">
        <v>3513</v>
      </c>
      <c r="AC190" s="1104" t="s">
        <v>767</v>
      </c>
      <c r="AD190" s="1104" t="s">
        <v>3514</v>
      </c>
      <c r="AE190" s="1112">
        <v>10.446</v>
      </c>
      <c r="AF190" s="1113">
        <f t="shared" si="17"/>
        <v>10.446</v>
      </c>
      <c r="AG190" s="1113">
        <f t="shared" si="18"/>
        <v>0</v>
      </c>
      <c r="AH190" s="1112"/>
      <c r="AI190" s="1113"/>
      <c r="AJ190" s="1113"/>
      <c r="AK190" s="1112">
        <f>4.844+0.76</f>
        <v>5.6040000000000001</v>
      </c>
      <c r="AL190" s="1114">
        <f>AK190/AE190</f>
        <v>0.5364732912119472</v>
      </c>
      <c r="AM190" s="1114">
        <v>2.0999999999999999E-3</v>
      </c>
      <c r="AN190" s="1112">
        <v>4.8319999999999999</v>
      </c>
      <c r="AO190" s="1114">
        <f>AN190/AE190</f>
        <v>0.46256940455676815</v>
      </c>
      <c r="AP190" s="1112">
        <v>0.01</v>
      </c>
      <c r="AQ190" s="1114">
        <f>AP190/AE190</f>
        <v>9.5730423128470229E-4</v>
      </c>
      <c r="AR190" s="1112"/>
      <c r="AS190" s="1114"/>
      <c r="AT190" s="1114"/>
      <c r="AU190" s="1114"/>
      <c r="AV190" s="1114"/>
      <c r="AW190" s="1114" t="s">
        <v>500</v>
      </c>
      <c r="AX190" s="1114" t="s">
        <v>3515</v>
      </c>
      <c r="AY190" s="1114"/>
      <c r="AZ190" s="1114"/>
      <c r="BA190" s="1113">
        <v>11.715</v>
      </c>
      <c r="BB190" s="1114">
        <v>3.8E-3</v>
      </c>
      <c r="BC190" s="1115">
        <v>24</v>
      </c>
      <c r="BD190" s="1115">
        <v>23</v>
      </c>
      <c r="BE190" s="1116">
        <v>23</v>
      </c>
      <c r="BF190" s="1115"/>
      <c r="BG190" s="1115">
        <v>17</v>
      </c>
      <c r="BH190" s="1115">
        <v>2</v>
      </c>
      <c r="BI190" s="1115"/>
      <c r="BJ190" s="1115"/>
      <c r="BK190" s="1115"/>
      <c r="BL190" s="1115"/>
      <c r="BM190" s="1115"/>
      <c r="BN190" s="1115"/>
      <c r="BO190" s="1115"/>
      <c r="BP190" s="1115">
        <v>2</v>
      </c>
      <c r="BQ190" s="1115"/>
      <c r="BR190" s="1115"/>
      <c r="BS190" s="1115"/>
      <c r="BT190" s="1115"/>
      <c r="BU190" s="1115"/>
      <c r="BV190" s="1115"/>
      <c r="BW190" s="1115"/>
      <c r="BX190" s="1115"/>
      <c r="BY190" s="1115"/>
      <c r="BZ190" s="1115"/>
      <c r="CA190" s="1117">
        <f t="shared" si="24"/>
        <v>21</v>
      </c>
      <c r="CB190" s="1117">
        <f t="shared" si="19"/>
        <v>21</v>
      </c>
      <c r="CC190" s="1117">
        <f t="shared" si="20"/>
        <v>0</v>
      </c>
      <c r="CD190" s="1113">
        <v>2.9</v>
      </c>
      <c r="CE190" s="1104" t="s">
        <v>3516</v>
      </c>
      <c r="CF190" s="1109"/>
      <c r="CG190" s="1116">
        <f>CD190*100/CH190</f>
        <v>3.6491757896061405</v>
      </c>
      <c r="CH190" s="1113">
        <v>79.47</v>
      </c>
      <c r="CI190" s="1149" t="s">
        <v>744</v>
      </c>
      <c r="CJ190" s="1109" t="s">
        <v>504</v>
      </c>
      <c r="CK190" s="1109"/>
      <c r="CL190" s="1109"/>
      <c r="CM190" s="1115"/>
      <c r="CN190" s="1115"/>
      <c r="CO190" s="1115">
        <v>2</v>
      </c>
      <c r="CP190" s="1109" t="s">
        <v>500</v>
      </c>
      <c r="CQ190" s="1109" t="s">
        <v>3517</v>
      </c>
      <c r="CR190" s="1115">
        <v>652</v>
      </c>
      <c r="CS190" s="1109" t="s">
        <v>3518</v>
      </c>
      <c r="CT190" s="1109" t="s">
        <v>3519</v>
      </c>
      <c r="CU190" s="1115"/>
      <c r="CV190" s="1115" t="s">
        <v>504</v>
      </c>
      <c r="CW190" s="1115"/>
      <c r="CX190" s="1115"/>
      <c r="CY190" s="1115" t="s">
        <v>504</v>
      </c>
      <c r="CZ190" s="1115"/>
      <c r="DA190" s="1115"/>
      <c r="DB190" s="1109" t="s">
        <v>504</v>
      </c>
      <c r="DC190" s="1109"/>
      <c r="DD190" s="1115"/>
      <c r="DE190" s="1109" t="s">
        <v>504</v>
      </c>
      <c r="DF190" s="1109"/>
      <c r="DG190" s="1115"/>
      <c r="DH190" s="1109" t="s">
        <v>504</v>
      </c>
      <c r="DI190" s="1109"/>
      <c r="DJ190" s="1115"/>
      <c r="DK190" s="1109"/>
      <c r="DL190" s="1109"/>
      <c r="DM190" s="1115"/>
      <c r="DN190" s="1109" t="s">
        <v>504</v>
      </c>
      <c r="DO190" s="1109"/>
      <c r="DP190" s="1115"/>
      <c r="DQ190" s="1109" t="s">
        <v>504</v>
      </c>
      <c r="DR190" s="1109"/>
      <c r="DS190" s="1115"/>
      <c r="DT190" s="1115" t="s">
        <v>504</v>
      </c>
      <c r="DU190" s="1115"/>
      <c r="DV190" s="1115"/>
      <c r="DW190" s="1109" t="s">
        <v>504</v>
      </c>
      <c r="DX190" s="1109"/>
      <c r="DY190" s="1115"/>
      <c r="DZ190" s="1109" t="s">
        <v>504</v>
      </c>
      <c r="EA190" s="1109"/>
      <c r="EB190" s="1115"/>
      <c r="EC190" s="1109" t="s">
        <v>504</v>
      </c>
      <c r="ED190" s="1109"/>
      <c r="EE190" s="1115"/>
      <c r="EF190" s="1115" t="s">
        <v>500</v>
      </c>
      <c r="EG190" s="1144" t="s">
        <v>3520</v>
      </c>
      <c r="EH190" s="1115">
        <v>10</v>
      </c>
      <c r="EI190" s="1109" t="s">
        <v>504</v>
      </c>
      <c r="EJ190" s="1109"/>
      <c r="EK190" s="1115"/>
      <c r="EL190" s="1115"/>
      <c r="EM190" s="1115"/>
      <c r="EN190" s="1115"/>
      <c r="EO190" s="1109" t="s">
        <v>504</v>
      </c>
      <c r="EP190" s="1109" t="s">
        <v>504</v>
      </c>
      <c r="EQ190" s="1131" t="s">
        <v>3521</v>
      </c>
      <c r="ER190" s="1131" t="s">
        <v>3522</v>
      </c>
      <c r="ES190" s="1131" t="s">
        <v>3523</v>
      </c>
      <c r="ET190" s="1109" t="s">
        <v>3524</v>
      </c>
      <c r="EU190" s="1109" t="s">
        <v>504</v>
      </c>
      <c r="EV190" s="1109" t="s">
        <v>3525</v>
      </c>
      <c r="EW190" s="1109">
        <v>0</v>
      </c>
      <c r="EX190" s="1109">
        <v>0</v>
      </c>
    </row>
    <row r="191" spans="3:154" customFormat="1" ht="54.95" customHeight="1" x14ac:dyDescent="0.25">
      <c r="C191" s="1156" t="s">
        <v>693</v>
      </c>
      <c r="D191" s="1156" t="s">
        <v>5278</v>
      </c>
      <c r="E191" s="1104" t="s">
        <v>361</v>
      </c>
      <c r="F191" s="1104" t="s">
        <v>446</v>
      </c>
      <c r="G191" s="1109" t="s">
        <v>3526</v>
      </c>
      <c r="H191" s="1109" t="s">
        <v>3527</v>
      </c>
      <c r="I191" s="1109" t="s">
        <v>3528</v>
      </c>
      <c r="J191" s="1110">
        <v>2019</v>
      </c>
      <c r="K191" s="1105">
        <v>43958</v>
      </c>
      <c r="L191" s="1105">
        <v>44134</v>
      </c>
      <c r="M191" s="1369">
        <f t="shared" si="21"/>
        <v>176</v>
      </c>
      <c r="N191" s="1105"/>
      <c r="O191" s="1105"/>
      <c r="P191" s="1105"/>
      <c r="Q191" s="1105"/>
      <c r="R191" s="1105"/>
      <c r="S191" s="1105"/>
      <c r="T191" s="1105"/>
      <c r="U191" s="1105"/>
      <c r="V191" s="1105"/>
      <c r="W191" s="1105"/>
      <c r="X191" s="1105"/>
      <c r="Y191" s="1109" t="s">
        <v>3527</v>
      </c>
      <c r="Z191" s="1111" t="s">
        <v>3530</v>
      </c>
      <c r="AA191" s="1109" t="s">
        <v>3531</v>
      </c>
      <c r="AB191" s="1109" t="s">
        <v>3532</v>
      </c>
      <c r="AC191" s="1109" t="s">
        <v>2135</v>
      </c>
      <c r="AD191" s="1109" t="s">
        <v>3533</v>
      </c>
      <c r="AE191" s="1112">
        <v>0.29299999999999998</v>
      </c>
      <c r="AF191" s="1113">
        <f t="shared" si="17"/>
        <v>0.29299999999999998</v>
      </c>
      <c r="AG191" s="1113">
        <f t="shared" si="18"/>
        <v>0</v>
      </c>
      <c r="AH191" s="1112"/>
      <c r="AI191" s="1113"/>
      <c r="AJ191" s="1113"/>
      <c r="AK191" s="1112">
        <v>0.23699999999999999</v>
      </c>
      <c r="AL191" s="1114">
        <v>0.81</v>
      </c>
      <c r="AM191" s="1114">
        <v>3.8000000000000002E-4</v>
      </c>
      <c r="AN191" s="1112">
        <v>5.6000000000000001E-2</v>
      </c>
      <c r="AO191" s="1114">
        <v>0.19</v>
      </c>
      <c r="AP191" s="1112"/>
      <c r="AQ191" s="1114"/>
      <c r="AR191" s="1112"/>
      <c r="AS191" s="1114"/>
      <c r="AT191" s="1114"/>
      <c r="AU191" s="1114"/>
      <c r="AV191" s="1114"/>
      <c r="AW191" s="1114"/>
      <c r="AX191" s="1114"/>
      <c r="AY191" s="1114"/>
      <c r="AZ191" s="1114"/>
      <c r="BA191" s="1113">
        <v>2.2000000000000002</v>
      </c>
      <c r="BB191" s="1114">
        <v>3.5999999999999999E-3</v>
      </c>
      <c r="BC191" s="1115">
        <v>2</v>
      </c>
      <c r="BD191" s="1115">
        <v>2</v>
      </c>
      <c r="BE191" s="1116">
        <v>2</v>
      </c>
      <c r="BF191" s="1115"/>
      <c r="BG191" s="1115">
        <v>2</v>
      </c>
      <c r="BH191" s="1115"/>
      <c r="BI191" s="1115"/>
      <c r="BJ191" s="1115"/>
      <c r="BK191" s="1115"/>
      <c r="BL191" s="1115"/>
      <c r="BM191" s="1115"/>
      <c r="BN191" s="1115"/>
      <c r="BO191" s="1115"/>
      <c r="BP191" s="1115"/>
      <c r="BQ191" s="1115"/>
      <c r="BR191" s="1115"/>
      <c r="BS191" s="1115"/>
      <c r="BT191" s="1115"/>
      <c r="BU191" s="1115"/>
      <c r="BV191" s="1115"/>
      <c r="BW191" s="1115"/>
      <c r="BX191" s="1115"/>
      <c r="BY191" s="1115"/>
      <c r="BZ191" s="1115"/>
      <c r="CA191" s="1117">
        <f t="shared" si="24"/>
        <v>2</v>
      </c>
      <c r="CB191" s="1117">
        <f t="shared" si="19"/>
        <v>2</v>
      </c>
      <c r="CC191" s="1117">
        <f t="shared" si="20"/>
        <v>0</v>
      </c>
      <c r="CD191" s="1113">
        <v>0.152</v>
      </c>
      <c r="CE191" s="1109" t="s">
        <v>3534</v>
      </c>
      <c r="CF191" s="1109"/>
      <c r="CG191" s="1109">
        <v>37.6</v>
      </c>
      <c r="CH191" s="1113">
        <v>0.40400000000000003</v>
      </c>
      <c r="CI191" s="1118" t="s">
        <v>3535</v>
      </c>
      <c r="CJ191" s="1109" t="s">
        <v>504</v>
      </c>
      <c r="CK191" s="1109"/>
      <c r="CL191" s="1109"/>
      <c r="CM191" s="1115"/>
      <c r="CN191" s="1115"/>
      <c r="CO191" s="1115"/>
      <c r="CP191" s="1109" t="s">
        <v>500</v>
      </c>
      <c r="CQ191" s="1109"/>
      <c r="CR191" s="1115">
        <v>70</v>
      </c>
      <c r="CS191" s="1109" t="s">
        <v>500</v>
      </c>
      <c r="CT191" s="1109" t="s">
        <v>2254</v>
      </c>
      <c r="CU191" s="1115">
        <v>49</v>
      </c>
      <c r="CV191" s="1115" t="s">
        <v>504</v>
      </c>
      <c r="CW191" s="1115"/>
      <c r="CX191" s="1115"/>
      <c r="CY191" s="1115" t="s">
        <v>504</v>
      </c>
      <c r="CZ191" s="1115"/>
      <c r="DA191" s="1115"/>
      <c r="DB191" s="1109" t="s">
        <v>504</v>
      </c>
      <c r="DC191" s="1109"/>
      <c r="DD191" s="1115"/>
      <c r="DE191" s="1109" t="s">
        <v>504</v>
      </c>
      <c r="DF191" s="1109"/>
      <c r="DG191" s="1115"/>
      <c r="DH191" s="1109" t="s">
        <v>504</v>
      </c>
      <c r="DI191" s="1109"/>
      <c r="DJ191" s="1115"/>
      <c r="DK191" s="1109" t="s">
        <v>504</v>
      </c>
      <c r="DL191" s="1109"/>
      <c r="DM191" s="1115"/>
      <c r="DN191" s="1109" t="s">
        <v>504</v>
      </c>
      <c r="DO191" s="1109"/>
      <c r="DP191" s="1115"/>
      <c r="DQ191" s="1109" t="s">
        <v>500</v>
      </c>
      <c r="DR191" s="1109" t="s">
        <v>2724</v>
      </c>
      <c r="DS191" s="1115">
        <v>49</v>
      </c>
      <c r="DT191" s="1115" t="s">
        <v>504</v>
      </c>
      <c r="DU191" s="1115"/>
      <c r="DV191" s="1115"/>
      <c r="DW191" s="1109" t="s">
        <v>504</v>
      </c>
      <c r="DX191" s="1109"/>
      <c r="DY191" s="1115"/>
      <c r="DZ191" s="1109" t="s">
        <v>504</v>
      </c>
      <c r="EA191" s="1109"/>
      <c r="EB191" s="1115"/>
      <c r="EC191" s="1109" t="s">
        <v>500</v>
      </c>
      <c r="ED191" s="1111" t="s">
        <v>3536</v>
      </c>
      <c r="EE191" s="1115">
        <v>6</v>
      </c>
      <c r="EF191" s="1115" t="s">
        <v>504</v>
      </c>
      <c r="EG191" s="1115"/>
      <c r="EH191" s="1115"/>
      <c r="EI191" s="1109" t="s">
        <v>504</v>
      </c>
      <c r="EJ191" s="1109"/>
      <c r="EK191" s="1115"/>
      <c r="EL191" s="1115"/>
      <c r="EM191" s="1115"/>
      <c r="EN191" s="1115"/>
      <c r="EO191" s="1109" t="s">
        <v>504</v>
      </c>
      <c r="EP191" s="1109"/>
      <c r="EQ191" s="1111" t="s">
        <v>3537</v>
      </c>
      <c r="ER191" s="1111" t="s">
        <v>3538</v>
      </c>
      <c r="ES191" s="1109"/>
      <c r="ET191" s="1109"/>
      <c r="EU191" s="1109"/>
      <c r="EV191" s="1109"/>
      <c r="EW191" s="1109"/>
      <c r="EX191" s="1109"/>
    </row>
    <row r="192" spans="3:154" customFormat="1" ht="54.95" customHeight="1" x14ac:dyDescent="0.25">
      <c r="C192" s="1156" t="s">
        <v>693</v>
      </c>
      <c r="D192" s="1156" t="s">
        <v>5278</v>
      </c>
      <c r="E192" s="1104" t="s">
        <v>361</v>
      </c>
      <c r="F192" s="1104" t="s">
        <v>446</v>
      </c>
      <c r="G192" s="1109" t="s">
        <v>3539</v>
      </c>
      <c r="H192" s="1109" t="s">
        <v>3540</v>
      </c>
      <c r="I192" s="1109" t="s">
        <v>3541</v>
      </c>
      <c r="J192" s="1110">
        <v>2020</v>
      </c>
      <c r="K192" s="1105">
        <v>44105</v>
      </c>
      <c r="L192" s="1105">
        <v>44165</v>
      </c>
      <c r="M192" s="1369">
        <f t="shared" si="21"/>
        <v>60</v>
      </c>
      <c r="N192" s="1105"/>
      <c r="O192" s="1105"/>
      <c r="P192" s="1105"/>
      <c r="Q192" s="1105"/>
      <c r="R192" s="1105"/>
      <c r="S192" s="1105"/>
      <c r="T192" s="1105"/>
      <c r="U192" s="1105"/>
      <c r="V192" s="1105"/>
      <c r="W192" s="1105"/>
      <c r="X192" s="1105"/>
      <c r="Y192" s="1109" t="s">
        <v>3543</v>
      </c>
      <c r="Z192" s="1131" t="s">
        <v>3543</v>
      </c>
      <c r="AA192" s="1109" t="s">
        <v>3544</v>
      </c>
      <c r="AB192" s="1109" t="s">
        <v>3544</v>
      </c>
      <c r="AC192" s="1109" t="s">
        <v>2731</v>
      </c>
      <c r="AD192" s="1109" t="s">
        <v>3545</v>
      </c>
      <c r="AE192" s="1112">
        <v>0.22500000000000001</v>
      </c>
      <c r="AF192" s="1113">
        <f t="shared" si="17"/>
        <v>0.22989999999999999</v>
      </c>
      <c r="AG192" s="1113">
        <f t="shared" si="18"/>
        <v>4.8999999999999877E-3</v>
      </c>
      <c r="AH192" s="1112"/>
      <c r="AI192" s="1113"/>
      <c r="AJ192" s="1113"/>
      <c r="AK192" s="1112">
        <v>0.1125</v>
      </c>
      <c r="AL192" s="1114">
        <v>0.5</v>
      </c>
      <c r="AM192" s="1114">
        <v>1E-4</v>
      </c>
      <c r="AN192" s="1112">
        <v>0.10299999999999999</v>
      </c>
      <c r="AO192" s="1114">
        <v>0.4556</v>
      </c>
      <c r="AP192" s="1112">
        <v>1.44E-2</v>
      </c>
      <c r="AQ192" s="1114">
        <v>4.4400000000000002E-2</v>
      </c>
      <c r="AR192" s="1112"/>
      <c r="AS192" s="1114"/>
      <c r="AT192" s="1114"/>
      <c r="AU192" s="1114"/>
      <c r="AV192" s="1114"/>
      <c r="AW192" s="1114" t="s">
        <v>504</v>
      </c>
      <c r="AX192" s="1114"/>
      <c r="AY192" s="1114"/>
      <c r="AZ192" s="1114"/>
      <c r="BA192" s="1113">
        <v>0.84</v>
      </c>
      <c r="BB192" s="1114">
        <v>1.1999999999999999E-3</v>
      </c>
      <c r="BC192" s="1115">
        <v>2</v>
      </c>
      <c r="BD192" s="1115">
        <v>2</v>
      </c>
      <c r="BE192" s="1116">
        <v>2</v>
      </c>
      <c r="BF192" s="1115"/>
      <c r="BG192" s="1115">
        <v>1</v>
      </c>
      <c r="BH192" s="1115"/>
      <c r="BI192" s="1115"/>
      <c r="BJ192" s="1115"/>
      <c r="BK192" s="1115"/>
      <c r="BL192" s="1115"/>
      <c r="BM192" s="1115"/>
      <c r="BN192" s="1115"/>
      <c r="BO192" s="1115"/>
      <c r="BP192" s="1115"/>
      <c r="BQ192" s="1115"/>
      <c r="BR192" s="1115">
        <v>1</v>
      </c>
      <c r="BS192" s="1115"/>
      <c r="BT192" s="1115"/>
      <c r="BU192" s="1115"/>
      <c r="BV192" s="1115"/>
      <c r="BW192" s="1115"/>
      <c r="BX192" s="1115"/>
      <c r="BY192" s="1115"/>
      <c r="BZ192" s="1115"/>
      <c r="CA192" s="1117">
        <f t="shared" si="24"/>
        <v>2</v>
      </c>
      <c r="CB192" s="1117">
        <f t="shared" si="19"/>
        <v>2</v>
      </c>
      <c r="CC192" s="1117">
        <f t="shared" si="20"/>
        <v>0</v>
      </c>
      <c r="CD192" s="1113">
        <v>0.56000000000000005</v>
      </c>
      <c r="CE192" s="1109" t="s">
        <v>3546</v>
      </c>
      <c r="CF192" s="1109" t="s">
        <v>504</v>
      </c>
      <c r="CG192" s="1109">
        <v>3.76</v>
      </c>
      <c r="CH192" s="1113">
        <v>14.888</v>
      </c>
      <c r="CI192" s="1113" t="s">
        <v>3547</v>
      </c>
      <c r="CJ192" s="1109" t="s">
        <v>504</v>
      </c>
      <c r="CK192" s="1109"/>
      <c r="CL192" s="1109"/>
      <c r="CM192" s="1115"/>
      <c r="CN192" s="1115"/>
      <c r="CO192" s="1115"/>
      <c r="CP192" s="1109" t="s">
        <v>504</v>
      </c>
      <c r="CQ192" s="1109"/>
      <c r="CR192" s="1115"/>
      <c r="CS192" s="1109" t="s">
        <v>500</v>
      </c>
      <c r="CT192" s="1109" t="s">
        <v>3548</v>
      </c>
      <c r="CU192" s="1115">
        <v>66</v>
      </c>
      <c r="CV192" s="1115" t="s">
        <v>504</v>
      </c>
      <c r="CW192" s="1115"/>
      <c r="CX192" s="1115"/>
      <c r="CY192" s="1115" t="s">
        <v>504</v>
      </c>
      <c r="CZ192" s="1115"/>
      <c r="DA192" s="1115"/>
      <c r="DB192" s="1109" t="s">
        <v>504</v>
      </c>
      <c r="DC192" s="1109"/>
      <c r="DD192" s="1115"/>
      <c r="DE192" s="1109" t="s">
        <v>504</v>
      </c>
      <c r="DF192" s="1109"/>
      <c r="DG192" s="1115"/>
      <c r="DH192" s="1109" t="s">
        <v>504</v>
      </c>
      <c r="DI192" s="1109"/>
      <c r="DJ192" s="1115"/>
      <c r="DK192" s="1109" t="s">
        <v>504</v>
      </c>
      <c r="DL192" s="1109"/>
      <c r="DM192" s="1115"/>
      <c r="DN192" s="1109" t="s">
        <v>504</v>
      </c>
      <c r="DO192" s="1109"/>
      <c r="DP192" s="1115"/>
      <c r="DQ192" s="1109" t="s">
        <v>504</v>
      </c>
      <c r="DR192" s="1109"/>
      <c r="DS192" s="1115"/>
      <c r="DT192" s="1115" t="s">
        <v>504</v>
      </c>
      <c r="DU192" s="1115"/>
      <c r="DV192" s="1115"/>
      <c r="DW192" s="1109" t="s">
        <v>504</v>
      </c>
      <c r="DX192" s="1109"/>
      <c r="DY192" s="1115"/>
      <c r="DZ192" s="1109" t="s">
        <v>504</v>
      </c>
      <c r="EA192" s="1109"/>
      <c r="EB192" s="1115"/>
      <c r="EC192" s="1109" t="s">
        <v>504</v>
      </c>
      <c r="ED192" s="1109"/>
      <c r="EE192" s="1115"/>
      <c r="EF192" s="1115" t="s">
        <v>504</v>
      </c>
      <c r="EG192" s="1115"/>
      <c r="EH192" s="1115"/>
      <c r="EI192" s="1109" t="s">
        <v>504</v>
      </c>
      <c r="EJ192" s="1109"/>
      <c r="EK192" s="1115"/>
      <c r="EL192" s="1115"/>
      <c r="EM192" s="1115"/>
      <c r="EN192" s="1115"/>
      <c r="EO192" s="1109" t="s">
        <v>504</v>
      </c>
      <c r="EP192" s="1109"/>
      <c r="EQ192" s="1109" t="s">
        <v>504</v>
      </c>
      <c r="ER192" s="1109" t="s">
        <v>504</v>
      </c>
      <c r="ES192" s="1109" t="s">
        <v>504</v>
      </c>
      <c r="ET192" s="1109"/>
      <c r="EU192" s="1109"/>
      <c r="EV192" s="1109" t="s">
        <v>504</v>
      </c>
      <c r="EW192" s="1109"/>
      <c r="EX192" s="1109"/>
    </row>
    <row r="193" spans="3:154" ht="63.95" customHeight="1" x14ac:dyDescent="0.2">
      <c r="C193" s="1156" t="s">
        <v>693</v>
      </c>
      <c r="D193" s="1156" t="s">
        <v>5277</v>
      </c>
      <c r="E193" s="738" t="s">
        <v>362</v>
      </c>
      <c r="F193" s="738" t="s">
        <v>447</v>
      </c>
      <c r="G193" s="738"/>
      <c r="H193" s="632" t="s">
        <v>1087</v>
      </c>
      <c r="I193" s="632" t="s">
        <v>1061</v>
      </c>
      <c r="J193" s="637">
        <v>2015</v>
      </c>
      <c r="K193" s="377">
        <v>43800</v>
      </c>
      <c r="L193" s="377">
        <v>44166</v>
      </c>
      <c r="M193" s="1369">
        <f t="shared" si="21"/>
        <v>366</v>
      </c>
      <c r="N193" s="632" t="s">
        <v>1064</v>
      </c>
      <c r="O193" s="632" t="s">
        <v>1065</v>
      </c>
      <c r="P193" s="1443" t="s">
        <v>1066</v>
      </c>
      <c r="Q193" s="632" t="s">
        <v>1067</v>
      </c>
      <c r="R193" s="632" t="s">
        <v>1068</v>
      </c>
      <c r="S193" s="632" t="s">
        <v>504</v>
      </c>
      <c r="T193" s="710" t="s">
        <v>701</v>
      </c>
      <c r="U193" s="632" t="s">
        <v>1069</v>
      </c>
      <c r="V193" s="728" t="s">
        <v>1070</v>
      </c>
      <c r="W193" s="632" t="s">
        <v>1071</v>
      </c>
      <c r="X193" s="728" t="s">
        <v>1088</v>
      </c>
      <c r="Y193" s="728"/>
      <c r="Z193" s="728"/>
      <c r="AA193" s="632" t="s">
        <v>1072</v>
      </c>
      <c r="AB193" s="632" t="s">
        <v>1072</v>
      </c>
      <c r="AC193" s="632" t="s">
        <v>1073</v>
      </c>
      <c r="AD193" s="632" t="s">
        <v>1074</v>
      </c>
      <c r="AE193" s="702">
        <v>43.018999999999998</v>
      </c>
      <c r="AF193" s="671">
        <f t="shared" si="17"/>
        <v>43.020400000000002</v>
      </c>
      <c r="AG193" s="671">
        <f t="shared" si="18"/>
        <v>1.4000000000038426E-3</v>
      </c>
      <c r="AH193" s="702">
        <v>30.4</v>
      </c>
      <c r="AI193" s="683">
        <v>0.70699999999999996</v>
      </c>
      <c r="AJ193" s="683">
        <v>4.0000000000000002E-4</v>
      </c>
      <c r="AK193" s="702">
        <v>9</v>
      </c>
      <c r="AL193" s="683">
        <v>0.20899999999999999</v>
      </c>
      <c r="AM193" s="683"/>
      <c r="AN193" s="702">
        <v>3.5760000000000001</v>
      </c>
      <c r="AO193" s="683">
        <v>8.3000000000000004E-2</v>
      </c>
      <c r="AP193" s="702">
        <v>4.4400000000000002E-2</v>
      </c>
      <c r="AQ193" s="683">
        <v>1E-3</v>
      </c>
      <c r="AR193" s="702"/>
      <c r="AS193" s="683" t="s">
        <v>465</v>
      </c>
      <c r="AT193" s="632" t="s">
        <v>465</v>
      </c>
      <c r="AU193" s="632" t="s">
        <v>465</v>
      </c>
      <c r="AV193" s="632" t="s">
        <v>465</v>
      </c>
      <c r="AW193" s="632" t="s">
        <v>1075</v>
      </c>
      <c r="AX193" s="632" t="s">
        <v>1076</v>
      </c>
      <c r="AY193" s="632">
        <v>0.06</v>
      </c>
      <c r="AZ193" s="683">
        <v>1E-3</v>
      </c>
      <c r="BA193" s="632">
        <v>135.9</v>
      </c>
      <c r="BB193" s="683">
        <v>1.8E-3</v>
      </c>
      <c r="BC193" s="710">
        <v>105</v>
      </c>
      <c r="BD193" s="710">
        <v>35</v>
      </c>
      <c r="BE193" s="706">
        <v>34</v>
      </c>
      <c r="BF193" s="710">
        <v>0</v>
      </c>
      <c r="BG193" s="710">
        <v>3</v>
      </c>
      <c r="BH193" s="710">
        <v>11</v>
      </c>
      <c r="BI193" s="710">
        <v>0</v>
      </c>
      <c r="BJ193" s="710">
        <v>0</v>
      </c>
      <c r="BK193" s="710">
        <v>0</v>
      </c>
      <c r="BL193" s="710">
        <v>4</v>
      </c>
      <c r="BM193" s="710">
        <v>0</v>
      </c>
      <c r="BN193" s="710">
        <v>4</v>
      </c>
      <c r="BO193" s="710">
        <v>7</v>
      </c>
      <c r="BP193" s="710">
        <v>2</v>
      </c>
      <c r="BQ193" s="710">
        <v>3</v>
      </c>
      <c r="BR193" s="710">
        <v>0</v>
      </c>
      <c r="BS193" s="710">
        <v>0</v>
      </c>
      <c r="BT193" s="710">
        <v>0</v>
      </c>
      <c r="BU193" s="710">
        <v>0</v>
      </c>
      <c r="BV193" s="710">
        <v>0</v>
      </c>
      <c r="BW193" s="710">
        <v>0</v>
      </c>
      <c r="BX193" s="710">
        <v>0</v>
      </c>
      <c r="BY193" s="710">
        <v>0</v>
      </c>
      <c r="BZ193" s="710">
        <v>0</v>
      </c>
      <c r="CA193" s="717">
        <f t="shared" si="24"/>
        <v>34</v>
      </c>
      <c r="CB193" s="717">
        <f t="shared" si="19"/>
        <v>34</v>
      </c>
      <c r="CC193" s="717">
        <f t="shared" si="20"/>
        <v>0</v>
      </c>
      <c r="CD193" s="671">
        <v>338.1</v>
      </c>
      <c r="CE193" s="632" t="s">
        <v>1077</v>
      </c>
      <c r="CF193" s="728" t="s">
        <v>1078</v>
      </c>
      <c r="CG193" s="683">
        <v>0.27500000000000002</v>
      </c>
      <c r="CH193" s="671">
        <v>1229.8240000000001</v>
      </c>
      <c r="CI193" s="671" t="s">
        <v>1089</v>
      </c>
      <c r="CJ193" s="632" t="s">
        <v>504</v>
      </c>
      <c r="CK193" s="632" t="s">
        <v>504</v>
      </c>
      <c r="CL193" s="632" t="s">
        <v>504</v>
      </c>
      <c r="CM193" s="710" t="s">
        <v>504</v>
      </c>
      <c r="CN193" s="710" t="s">
        <v>504</v>
      </c>
      <c r="CO193" s="710">
        <v>4</v>
      </c>
      <c r="CP193" s="632" t="s">
        <v>504</v>
      </c>
      <c r="CQ193" s="710" t="s">
        <v>701</v>
      </c>
      <c r="CR193" s="710" t="s">
        <v>701</v>
      </c>
      <c r="CS193" s="632" t="s">
        <v>500</v>
      </c>
      <c r="CT193" s="632" t="s">
        <v>1081</v>
      </c>
      <c r="CU193" s="710">
        <v>59688</v>
      </c>
      <c r="CV193" s="710" t="s">
        <v>504</v>
      </c>
      <c r="CW193" s="710" t="s">
        <v>701</v>
      </c>
      <c r="CX193" s="710" t="s">
        <v>701</v>
      </c>
      <c r="CY193" s="710" t="s">
        <v>701</v>
      </c>
      <c r="CZ193" s="710" t="s">
        <v>701</v>
      </c>
      <c r="DA193" s="710" t="s">
        <v>701</v>
      </c>
      <c r="DB193" s="632" t="s">
        <v>504</v>
      </c>
      <c r="DC193" s="710" t="s">
        <v>701</v>
      </c>
      <c r="DD193" s="710" t="s">
        <v>701</v>
      </c>
      <c r="DE193" s="632" t="s">
        <v>504</v>
      </c>
      <c r="DF193" s="710" t="s">
        <v>701</v>
      </c>
      <c r="DG193" s="710" t="s">
        <v>701</v>
      </c>
      <c r="DH193" s="632" t="s">
        <v>504</v>
      </c>
      <c r="DI193" s="632" t="s">
        <v>701</v>
      </c>
      <c r="DJ193" s="710" t="s">
        <v>701</v>
      </c>
      <c r="DK193" s="632" t="s">
        <v>504</v>
      </c>
      <c r="DL193" s="632" t="s">
        <v>701</v>
      </c>
      <c r="DM193" s="710" t="s">
        <v>701</v>
      </c>
      <c r="DN193" s="632" t="s">
        <v>504</v>
      </c>
      <c r="DO193" s="632" t="s">
        <v>701</v>
      </c>
      <c r="DP193" s="710" t="s">
        <v>701</v>
      </c>
      <c r="DQ193" s="632" t="s">
        <v>504</v>
      </c>
      <c r="DR193" s="632" t="s">
        <v>701</v>
      </c>
      <c r="DS193" s="710" t="s">
        <v>701</v>
      </c>
      <c r="DT193" s="710" t="s">
        <v>504</v>
      </c>
      <c r="DU193" s="710" t="s">
        <v>701</v>
      </c>
      <c r="DV193" s="710" t="s">
        <v>701</v>
      </c>
      <c r="DW193" s="632" t="s">
        <v>504</v>
      </c>
      <c r="DX193" s="632" t="s">
        <v>701</v>
      </c>
      <c r="DY193" s="710" t="s">
        <v>701</v>
      </c>
      <c r="DZ193" s="632" t="s">
        <v>504</v>
      </c>
      <c r="EA193" s="632" t="s">
        <v>701</v>
      </c>
      <c r="EB193" s="710" t="s">
        <v>701</v>
      </c>
      <c r="EC193" s="632" t="s">
        <v>500</v>
      </c>
      <c r="ED193" s="632" t="s">
        <v>1082</v>
      </c>
      <c r="EE193" s="710">
        <v>17</v>
      </c>
      <c r="EF193" s="710" t="s">
        <v>504</v>
      </c>
      <c r="EG193" s="710" t="s">
        <v>701</v>
      </c>
      <c r="EH193" s="710" t="s">
        <v>701</v>
      </c>
      <c r="EI193" s="632" t="s">
        <v>504</v>
      </c>
      <c r="EJ193" s="632" t="s">
        <v>701</v>
      </c>
      <c r="EK193" s="710" t="s">
        <v>701</v>
      </c>
      <c r="EL193" s="688">
        <v>1</v>
      </c>
      <c r="EM193" s="632" t="s">
        <v>701</v>
      </c>
      <c r="EN193" s="670">
        <v>2</v>
      </c>
      <c r="EO193" s="632" t="s">
        <v>500</v>
      </c>
      <c r="EP193" s="632" t="s">
        <v>1083</v>
      </c>
      <c r="EQ193" s="632" t="s">
        <v>1079</v>
      </c>
      <c r="ER193" s="632" t="s">
        <v>701</v>
      </c>
      <c r="ES193" s="728" t="s">
        <v>1078</v>
      </c>
      <c r="ET193" s="632" t="s">
        <v>1084</v>
      </c>
      <c r="EU193" s="632" t="s">
        <v>1085</v>
      </c>
      <c r="EV193" s="632" t="s">
        <v>1086</v>
      </c>
      <c r="EW193" s="632">
        <v>10</v>
      </c>
      <c r="EX193" s="632">
        <v>427</v>
      </c>
    </row>
    <row r="194" spans="3:154" ht="72.95" customHeight="1" x14ac:dyDescent="0.2">
      <c r="C194" s="1156" t="s">
        <v>5478</v>
      </c>
      <c r="D194" s="1156" t="s">
        <v>5277</v>
      </c>
      <c r="E194" s="738" t="s">
        <v>362</v>
      </c>
      <c r="F194" s="738" t="s">
        <v>447</v>
      </c>
      <c r="G194" s="738"/>
      <c r="H194" s="632"/>
      <c r="I194" s="632"/>
      <c r="J194" s="1177" t="s">
        <v>1099</v>
      </c>
      <c r="K194" s="377">
        <v>43831</v>
      </c>
      <c r="L194" s="377">
        <v>44196</v>
      </c>
      <c r="M194" s="1369">
        <f t="shared" si="21"/>
        <v>365</v>
      </c>
      <c r="N194" s="632" t="s">
        <v>1090</v>
      </c>
      <c r="O194" s="632" t="s">
        <v>1090</v>
      </c>
      <c r="P194" s="728" t="s">
        <v>1091</v>
      </c>
      <c r="Q194" s="632" t="s">
        <v>465</v>
      </c>
      <c r="R194" s="632" t="s">
        <v>465</v>
      </c>
      <c r="S194" s="632" t="s">
        <v>465</v>
      </c>
      <c r="T194" s="632" t="s">
        <v>465</v>
      </c>
      <c r="U194" s="632" t="s">
        <v>465</v>
      </c>
      <c r="V194" s="632" t="s">
        <v>465</v>
      </c>
      <c r="W194" s="632" t="s">
        <v>465</v>
      </c>
      <c r="X194" s="632" t="s">
        <v>465</v>
      </c>
      <c r="Y194" s="632"/>
      <c r="Z194" s="632"/>
      <c r="AA194" s="632" t="s">
        <v>1092</v>
      </c>
      <c r="AB194" s="632" t="s">
        <v>1093</v>
      </c>
      <c r="AC194" s="632" t="s">
        <v>519</v>
      </c>
      <c r="AD194" s="632" t="s">
        <v>1094</v>
      </c>
      <c r="AE194" s="702">
        <v>229.33099999999999</v>
      </c>
      <c r="AF194" s="671">
        <f t="shared" si="17"/>
        <v>229.33139999999997</v>
      </c>
      <c r="AG194" s="671">
        <f t="shared" si="18"/>
        <v>3.9999999998485691E-4</v>
      </c>
      <c r="AH194" s="702">
        <v>40.366399999999999</v>
      </c>
      <c r="AI194" s="683">
        <v>0.17599999999999999</v>
      </c>
      <c r="AJ194" s="683">
        <v>5.0000000000000001E-4</v>
      </c>
      <c r="AK194" s="702">
        <v>5.0750000000000002</v>
      </c>
      <c r="AL194" s="683">
        <v>2.2100000000000002E-2</v>
      </c>
      <c r="AM194" s="683"/>
      <c r="AN194" s="702">
        <v>0</v>
      </c>
      <c r="AO194" s="683">
        <v>0</v>
      </c>
      <c r="AP194" s="702">
        <v>0</v>
      </c>
      <c r="AQ194" s="683">
        <v>0</v>
      </c>
      <c r="AR194" s="702">
        <v>183.89</v>
      </c>
      <c r="AS194" s="683">
        <v>0.80184999999999995</v>
      </c>
      <c r="AT194" s="632" t="s">
        <v>824</v>
      </c>
      <c r="AU194" s="661" t="s">
        <v>1095</v>
      </c>
      <c r="AV194" s="632" t="s">
        <v>1092</v>
      </c>
      <c r="AW194" s="632" t="s">
        <v>500</v>
      </c>
      <c r="AX194" s="632" t="s">
        <v>838</v>
      </c>
      <c r="AY194" s="632">
        <v>0</v>
      </c>
      <c r="AZ194" s="683">
        <v>0</v>
      </c>
      <c r="BA194" s="632">
        <v>45.835999999999999</v>
      </c>
      <c r="BB194" s="683">
        <v>5.9999999999999995E-4</v>
      </c>
      <c r="BC194" s="710">
        <v>357</v>
      </c>
      <c r="BD194" s="710">
        <v>357</v>
      </c>
      <c r="BE194" s="706">
        <v>146</v>
      </c>
      <c r="BF194" s="710">
        <v>0</v>
      </c>
      <c r="BG194" s="710">
        <v>8</v>
      </c>
      <c r="BH194" s="710">
        <v>34</v>
      </c>
      <c r="BI194" s="710">
        <v>0</v>
      </c>
      <c r="BJ194" s="710">
        <v>0</v>
      </c>
      <c r="BK194" s="710">
        <v>9</v>
      </c>
      <c r="BL194" s="710">
        <v>0</v>
      </c>
      <c r="BM194" s="710">
        <v>0</v>
      </c>
      <c r="BN194" s="710">
        <v>13</v>
      </c>
      <c r="BO194" s="710">
        <v>0</v>
      </c>
      <c r="BP194" s="710">
        <v>13</v>
      </c>
      <c r="BQ194" s="710">
        <v>31</v>
      </c>
      <c r="BR194" s="710">
        <v>0</v>
      </c>
      <c r="BS194" s="710">
        <v>32</v>
      </c>
      <c r="BT194" s="710">
        <v>0</v>
      </c>
      <c r="BU194" s="710">
        <v>0</v>
      </c>
      <c r="BV194" s="710">
        <v>3</v>
      </c>
      <c r="BW194" s="710">
        <v>0</v>
      </c>
      <c r="BX194" s="710">
        <v>0</v>
      </c>
      <c r="BY194" s="710">
        <v>0</v>
      </c>
      <c r="BZ194" s="710">
        <v>3</v>
      </c>
      <c r="CA194" s="717">
        <f t="shared" si="24"/>
        <v>146</v>
      </c>
      <c r="CB194" s="717">
        <f t="shared" si="19"/>
        <v>146</v>
      </c>
      <c r="CC194" s="717">
        <f t="shared" si="20"/>
        <v>0</v>
      </c>
      <c r="CD194" s="671">
        <v>241.483</v>
      </c>
      <c r="CE194" s="632" t="s">
        <v>1096</v>
      </c>
      <c r="CF194" s="728" t="s">
        <v>1091</v>
      </c>
      <c r="CG194" s="683">
        <v>0.29299999999999998</v>
      </c>
      <c r="CH194" s="671">
        <v>1229.8240000000001</v>
      </c>
      <c r="CI194" s="1203" t="s">
        <v>1080</v>
      </c>
      <c r="CJ194" s="632" t="s">
        <v>504</v>
      </c>
      <c r="CK194" s="632" t="s">
        <v>504</v>
      </c>
      <c r="CL194" s="632" t="s">
        <v>504</v>
      </c>
      <c r="CM194" s="632" t="s">
        <v>504</v>
      </c>
      <c r="CN194" s="632" t="s">
        <v>504</v>
      </c>
      <c r="CO194" s="632">
        <v>4</v>
      </c>
      <c r="CP194" s="632" t="s">
        <v>465</v>
      </c>
      <c r="CQ194" s="632" t="s">
        <v>465</v>
      </c>
      <c r="CR194" s="710" t="s">
        <v>465</v>
      </c>
      <c r="CS194" s="632" t="s">
        <v>500</v>
      </c>
      <c r="CT194" s="632" t="s">
        <v>794</v>
      </c>
      <c r="CU194" s="710">
        <v>241483</v>
      </c>
      <c r="CV194" s="710" t="s">
        <v>504</v>
      </c>
      <c r="CW194" s="710" t="s">
        <v>504</v>
      </c>
      <c r="CX194" s="710" t="s">
        <v>504</v>
      </c>
      <c r="CY194" s="710" t="s">
        <v>504</v>
      </c>
      <c r="CZ194" s="710" t="s">
        <v>504</v>
      </c>
      <c r="DA194" s="710" t="s">
        <v>504</v>
      </c>
      <c r="DB194" s="710" t="s">
        <v>504</v>
      </c>
      <c r="DC194" s="710" t="s">
        <v>504</v>
      </c>
      <c r="DD194" s="710" t="s">
        <v>504</v>
      </c>
      <c r="DE194" s="710" t="s">
        <v>504</v>
      </c>
      <c r="DF194" s="710" t="s">
        <v>504</v>
      </c>
      <c r="DG194" s="710" t="s">
        <v>504</v>
      </c>
      <c r="DH194" s="710" t="s">
        <v>504</v>
      </c>
      <c r="DI194" s="710" t="s">
        <v>504</v>
      </c>
      <c r="DJ194" s="710" t="s">
        <v>504</v>
      </c>
      <c r="DK194" s="710" t="s">
        <v>504</v>
      </c>
      <c r="DL194" s="710" t="s">
        <v>504</v>
      </c>
      <c r="DM194" s="710" t="s">
        <v>504</v>
      </c>
      <c r="DN194" s="710" t="s">
        <v>504</v>
      </c>
      <c r="DO194" s="710" t="s">
        <v>504</v>
      </c>
      <c r="DP194" s="710" t="s">
        <v>504</v>
      </c>
      <c r="DQ194" s="632" t="s">
        <v>504</v>
      </c>
      <c r="DR194" s="632" t="s">
        <v>504</v>
      </c>
      <c r="DS194" s="710" t="s">
        <v>504</v>
      </c>
      <c r="DT194" s="710" t="s">
        <v>504</v>
      </c>
      <c r="DU194" s="710" t="s">
        <v>504</v>
      </c>
      <c r="DV194" s="710" t="s">
        <v>504</v>
      </c>
      <c r="DW194" s="710" t="s">
        <v>504</v>
      </c>
      <c r="DX194" s="710" t="s">
        <v>504</v>
      </c>
      <c r="DY194" s="710" t="s">
        <v>504</v>
      </c>
      <c r="DZ194" s="710" t="s">
        <v>504</v>
      </c>
      <c r="EA194" s="710" t="s">
        <v>504</v>
      </c>
      <c r="EB194" s="710" t="s">
        <v>504</v>
      </c>
      <c r="EC194" s="710" t="s">
        <v>504</v>
      </c>
      <c r="ED194" s="710" t="s">
        <v>504</v>
      </c>
      <c r="EE194" s="710" t="s">
        <v>504</v>
      </c>
      <c r="EF194" s="710" t="s">
        <v>504</v>
      </c>
      <c r="EG194" s="710" t="s">
        <v>504</v>
      </c>
      <c r="EH194" s="710" t="s">
        <v>504</v>
      </c>
      <c r="EI194" s="710" t="s">
        <v>504</v>
      </c>
      <c r="EJ194" s="710" t="s">
        <v>504</v>
      </c>
      <c r="EK194" s="710" t="s">
        <v>504</v>
      </c>
      <c r="EL194" s="632" t="s">
        <v>465</v>
      </c>
      <c r="EM194" s="632" t="s">
        <v>1097</v>
      </c>
      <c r="EN194" s="670">
        <v>141</v>
      </c>
      <c r="EO194" s="632" t="s">
        <v>504</v>
      </c>
      <c r="EP194" s="632" t="s">
        <v>465</v>
      </c>
      <c r="EQ194" s="632" t="s">
        <v>465</v>
      </c>
      <c r="ER194" s="632" t="s">
        <v>465</v>
      </c>
      <c r="ES194" s="632" t="s">
        <v>465</v>
      </c>
      <c r="ET194" s="632" t="s">
        <v>465</v>
      </c>
      <c r="EU194" s="632" t="s">
        <v>465</v>
      </c>
      <c r="EV194" s="632" t="s">
        <v>1098</v>
      </c>
      <c r="EW194" s="632">
        <v>24</v>
      </c>
      <c r="EX194" s="632">
        <v>600</v>
      </c>
    </row>
    <row r="195" spans="3:154" ht="80.099999999999994" customHeight="1" x14ac:dyDescent="0.2">
      <c r="C195" s="1156" t="s">
        <v>5479</v>
      </c>
      <c r="D195" s="1156" t="s">
        <v>5277</v>
      </c>
      <c r="E195" s="738" t="s">
        <v>362</v>
      </c>
      <c r="F195" s="738" t="s">
        <v>447</v>
      </c>
      <c r="G195" s="738"/>
      <c r="H195" s="632" t="s">
        <v>1100</v>
      </c>
      <c r="I195" s="632" t="s">
        <v>1101</v>
      </c>
      <c r="J195" s="637">
        <v>2017</v>
      </c>
      <c r="K195" s="377">
        <v>43831</v>
      </c>
      <c r="L195" s="377">
        <v>44196</v>
      </c>
      <c r="M195" s="1369">
        <f t="shared" si="21"/>
        <v>365</v>
      </c>
      <c r="N195" s="632" t="s">
        <v>1102</v>
      </c>
      <c r="O195" s="632" t="s">
        <v>1100</v>
      </c>
      <c r="P195" s="653" t="s">
        <v>1103</v>
      </c>
      <c r="Q195" s="632" t="s">
        <v>1104</v>
      </c>
      <c r="R195" s="632" t="s">
        <v>1104</v>
      </c>
      <c r="S195" s="632" t="s">
        <v>1104</v>
      </c>
      <c r="T195" s="632" t="s">
        <v>1104</v>
      </c>
      <c r="U195" s="632" t="s">
        <v>1104</v>
      </c>
      <c r="V195" s="632" t="s">
        <v>1104</v>
      </c>
      <c r="W195" s="632" t="s">
        <v>1104</v>
      </c>
      <c r="X195" s="632" t="s">
        <v>1104</v>
      </c>
      <c r="Y195" s="632"/>
      <c r="Z195" s="632"/>
      <c r="AA195" s="632" t="s">
        <v>1105</v>
      </c>
      <c r="AB195" s="632" t="s">
        <v>1106</v>
      </c>
      <c r="AC195" s="632" t="s">
        <v>519</v>
      </c>
      <c r="AD195" s="661" t="s">
        <v>1107</v>
      </c>
      <c r="AE195" s="676">
        <v>377.99817926999998</v>
      </c>
      <c r="AF195" s="671">
        <f t="shared" si="17"/>
        <v>377.99820101</v>
      </c>
      <c r="AG195" s="671">
        <f t="shared" si="18"/>
        <v>2.1740000022418826E-5</v>
      </c>
      <c r="AH195" s="702">
        <v>10.773099999999999</v>
      </c>
      <c r="AI195" s="688">
        <v>0.03</v>
      </c>
      <c r="AJ195" s="683">
        <v>1E-4</v>
      </c>
      <c r="AK195" s="702">
        <v>18.899901010000001</v>
      </c>
      <c r="AL195" s="688">
        <v>0.05</v>
      </c>
      <c r="AM195" s="688"/>
      <c r="AN195" s="702"/>
      <c r="AO195" s="671"/>
      <c r="AP195" s="702"/>
      <c r="AQ195" s="671"/>
      <c r="AR195" s="702">
        <v>348.3252</v>
      </c>
      <c r="AS195" s="688">
        <v>0.92</v>
      </c>
      <c r="AT195" s="632" t="s">
        <v>1108</v>
      </c>
      <c r="AU195" s="632" t="s">
        <v>946</v>
      </c>
      <c r="AV195" s="632" t="s">
        <v>1109</v>
      </c>
      <c r="AW195" s="632" t="s">
        <v>504</v>
      </c>
      <c r="AX195" s="632" t="s">
        <v>1104</v>
      </c>
      <c r="AY195" s="632"/>
      <c r="AZ195" s="632" t="s">
        <v>1104</v>
      </c>
      <c r="BA195" s="706">
        <v>478.56099999999998</v>
      </c>
      <c r="BB195" s="682">
        <v>6.1999999999999998E-3</v>
      </c>
      <c r="BC195" s="710">
        <v>16</v>
      </c>
      <c r="BD195" s="710">
        <v>16</v>
      </c>
      <c r="BE195" s="706">
        <v>16</v>
      </c>
      <c r="BF195" s="710"/>
      <c r="BG195" s="710"/>
      <c r="BH195" s="710"/>
      <c r="BI195" s="710"/>
      <c r="BJ195" s="710"/>
      <c r="BK195" s="710"/>
      <c r="BL195" s="710"/>
      <c r="BM195" s="710"/>
      <c r="BN195" s="710"/>
      <c r="BO195" s="710"/>
      <c r="BP195" s="710"/>
      <c r="BQ195" s="710">
        <v>16</v>
      </c>
      <c r="BR195" s="710"/>
      <c r="BS195" s="710"/>
      <c r="BT195" s="710"/>
      <c r="BU195" s="710"/>
      <c r="BV195" s="710"/>
      <c r="BW195" s="710"/>
      <c r="BX195" s="710"/>
      <c r="BY195" s="710"/>
      <c r="BZ195" s="710"/>
      <c r="CA195" s="717">
        <f t="shared" si="24"/>
        <v>16</v>
      </c>
      <c r="CB195" s="717">
        <f t="shared" si="19"/>
        <v>16</v>
      </c>
      <c r="CC195" s="717">
        <f t="shared" si="20"/>
        <v>0</v>
      </c>
      <c r="CD195" s="700">
        <v>236</v>
      </c>
      <c r="CE195" s="1307" t="s">
        <v>1110</v>
      </c>
      <c r="CF195" s="661">
        <f>EL221</f>
        <v>0</v>
      </c>
      <c r="CG195" s="688">
        <v>0.2</v>
      </c>
      <c r="CH195" s="671">
        <v>1229.8240000000001</v>
      </c>
      <c r="CI195" s="733" t="s">
        <v>1080</v>
      </c>
      <c r="CJ195" s="632" t="s">
        <v>504</v>
      </c>
      <c r="CK195" s="632" t="s">
        <v>1104</v>
      </c>
      <c r="CL195" s="632" t="s">
        <v>1104</v>
      </c>
      <c r="CM195" s="632" t="s">
        <v>1104</v>
      </c>
      <c r="CN195" s="710" t="s">
        <v>1104</v>
      </c>
      <c r="CO195" s="710">
        <v>12</v>
      </c>
      <c r="CP195" s="632" t="s">
        <v>471</v>
      </c>
      <c r="CQ195" s="661" t="s">
        <v>1111</v>
      </c>
      <c r="CR195" s="735">
        <v>85584</v>
      </c>
      <c r="CS195" s="632" t="s">
        <v>504</v>
      </c>
      <c r="CT195" s="736"/>
      <c r="CU195" s="737"/>
      <c r="CV195" s="710" t="s">
        <v>504</v>
      </c>
      <c r="CW195" s="710" t="s">
        <v>1104</v>
      </c>
      <c r="CX195" s="710" t="s">
        <v>1104</v>
      </c>
      <c r="CY195" s="710" t="s">
        <v>504</v>
      </c>
      <c r="CZ195" s="710" t="s">
        <v>1104</v>
      </c>
      <c r="DA195" s="710" t="s">
        <v>1104</v>
      </c>
      <c r="DB195" s="632" t="s">
        <v>504</v>
      </c>
      <c r="DC195" s="632" t="s">
        <v>1104</v>
      </c>
      <c r="DD195" s="710" t="s">
        <v>1104</v>
      </c>
      <c r="DE195" s="632" t="s">
        <v>504</v>
      </c>
      <c r="DF195" s="632" t="s">
        <v>1104</v>
      </c>
      <c r="DG195" s="710" t="s">
        <v>1104</v>
      </c>
      <c r="DH195" s="632" t="s">
        <v>504</v>
      </c>
      <c r="DI195" s="632" t="s">
        <v>1104</v>
      </c>
      <c r="DJ195" s="710" t="s">
        <v>1104</v>
      </c>
      <c r="DK195" s="632"/>
      <c r="DL195" s="632"/>
      <c r="DM195" s="710"/>
      <c r="DN195" s="632" t="s">
        <v>500</v>
      </c>
      <c r="DO195" s="653" t="s">
        <v>1112</v>
      </c>
      <c r="DP195" s="710">
        <v>85584</v>
      </c>
      <c r="DQ195" s="632" t="s">
        <v>504</v>
      </c>
      <c r="DR195" s="632" t="s">
        <v>1104</v>
      </c>
      <c r="DS195" s="632" t="s">
        <v>1104</v>
      </c>
      <c r="DT195" s="710" t="s">
        <v>504</v>
      </c>
      <c r="DU195" s="710" t="s">
        <v>1104</v>
      </c>
      <c r="DV195" s="710" t="s">
        <v>1104</v>
      </c>
      <c r="DW195" s="632" t="s">
        <v>504</v>
      </c>
      <c r="DX195" s="710" t="s">
        <v>1104</v>
      </c>
      <c r="DY195" s="710" t="s">
        <v>1104</v>
      </c>
      <c r="DZ195" s="632" t="s">
        <v>504</v>
      </c>
      <c r="EA195" s="710" t="s">
        <v>1104</v>
      </c>
      <c r="EB195" s="710" t="s">
        <v>1104</v>
      </c>
      <c r="EC195" s="632" t="s">
        <v>504</v>
      </c>
      <c r="ED195" s="735">
        <f>-FF195</f>
        <v>0</v>
      </c>
      <c r="EE195" s="710"/>
      <c r="EF195" s="710"/>
      <c r="EG195" s="737"/>
      <c r="EH195" s="710" t="s">
        <v>1104</v>
      </c>
      <c r="EI195" s="632" t="s">
        <v>504</v>
      </c>
      <c r="EJ195" s="632" t="s">
        <v>1104</v>
      </c>
      <c r="EK195" s="710" t="s">
        <v>1104</v>
      </c>
      <c r="EL195" s="742" t="s">
        <v>465</v>
      </c>
      <c r="EM195" s="688" t="s">
        <v>1113</v>
      </c>
      <c r="EN195" s="670">
        <v>7</v>
      </c>
      <c r="EO195" s="632" t="s">
        <v>504</v>
      </c>
      <c r="EP195" s="632" t="s">
        <v>1104</v>
      </c>
      <c r="EQ195" s="653" t="s">
        <v>1112</v>
      </c>
      <c r="ER195" s="653" t="s">
        <v>1114</v>
      </c>
      <c r="ES195" s="653" t="s">
        <v>1115</v>
      </c>
      <c r="ET195" s="632" t="s">
        <v>1116</v>
      </c>
      <c r="EU195" s="653" t="s">
        <v>1115</v>
      </c>
      <c r="EV195" s="632" t="s">
        <v>1104</v>
      </c>
      <c r="EW195" s="632" t="s">
        <v>1104</v>
      </c>
      <c r="EX195" s="632" t="s">
        <v>1104</v>
      </c>
    </row>
    <row r="196" spans="3:154" ht="80.099999999999994" customHeight="1" x14ac:dyDescent="0.2">
      <c r="C196" s="1156" t="s">
        <v>693</v>
      </c>
      <c r="D196" s="1156" t="s">
        <v>5278</v>
      </c>
      <c r="E196" s="1104" t="s">
        <v>362</v>
      </c>
      <c r="F196" s="1104" t="s">
        <v>447</v>
      </c>
      <c r="G196" s="1308" t="s">
        <v>3549</v>
      </c>
      <c r="H196" s="1308" t="s">
        <v>3550</v>
      </c>
      <c r="I196" s="1308" t="s">
        <v>3550</v>
      </c>
      <c r="J196" s="1309">
        <v>2016</v>
      </c>
      <c r="K196" s="1132">
        <v>43621</v>
      </c>
      <c r="L196" s="1132">
        <v>43845</v>
      </c>
      <c r="M196" s="1369">
        <f t="shared" si="21"/>
        <v>224</v>
      </c>
      <c r="N196" s="1132"/>
      <c r="O196" s="1132"/>
      <c r="P196" s="1132"/>
      <c r="Q196" s="1132"/>
      <c r="R196" s="1132"/>
      <c r="S196" s="1132"/>
      <c r="T196" s="1132"/>
      <c r="U196" s="1132"/>
      <c r="V196" s="1132"/>
      <c r="W196" s="1132"/>
      <c r="X196" s="1132"/>
      <c r="Y196" s="1308" t="s">
        <v>3551</v>
      </c>
      <c r="Z196" s="1310" t="s">
        <v>3552</v>
      </c>
      <c r="AA196" s="1308" t="s">
        <v>3553</v>
      </c>
      <c r="AB196" s="1308" t="s">
        <v>3553</v>
      </c>
      <c r="AC196" s="1308" t="s">
        <v>3360</v>
      </c>
      <c r="AD196" s="1308" t="s">
        <v>3553</v>
      </c>
      <c r="AE196" s="1311">
        <v>0.40899999999999997</v>
      </c>
      <c r="AF196" s="1113">
        <f t="shared" si="17"/>
        <v>0.40899999999999997</v>
      </c>
      <c r="AG196" s="1113">
        <f t="shared" si="18"/>
        <v>0</v>
      </c>
      <c r="AH196" s="1311"/>
      <c r="AI196" s="1312"/>
      <c r="AJ196" s="1312"/>
      <c r="AK196" s="1311">
        <v>0.40899999999999997</v>
      </c>
      <c r="AL196" s="1313">
        <v>1</v>
      </c>
      <c r="AM196" s="1313">
        <v>2.5600000000000001E-2</v>
      </c>
      <c r="AN196" s="1311">
        <v>0</v>
      </c>
      <c r="AO196" s="1313">
        <v>0</v>
      </c>
      <c r="AP196" s="1311">
        <v>0</v>
      </c>
      <c r="AQ196" s="1313">
        <v>0</v>
      </c>
      <c r="AR196" s="1311"/>
      <c r="AS196" s="1313"/>
      <c r="AT196" s="1313"/>
      <c r="AU196" s="1313"/>
      <c r="AV196" s="1313"/>
      <c r="AW196" s="1313" t="s">
        <v>504</v>
      </c>
      <c r="AX196" s="1313"/>
      <c r="AY196" s="1313"/>
      <c r="AZ196" s="1313"/>
      <c r="BA196" s="1312">
        <v>0.5</v>
      </c>
      <c r="BB196" s="1313">
        <v>2.2499999999999999E-2</v>
      </c>
      <c r="BC196" s="1314">
        <v>1</v>
      </c>
      <c r="BD196" s="1314">
        <v>1</v>
      </c>
      <c r="BE196" s="1315">
        <v>1</v>
      </c>
      <c r="BF196" s="1314"/>
      <c r="BG196" s="1314"/>
      <c r="BH196" s="1314"/>
      <c r="BI196" s="1314"/>
      <c r="BJ196" s="1314"/>
      <c r="BK196" s="1314"/>
      <c r="BL196" s="1314"/>
      <c r="BM196" s="1314"/>
      <c r="BN196" s="1314"/>
      <c r="BO196" s="1314"/>
      <c r="BP196" s="1314"/>
      <c r="BQ196" s="1314"/>
      <c r="BR196" s="1314"/>
      <c r="BS196" s="1314"/>
      <c r="BT196" s="1314"/>
      <c r="BU196" s="1314"/>
      <c r="BV196" s="1314"/>
      <c r="BW196" s="1314"/>
      <c r="BX196" s="1314"/>
      <c r="BY196" s="1314"/>
      <c r="BZ196" s="1314">
        <v>1</v>
      </c>
      <c r="CA196" s="1316">
        <f t="shared" si="24"/>
        <v>1</v>
      </c>
      <c r="CB196" s="1117">
        <f t="shared" si="19"/>
        <v>1</v>
      </c>
      <c r="CC196" s="1117">
        <f t="shared" si="20"/>
        <v>0</v>
      </c>
      <c r="CD196" s="1312">
        <v>0.59699999999999998</v>
      </c>
      <c r="CE196" s="1308" t="s">
        <v>3554</v>
      </c>
      <c r="CF196" s="1314"/>
      <c r="CG196" s="1308">
        <v>12.55</v>
      </c>
      <c r="CH196" s="1312">
        <v>4.7539999999999996</v>
      </c>
      <c r="CI196" s="1310" t="s">
        <v>3555</v>
      </c>
      <c r="CJ196" s="1308" t="s">
        <v>504</v>
      </c>
      <c r="CK196" s="1308"/>
      <c r="CL196" s="1308"/>
      <c r="CM196" s="1314"/>
      <c r="CN196" s="1314"/>
      <c r="CO196" s="1314">
        <v>2</v>
      </c>
      <c r="CP196" s="1308" t="s">
        <v>504</v>
      </c>
      <c r="CQ196" s="1308"/>
      <c r="CR196" s="1314"/>
      <c r="CS196" s="1308" t="s">
        <v>504</v>
      </c>
      <c r="CT196" s="1308"/>
      <c r="CU196" s="1314"/>
      <c r="CV196" s="1308" t="s">
        <v>504</v>
      </c>
      <c r="CW196" s="1314"/>
      <c r="CX196" s="1314"/>
      <c r="CY196" s="1308" t="s">
        <v>504</v>
      </c>
      <c r="CZ196" s="1314"/>
      <c r="DA196" s="1314"/>
      <c r="DB196" s="1308" t="s">
        <v>504</v>
      </c>
      <c r="DC196" s="1308"/>
      <c r="DD196" s="1314"/>
      <c r="DE196" s="1308" t="s">
        <v>504</v>
      </c>
      <c r="DF196" s="1308"/>
      <c r="DG196" s="1314"/>
      <c r="DH196" s="1308" t="s">
        <v>504</v>
      </c>
      <c r="DI196" s="1308"/>
      <c r="DJ196" s="1314"/>
      <c r="DK196" s="1308" t="s">
        <v>500</v>
      </c>
      <c r="DL196" s="1308" t="s">
        <v>3556</v>
      </c>
      <c r="DM196" s="1314">
        <v>112</v>
      </c>
      <c r="DN196" s="1308" t="s">
        <v>504</v>
      </c>
      <c r="DO196" s="1308"/>
      <c r="DP196" s="1314"/>
      <c r="DQ196" s="1308" t="s">
        <v>504</v>
      </c>
      <c r="DR196" s="1308"/>
      <c r="DS196" s="1314"/>
      <c r="DT196" s="1308" t="s">
        <v>504</v>
      </c>
      <c r="DU196" s="1314"/>
      <c r="DV196" s="1314"/>
      <c r="DW196" s="1308" t="s">
        <v>504</v>
      </c>
      <c r="DX196" s="1308"/>
      <c r="DY196" s="1314"/>
      <c r="DZ196" s="1308" t="s">
        <v>500</v>
      </c>
      <c r="EA196" s="1308" t="s">
        <v>935</v>
      </c>
      <c r="EB196" s="1314">
        <v>112</v>
      </c>
      <c r="EC196" s="1308" t="s">
        <v>504</v>
      </c>
      <c r="ED196" s="1308"/>
      <c r="EE196" s="1314"/>
      <c r="EF196" s="1308" t="s">
        <v>504</v>
      </c>
      <c r="EG196" s="1314"/>
      <c r="EH196" s="1314"/>
      <c r="EI196" s="1308" t="s">
        <v>504</v>
      </c>
      <c r="EJ196" s="1308"/>
      <c r="EK196" s="1314"/>
      <c r="EL196" s="1314"/>
      <c r="EM196" s="1314"/>
      <c r="EN196" s="1314"/>
      <c r="EO196" s="1308" t="s">
        <v>504</v>
      </c>
      <c r="EP196" s="1308"/>
      <c r="EQ196" s="1317" t="s">
        <v>3557</v>
      </c>
      <c r="ER196" s="1308"/>
      <c r="ES196" s="1308"/>
      <c r="ET196" s="1308" t="s">
        <v>3558</v>
      </c>
      <c r="EU196" s="1308"/>
      <c r="EV196" s="1308" t="s">
        <v>3559</v>
      </c>
      <c r="EW196" s="1308">
        <v>19</v>
      </c>
      <c r="EX196" s="1308" t="s">
        <v>3560</v>
      </c>
    </row>
    <row r="197" spans="3:154" ht="80.099999999999994" customHeight="1" x14ac:dyDescent="0.2">
      <c r="C197" s="1156" t="s">
        <v>693</v>
      </c>
      <c r="D197" s="1156" t="s">
        <v>5278</v>
      </c>
      <c r="E197" s="1104" t="s">
        <v>362</v>
      </c>
      <c r="F197" s="1104" t="s">
        <v>447</v>
      </c>
      <c r="G197" s="1104" t="s">
        <v>3561</v>
      </c>
      <c r="H197" s="1104" t="s">
        <v>694</v>
      </c>
      <c r="I197" s="1104" t="s">
        <v>694</v>
      </c>
      <c r="J197" s="1122">
        <v>2016</v>
      </c>
      <c r="K197" s="1125">
        <v>44013</v>
      </c>
      <c r="L197" s="1125">
        <v>44134</v>
      </c>
      <c r="M197" s="1369">
        <f t="shared" si="21"/>
        <v>121</v>
      </c>
      <c r="N197" s="1125"/>
      <c r="O197" s="1125"/>
      <c r="P197" s="1125"/>
      <c r="Q197" s="1125"/>
      <c r="R197" s="1125"/>
      <c r="S197" s="1125"/>
      <c r="T197" s="1125"/>
      <c r="U197" s="1125"/>
      <c r="V197" s="1125"/>
      <c r="W197" s="1125"/>
      <c r="X197" s="1125"/>
      <c r="Y197" s="1104" t="s">
        <v>3562</v>
      </c>
      <c r="Z197" s="1188" t="s">
        <v>3563</v>
      </c>
      <c r="AA197" s="1104" t="s">
        <v>3564</v>
      </c>
      <c r="AB197" s="1104" t="s">
        <v>3564</v>
      </c>
      <c r="AC197" s="1104" t="s">
        <v>2731</v>
      </c>
      <c r="AD197" s="1104" t="s">
        <v>3564</v>
      </c>
      <c r="AE197" s="1178">
        <v>2</v>
      </c>
      <c r="AF197" s="1113">
        <f t="shared" si="17"/>
        <v>2</v>
      </c>
      <c r="AG197" s="1113">
        <f t="shared" si="18"/>
        <v>0</v>
      </c>
      <c r="AH197" s="1178"/>
      <c r="AI197" s="1182"/>
      <c r="AJ197" s="1182"/>
      <c r="AK197" s="1112">
        <v>2</v>
      </c>
      <c r="AL197" s="1114">
        <v>1</v>
      </c>
      <c r="AM197" s="1114">
        <v>5.5E-2</v>
      </c>
      <c r="AN197" s="1112"/>
      <c r="AO197" s="1114"/>
      <c r="AP197" s="1112"/>
      <c r="AQ197" s="1114"/>
      <c r="AR197" s="1112"/>
      <c r="AS197" s="1114"/>
      <c r="AT197" s="1114"/>
      <c r="AU197" s="1114"/>
      <c r="AV197" s="1114"/>
      <c r="AW197" s="1114" t="s">
        <v>504</v>
      </c>
      <c r="AX197" s="1114"/>
      <c r="AY197" s="1114"/>
      <c r="AZ197" s="1114"/>
      <c r="BA197" s="1113">
        <v>2</v>
      </c>
      <c r="BB197" s="1114">
        <v>5.1999999999999998E-2</v>
      </c>
      <c r="BC197" s="1115">
        <v>6</v>
      </c>
      <c r="BD197" s="1115">
        <v>2</v>
      </c>
      <c r="BE197" s="1116">
        <v>2</v>
      </c>
      <c r="BF197" s="1115"/>
      <c r="BG197" s="1115"/>
      <c r="BH197" s="1115"/>
      <c r="BI197" s="1115"/>
      <c r="BJ197" s="1115"/>
      <c r="BK197" s="1115"/>
      <c r="BL197" s="1115"/>
      <c r="BM197" s="1115"/>
      <c r="BN197" s="1115"/>
      <c r="BO197" s="1115"/>
      <c r="BP197" s="1115"/>
      <c r="BQ197" s="1115">
        <v>2</v>
      </c>
      <c r="BR197" s="1115"/>
      <c r="BS197" s="1115"/>
      <c r="BT197" s="1115"/>
      <c r="BU197" s="1115"/>
      <c r="BV197" s="1115"/>
      <c r="BW197" s="1115"/>
      <c r="BX197" s="1115"/>
      <c r="BY197" s="1115"/>
      <c r="BZ197" s="1115"/>
      <c r="CA197" s="1117">
        <f t="shared" si="24"/>
        <v>2</v>
      </c>
      <c r="CB197" s="1117">
        <f t="shared" si="19"/>
        <v>2</v>
      </c>
      <c r="CC197" s="1117">
        <f t="shared" si="20"/>
        <v>0</v>
      </c>
      <c r="CD197" s="1113">
        <v>12.6</v>
      </c>
      <c r="CE197" s="1109"/>
      <c r="CF197" s="1109"/>
      <c r="CG197" s="1109">
        <v>33.4</v>
      </c>
      <c r="CH197" s="1113">
        <v>37.673999999999999</v>
      </c>
      <c r="CI197" s="1191" t="s">
        <v>3565</v>
      </c>
      <c r="CJ197" s="1109" t="s">
        <v>504</v>
      </c>
      <c r="CK197" s="1109"/>
      <c r="CL197" s="1109"/>
      <c r="CM197" s="1115"/>
      <c r="CN197" s="1115"/>
      <c r="CO197" s="1115">
        <v>2</v>
      </c>
      <c r="CP197" s="1104" t="s">
        <v>500</v>
      </c>
      <c r="CQ197" s="1104" t="s">
        <v>3566</v>
      </c>
      <c r="CR197" s="1130">
        <v>12</v>
      </c>
      <c r="CS197" s="1109" t="s">
        <v>504</v>
      </c>
      <c r="CT197" s="1109"/>
      <c r="CU197" s="1115"/>
      <c r="CV197" s="1115" t="s">
        <v>504</v>
      </c>
      <c r="CW197" s="1115"/>
      <c r="CX197" s="1115"/>
      <c r="CY197" s="1115" t="s">
        <v>504</v>
      </c>
      <c r="CZ197" s="1115"/>
      <c r="DA197" s="1115"/>
      <c r="DB197" s="1109" t="s">
        <v>504</v>
      </c>
      <c r="DC197" s="1109"/>
      <c r="DD197" s="1115"/>
      <c r="DE197" s="1109" t="s">
        <v>504</v>
      </c>
      <c r="DF197" s="1109"/>
      <c r="DG197" s="1115"/>
      <c r="DH197" s="1109" t="s">
        <v>504</v>
      </c>
      <c r="DI197" s="1109"/>
      <c r="DJ197" s="1115"/>
      <c r="DK197" s="1109" t="s">
        <v>504</v>
      </c>
      <c r="DL197" s="1109"/>
      <c r="DM197" s="1115"/>
      <c r="DN197" s="1109" t="s">
        <v>504</v>
      </c>
      <c r="DO197" s="1109"/>
      <c r="DP197" s="1115"/>
      <c r="DQ197" s="1109" t="s">
        <v>504</v>
      </c>
      <c r="DR197" s="1109"/>
      <c r="DS197" s="1115"/>
      <c r="DT197" s="1115" t="s">
        <v>504</v>
      </c>
      <c r="DU197" s="1115"/>
      <c r="DV197" s="1115"/>
      <c r="DW197" s="1109" t="s">
        <v>504</v>
      </c>
      <c r="DX197" s="1109"/>
      <c r="DY197" s="1115"/>
      <c r="DZ197" s="1104" t="s">
        <v>500</v>
      </c>
      <c r="EA197" s="1104" t="s">
        <v>3566</v>
      </c>
      <c r="EB197" s="1130">
        <v>12</v>
      </c>
      <c r="EC197" s="1109" t="s">
        <v>504</v>
      </c>
      <c r="ED197" s="1109"/>
      <c r="EE197" s="1115"/>
      <c r="EF197" s="1115" t="s">
        <v>504</v>
      </c>
      <c r="EG197" s="1115"/>
      <c r="EH197" s="1115"/>
      <c r="EI197" s="1109" t="s">
        <v>504</v>
      </c>
      <c r="EJ197" s="1109"/>
      <c r="EK197" s="1115"/>
      <c r="EL197" s="1115"/>
      <c r="EM197" s="1115"/>
      <c r="EN197" s="1115"/>
      <c r="EO197" s="1109" t="s">
        <v>504</v>
      </c>
      <c r="EP197" s="1109"/>
      <c r="EQ197" s="1188" t="s">
        <v>3567</v>
      </c>
      <c r="ER197" s="1109"/>
      <c r="ES197" s="1109"/>
      <c r="ET197" s="1109" t="s">
        <v>3568</v>
      </c>
      <c r="EU197" s="1109"/>
      <c r="EV197" s="1104" t="s">
        <v>3569</v>
      </c>
      <c r="EW197" s="1104">
        <v>1</v>
      </c>
      <c r="EX197" s="1104">
        <v>13</v>
      </c>
    </row>
    <row r="198" spans="3:154" customFormat="1" ht="80.099999999999994" customHeight="1" x14ac:dyDescent="0.25">
      <c r="C198" s="1156" t="s">
        <v>693</v>
      </c>
      <c r="D198" s="1156" t="s">
        <v>5278</v>
      </c>
      <c r="E198" s="1104" t="s">
        <v>362</v>
      </c>
      <c r="F198" s="1104" t="s">
        <v>447</v>
      </c>
      <c r="G198" s="1104" t="s">
        <v>3570</v>
      </c>
      <c r="H198" s="1104" t="s">
        <v>3571</v>
      </c>
      <c r="I198" s="1104" t="s">
        <v>694</v>
      </c>
      <c r="J198" s="1122" t="s">
        <v>3572</v>
      </c>
      <c r="K198" s="1125">
        <v>43922</v>
      </c>
      <c r="L198" s="1125">
        <v>44104</v>
      </c>
      <c r="M198" s="1369">
        <f t="shared" si="21"/>
        <v>182</v>
      </c>
      <c r="N198" s="1125"/>
      <c r="O198" s="1125"/>
      <c r="P198" s="1125"/>
      <c r="Q198" s="1125"/>
      <c r="R198" s="1125"/>
      <c r="S198" s="1125"/>
      <c r="T198" s="1125"/>
      <c r="U198" s="1125"/>
      <c r="V198" s="1125"/>
      <c r="W198" s="1125"/>
      <c r="X198" s="1125"/>
      <c r="Y198" s="1104" t="s">
        <v>3575</v>
      </c>
      <c r="Z198" s="1131"/>
      <c r="AA198" s="1104" t="s">
        <v>3576</v>
      </c>
      <c r="AB198" s="1104" t="s">
        <v>3576</v>
      </c>
      <c r="AC198" s="1104" t="s">
        <v>3577</v>
      </c>
      <c r="AD198" s="1104" t="s">
        <v>3576</v>
      </c>
      <c r="AE198" s="1178">
        <v>3.6999999999999998E-2</v>
      </c>
      <c r="AF198" s="1113">
        <f t="shared" si="17"/>
        <v>3.6999999999999998E-2</v>
      </c>
      <c r="AG198" s="1113">
        <f t="shared" si="18"/>
        <v>0</v>
      </c>
      <c r="AH198" s="1178"/>
      <c r="AI198" s="1182"/>
      <c r="AJ198" s="1182"/>
      <c r="AK198" s="1178">
        <v>3.6999999999999998E-2</v>
      </c>
      <c r="AL198" s="1114">
        <v>1</v>
      </c>
      <c r="AM198" s="1114">
        <v>1E-4</v>
      </c>
      <c r="AN198" s="1112"/>
      <c r="AO198" s="1114"/>
      <c r="AP198" s="1112"/>
      <c r="AQ198" s="1114"/>
      <c r="AR198" s="1112"/>
      <c r="AS198" s="1114"/>
      <c r="AT198" s="1114"/>
      <c r="AU198" s="1114"/>
      <c r="AV198" s="1114"/>
      <c r="AW198" s="1114" t="s">
        <v>504</v>
      </c>
      <c r="AX198" s="1114"/>
      <c r="AY198" s="1114"/>
      <c r="AZ198" s="1114"/>
      <c r="BA198" s="1113">
        <v>0.02</v>
      </c>
      <c r="BB198" s="1114">
        <v>1E-4</v>
      </c>
      <c r="BC198" s="1130">
        <v>2</v>
      </c>
      <c r="BD198" s="1130">
        <v>2</v>
      </c>
      <c r="BE198" s="1180">
        <v>1</v>
      </c>
      <c r="BF198" s="1115"/>
      <c r="BG198" s="1115"/>
      <c r="BH198" s="1115"/>
      <c r="BI198" s="1115"/>
      <c r="BJ198" s="1115"/>
      <c r="BK198" s="1115"/>
      <c r="BL198" s="1115"/>
      <c r="BM198" s="1115"/>
      <c r="BN198" s="1115"/>
      <c r="BO198" s="1115"/>
      <c r="BP198" s="1115"/>
      <c r="BQ198" s="1115">
        <v>1</v>
      </c>
      <c r="BR198" s="1115"/>
      <c r="BS198" s="1115"/>
      <c r="BT198" s="1115"/>
      <c r="BU198" s="1115"/>
      <c r="BV198" s="1115"/>
      <c r="BW198" s="1115"/>
      <c r="BX198" s="1115"/>
      <c r="BY198" s="1115"/>
      <c r="BZ198" s="1115"/>
      <c r="CA198" s="1117">
        <f t="shared" si="24"/>
        <v>1</v>
      </c>
      <c r="CB198" s="1117">
        <f t="shared" si="19"/>
        <v>1</v>
      </c>
      <c r="CC198" s="1117">
        <f t="shared" si="20"/>
        <v>0</v>
      </c>
      <c r="CD198" s="1182">
        <v>1.4</v>
      </c>
      <c r="CE198" s="1109"/>
      <c r="CF198" s="1109"/>
      <c r="CG198" s="1109">
        <v>100</v>
      </c>
      <c r="CH198" s="1113">
        <v>1.4</v>
      </c>
      <c r="CI198" s="1149" t="s">
        <v>3578</v>
      </c>
      <c r="CJ198" s="1109" t="s">
        <v>504</v>
      </c>
      <c r="CK198" s="1109"/>
      <c r="CL198" s="1109"/>
      <c r="CM198" s="1115"/>
      <c r="CN198" s="1115"/>
      <c r="CO198" s="1115">
        <v>1</v>
      </c>
      <c r="CP198" s="1104" t="s">
        <v>504</v>
      </c>
      <c r="CQ198" s="1104"/>
      <c r="CR198" s="1130"/>
      <c r="CS198" s="1104" t="s">
        <v>500</v>
      </c>
      <c r="CT198" s="1104" t="s">
        <v>630</v>
      </c>
      <c r="CU198" s="1130">
        <v>5</v>
      </c>
      <c r="CV198" s="1104" t="s">
        <v>504</v>
      </c>
      <c r="CW198" s="1104"/>
      <c r="CX198" s="1130"/>
      <c r="CY198" s="1104" t="s">
        <v>504</v>
      </c>
      <c r="CZ198" s="1104"/>
      <c r="DA198" s="1130"/>
      <c r="DB198" s="1104" t="s">
        <v>504</v>
      </c>
      <c r="DC198" s="1104"/>
      <c r="DD198" s="1130"/>
      <c r="DE198" s="1104" t="s">
        <v>504</v>
      </c>
      <c r="DF198" s="1104"/>
      <c r="DG198" s="1130"/>
      <c r="DH198" s="1109" t="s">
        <v>504</v>
      </c>
      <c r="DI198" s="1109"/>
      <c r="DJ198" s="1115"/>
      <c r="DK198" s="1109" t="s">
        <v>504</v>
      </c>
      <c r="DL198" s="1109"/>
      <c r="DM198" s="1115"/>
      <c r="DN198" s="1109" t="s">
        <v>504</v>
      </c>
      <c r="DO198" s="1109"/>
      <c r="DP198" s="1115"/>
      <c r="DQ198" s="1109" t="s">
        <v>500</v>
      </c>
      <c r="DR198" s="1109" t="s">
        <v>630</v>
      </c>
      <c r="DS198" s="1115">
        <v>5</v>
      </c>
      <c r="DT198" s="1115" t="s">
        <v>504</v>
      </c>
      <c r="DU198" s="1115"/>
      <c r="DV198" s="1115"/>
      <c r="DW198" s="1109" t="s">
        <v>504</v>
      </c>
      <c r="DX198" s="1109"/>
      <c r="DY198" s="1115"/>
      <c r="DZ198" s="1109" t="s">
        <v>504</v>
      </c>
      <c r="EA198" s="1109"/>
      <c r="EB198" s="1115"/>
      <c r="EC198" s="1109" t="s">
        <v>504</v>
      </c>
      <c r="ED198" s="1109"/>
      <c r="EE198" s="1115"/>
      <c r="EF198" s="1115" t="s">
        <v>504</v>
      </c>
      <c r="EG198" s="1115"/>
      <c r="EH198" s="1115"/>
      <c r="EI198" s="1109" t="s">
        <v>504</v>
      </c>
      <c r="EJ198" s="1109"/>
      <c r="EK198" s="1115"/>
      <c r="EL198" s="1115"/>
      <c r="EM198" s="1115"/>
      <c r="EN198" s="1115"/>
      <c r="EO198" s="1109" t="s">
        <v>504</v>
      </c>
      <c r="EP198" s="1109"/>
      <c r="EQ198" s="1131" t="s">
        <v>3579</v>
      </c>
      <c r="ER198" s="1109"/>
      <c r="ES198" s="1109"/>
      <c r="ET198" s="1109" t="s">
        <v>3580</v>
      </c>
      <c r="EU198" s="1109"/>
      <c r="EV198" s="1109" t="s">
        <v>940</v>
      </c>
      <c r="EW198" s="1109"/>
      <c r="EX198" s="1109"/>
    </row>
    <row r="199" spans="3:154" ht="80.099999999999994" customHeight="1" x14ac:dyDescent="0.2">
      <c r="C199" s="1156" t="s">
        <v>693</v>
      </c>
      <c r="D199" s="1156" t="s">
        <v>5278</v>
      </c>
      <c r="E199" s="1104" t="s">
        <v>362</v>
      </c>
      <c r="F199" s="1104" t="s">
        <v>447</v>
      </c>
      <c r="G199" s="1319" t="s">
        <v>3581</v>
      </c>
      <c r="H199" s="1319" t="s">
        <v>3582</v>
      </c>
      <c r="I199" s="1319" t="s">
        <v>3582</v>
      </c>
      <c r="J199" s="1320">
        <v>2019</v>
      </c>
      <c r="K199" s="1125">
        <v>43983</v>
      </c>
      <c r="L199" s="1125">
        <v>44044</v>
      </c>
      <c r="M199" s="1369">
        <f t="shared" si="21"/>
        <v>61</v>
      </c>
      <c r="N199" s="1125"/>
      <c r="O199" s="1125"/>
      <c r="P199" s="1125"/>
      <c r="Q199" s="1125"/>
      <c r="R199" s="1125"/>
      <c r="S199" s="1125"/>
      <c r="T199" s="1125"/>
      <c r="U199" s="1125"/>
      <c r="V199" s="1125"/>
      <c r="W199" s="1125"/>
      <c r="X199" s="1125"/>
      <c r="Y199" s="1319" t="s">
        <v>3583</v>
      </c>
      <c r="Z199" s="1131" t="s">
        <v>3584</v>
      </c>
      <c r="AA199" s="1104" t="s">
        <v>3585</v>
      </c>
      <c r="AB199" s="1104" t="s">
        <v>3585</v>
      </c>
      <c r="AC199" s="1319" t="s">
        <v>3360</v>
      </c>
      <c r="AD199" s="1319" t="s">
        <v>3586</v>
      </c>
      <c r="AE199" s="1321">
        <v>4.3900000000000002E-2</v>
      </c>
      <c r="AF199" s="1113">
        <f t="shared" si="17"/>
        <v>4.3900000000000002E-2</v>
      </c>
      <c r="AG199" s="1113">
        <f t="shared" si="18"/>
        <v>0</v>
      </c>
      <c r="AH199" s="1321"/>
      <c r="AI199" s="1322"/>
      <c r="AJ199" s="1322"/>
      <c r="AK199" s="1321">
        <v>4.3900000000000002E-2</v>
      </c>
      <c r="AL199" s="1323">
        <v>1</v>
      </c>
      <c r="AM199" s="1323">
        <v>1E-4</v>
      </c>
      <c r="AN199" s="1321"/>
      <c r="AO199" s="1323"/>
      <c r="AP199" s="1321"/>
      <c r="AQ199" s="1323"/>
      <c r="AR199" s="1321"/>
      <c r="AS199" s="1323"/>
      <c r="AT199" s="1323"/>
      <c r="AU199" s="1323"/>
      <c r="AV199" s="1323"/>
      <c r="AW199" s="1323"/>
      <c r="AX199" s="1323"/>
      <c r="AY199" s="1323"/>
      <c r="AZ199" s="1323"/>
      <c r="BA199" s="1322"/>
      <c r="BB199" s="1323">
        <v>1</v>
      </c>
      <c r="BC199" s="1324">
        <v>7</v>
      </c>
      <c r="BD199" s="1324">
        <v>1</v>
      </c>
      <c r="BE199" s="1325">
        <v>1</v>
      </c>
      <c r="BF199" s="1324"/>
      <c r="BG199" s="1324"/>
      <c r="BH199" s="1324">
        <v>1</v>
      </c>
      <c r="BI199" s="1324"/>
      <c r="BJ199" s="1324"/>
      <c r="BK199" s="1324"/>
      <c r="BL199" s="1324"/>
      <c r="BM199" s="1324"/>
      <c r="BN199" s="1324"/>
      <c r="BO199" s="1324"/>
      <c r="BP199" s="1324"/>
      <c r="BQ199" s="1324"/>
      <c r="BR199" s="1324"/>
      <c r="BS199" s="1324"/>
      <c r="BT199" s="1324"/>
      <c r="BU199" s="1324"/>
      <c r="BV199" s="1324"/>
      <c r="BW199" s="1324"/>
      <c r="BX199" s="1324"/>
      <c r="BY199" s="1324"/>
      <c r="BZ199" s="1324"/>
      <c r="CA199" s="1326">
        <f t="shared" si="24"/>
        <v>1</v>
      </c>
      <c r="CB199" s="1117">
        <f t="shared" si="19"/>
        <v>1</v>
      </c>
      <c r="CC199" s="1117">
        <f t="shared" si="20"/>
        <v>0</v>
      </c>
      <c r="CD199" s="1322">
        <v>2.2000000000000002</v>
      </c>
      <c r="CE199" s="1319"/>
      <c r="CF199" s="1319"/>
      <c r="CG199" s="1327">
        <v>0.3</v>
      </c>
      <c r="CH199" s="1322">
        <v>8.7159999999999993</v>
      </c>
      <c r="CI199" s="1323" t="s">
        <v>3587</v>
      </c>
      <c r="CJ199" s="1319" t="s">
        <v>504</v>
      </c>
      <c r="CK199" s="1319"/>
      <c r="CL199" s="1319"/>
      <c r="CM199" s="1324"/>
      <c r="CN199" s="1324"/>
      <c r="CO199" s="1324">
        <v>12</v>
      </c>
      <c r="CP199" s="1319" t="s">
        <v>504</v>
      </c>
      <c r="CQ199" s="1319"/>
      <c r="CR199" s="1324"/>
      <c r="CS199" s="1319" t="s">
        <v>504</v>
      </c>
      <c r="CT199" s="1319"/>
      <c r="CU199" s="1324"/>
      <c r="CV199" s="1324" t="s">
        <v>504</v>
      </c>
      <c r="CW199" s="1324"/>
      <c r="CX199" s="1324"/>
      <c r="CY199" s="1319" t="s">
        <v>504</v>
      </c>
      <c r="CZ199" s="1324"/>
      <c r="DA199" s="1324"/>
      <c r="DB199" s="1319" t="s">
        <v>504</v>
      </c>
      <c r="DC199" s="1319"/>
      <c r="DD199" s="1324"/>
      <c r="DE199" s="1319" t="s">
        <v>500</v>
      </c>
      <c r="DF199" s="1319" t="s">
        <v>3588</v>
      </c>
      <c r="DG199" s="1324">
        <v>7</v>
      </c>
      <c r="DH199" s="1319" t="s">
        <v>504</v>
      </c>
      <c r="DI199" s="1319"/>
      <c r="DJ199" s="1324"/>
      <c r="DK199" s="1319" t="s">
        <v>504</v>
      </c>
      <c r="DL199" s="1319"/>
      <c r="DM199" s="1324"/>
      <c r="DN199" s="1319" t="s">
        <v>504</v>
      </c>
      <c r="DO199" s="1319"/>
      <c r="DP199" s="1324"/>
      <c r="DQ199" s="1319" t="s">
        <v>504</v>
      </c>
      <c r="DR199" s="1319"/>
      <c r="DS199" s="1324"/>
      <c r="DT199" s="1324" t="s">
        <v>504</v>
      </c>
      <c r="DU199" s="1324"/>
      <c r="DV199" s="1324"/>
      <c r="DW199" s="1319" t="s">
        <v>504</v>
      </c>
      <c r="DX199" s="1319"/>
      <c r="DY199" s="1324"/>
      <c r="DZ199" s="1319" t="s">
        <v>504</v>
      </c>
      <c r="EA199" s="1319"/>
      <c r="EB199" s="1324"/>
      <c r="EC199" s="1319" t="s">
        <v>504</v>
      </c>
      <c r="ED199" s="1319"/>
      <c r="EE199" s="1324"/>
      <c r="EF199" s="1324" t="s">
        <v>500</v>
      </c>
      <c r="EG199" s="1324" t="s">
        <v>3589</v>
      </c>
      <c r="EH199" s="1324">
        <v>3</v>
      </c>
      <c r="EI199" s="1319" t="s">
        <v>504</v>
      </c>
      <c r="EJ199" s="1319"/>
      <c r="EK199" s="1324"/>
      <c r="EL199" s="1324"/>
      <c r="EM199" s="1324"/>
      <c r="EN199" s="1324"/>
      <c r="EO199" s="1319" t="s">
        <v>504</v>
      </c>
      <c r="EP199" s="1319"/>
      <c r="EQ199" s="1328" t="s">
        <v>3584</v>
      </c>
      <c r="ER199" s="1104" t="s">
        <v>504</v>
      </c>
      <c r="ES199" s="1319"/>
      <c r="ET199" s="1319" t="s">
        <v>3590</v>
      </c>
      <c r="EU199" s="1319"/>
      <c r="EV199" s="1319"/>
      <c r="EW199" s="1319"/>
      <c r="EX199" s="1319"/>
    </row>
    <row r="200" spans="3:154" ht="80.099999999999994" customHeight="1" x14ac:dyDescent="0.2">
      <c r="C200" s="1156" t="s">
        <v>693</v>
      </c>
      <c r="D200" s="1156" t="s">
        <v>5278</v>
      </c>
      <c r="E200" s="1104" t="s">
        <v>362</v>
      </c>
      <c r="F200" s="1104" t="s">
        <v>447</v>
      </c>
      <c r="G200" s="1104" t="s">
        <v>3591</v>
      </c>
      <c r="H200" s="1104" t="s">
        <v>3571</v>
      </c>
      <c r="I200" s="1104" t="s">
        <v>3592</v>
      </c>
      <c r="J200" s="1122" t="s">
        <v>3572</v>
      </c>
      <c r="K200" s="1125">
        <v>43922</v>
      </c>
      <c r="L200" s="1125">
        <v>44104</v>
      </c>
      <c r="M200" s="1369">
        <f t="shared" si="21"/>
        <v>182</v>
      </c>
      <c r="N200" s="1125"/>
      <c r="O200" s="1125"/>
      <c r="P200" s="1125"/>
      <c r="Q200" s="1125"/>
      <c r="R200" s="1125"/>
      <c r="S200" s="1125"/>
      <c r="T200" s="1125"/>
      <c r="U200" s="1125"/>
      <c r="V200" s="1125"/>
      <c r="W200" s="1125"/>
      <c r="X200" s="1125"/>
      <c r="Y200" s="1104" t="s">
        <v>3593</v>
      </c>
      <c r="Z200" s="1131" t="s">
        <v>3594</v>
      </c>
      <c r="AA200" s="1104" t="s">
        <v>3595</v>
      </c>
      <c r="AB200" s="1104" t="s">
        <v>3596</v>
      </c>
      <c r="AC200" s="1104" t="s">
        <v>3577</v>
      </c>
      <c r="AD200" s="1104" t="s">
        <v>3597</v>
      </c>
      <c r="AE200" s="1178">
        <v>0.996</v>
      </c>
      <c r="AF200" s="1113">
        <f t="shared" si="17"/>
        <v>0.996</v>
      </c>
      <c r="AG200" s="1113">
        <f t="shared" si="18"/>
        <v>0</v>
      </c>
      <c r="AH200" s="1178"/>
      <c r="AI200" s="1182"/>
      <c r="AJ200" s="1182"/>
      <c r="AK200" s="1178">
        <v>0.996</v>
      </c>
      <c r="AL200" s="1114">
        <v>1</v>
      </c>
      <c r="AM200" s="1114">
        <v>1E-4</v>
      </c>
      <c r="AN200" s="1112">
        <v>0</v>
      </c>
      <c r="AO200" s="1114"/>
      <c r="AP200" s="1112">
        <v>0</v>
      </c>
      <c r="AQ200" s="1114"/>
      <c r="AR200" s="1112"/>
      <c r="AS200" s="1114"/>
      <c r="AT200" s="1114"/>
      <c r="AU200" s="1114"/>
      <c r="AV200" s="1114"/>
      <c r="AW200" s="1114" t="s">
        <v>504</v>
      </c>
      <c r="AX200" s="1114"/>
      <c r="AY200" s="1114"/>
      <c r="AZ200" s="1114"/>
      <c r="BA200" s="1113">
        <v>0.91100000000000003</v>
      </c>
      <c r="BB200" s="1114">
        <v>1E-4</v>
      </c>
      <c r="BC200" s="1130">
        <v>5</v>
      </c>
      <c r="BD200" s="1130">
        <v>1</v>
      </c>
      <c r="BE200" s="1180">
        <v>1</v>
      </c>
      <c r="BF200" s="1115"/>
      <c r="BG200" s="1115"/>
      <c r="BH200" s="1115"/>
      <c r="BI200" s="1115"/>
      <c r="BJ200" s="1115"/>
      <c r="BK200" s="1115"/>
      <c r="BL200" s="1115">
        <v>1</v>
      </c>
      <c r="BM200" s="1115"/>
      <c r="BN200" s="1115"/>
      <c r="BO200" s="1115"/>
      <c r="BP200" s="1115"/>
      <c r="BQ200" s="1115"/>
      <c r="BR200" s="1115"/>
      <c r="BS200" s="1115"/>
      <c r="BT200" s="1115"/>
      <c r="BU200" s="1115"/>
      <c r="BV200" s="1115"/>
      <c r="BW200" s="1115"/>
      <c r="BX200" s="1115"/>
      <c r="BY200" s="1115"/>
      <c r="BZ200" s="1115"/>
      <c r="CA200" s="1117">
        <f t="shared" si="24"/>
        <v>1</v>
      </c>
      <c r="CB200" s="1117">
        <f t="shared" si="19"/>
        <v>1</v>
      </c>
      <c r="CC200" s="1117">
        <f t="shared" si="20"/>
        <v>0</v>
      </c>
      <c r="CD200" s="1182">
        <v>1.1000000000000001</v>
      </c>
      <c r="CE200" s="1109"/>
      <c r="CF200" s="1109"/>
      <c r="CG200" s="1109">
        <v>13.1</v>
      </c>
      <c r="CH200" s="1113">
        <v>8.4</v>
      </c>
      <c r="CI200" s="1131" t="s">
        <v>3578</v>
      </c>
      <c r="CJ200" s="1109" t="s">
        <v>504</v>
      </c>
      <c r="CK200" s="1109"/>
      <c r="CL200" s="1109"/>
      <c r="CM200" s="1115"/>
      <c r="CN200" s="1115"/>
      <c r="CO200" s="1115">
        <v>1</v>
      </c>
      <c r="CP200" s="1104" t="s">
        <v>504</v>
      </c>
      <c r="CQ200" s="1104"/>
      <c r="CR200" s="1130"/>
      <c r="CS200" s="1104" t="s">
        <v>500</v>
      </c>
      <c r="CT200" s="1104" t="s">
        <v>630</v>
      </c>
      <c r="CU200" s="1130">
        <v>5</v>
      </c>
      <c r="CV200" s="1104" t="s">
        <v>504</v>
      </c>
      <c r="CW200" s="1104"/>
      <c r="CX200" s="1130"/>
      <c r="CY200" s="1104" t="s">
        <v>504</v>
      </c>
      <c r="CZ200" s="1104"/>
      <c r="DA200" s="1130"/>
      <c r="DB200" s="1104" t="s">
        <v>504</v>
      </c>
      <c r="DC200" s="1104"/>
      <c r="DD200" s="1130"/>
      <c r="DE200" s="1104" t="s">
        <v>504</v>
      </c>
      <c r="DF200" s="1104"/>
      <c r="DG200" s="1130"/>
      <c r="DH200" s="1109" t="s">
        <v>504</v>
      </c>
      <c r="DI200" s="1109"/>
      <c r="DJ200" s="1115"/>
      <c r="DK200" s="1109" t="s">
        <v>504</v>
      </c>
      <c r="DL200" s="1109"/>
      <c r="DM200" s="1115"/>
      <c r="DN200" s="1109" t="s">
        <v>504</v>
      </c>
      <c r="DO200" s="1109"/>
      <c r="DP200" s="1115"/>
      <c r="DQ200" s="1109" t="s">
        <v>500</v>
      </c>
      <c r="DR200" s="1109" t="s">
        <v>630</v>
      </c>
      <c r="DS200" s="1115">
        <v>5</v>
      </c>
      <c r="DT200" s="1115" t="s">
        <v>504</v>
      </c>
      <c r="DU200" s="1115"/>
      <c r="DV200" s="1115"/>
      <c r="DW200" s="1109" t="s">
        <v>504</v>
      </c>
      <c r="DX200" s="1109"/>
      <c r="DY200" s="1115"/>
      <c r="DZ200" s="1109" t="s">
        <v>504</v>
      </c>
      <c r="EA200" s="1109"/>
      <c r="EB200" s="1115"/>
      <c r="EC200" s="1109" t="s">
        <v>504</v>
      </c>
      <c r="ED200" s="1109"/>
      <c r="EE200" s="1115"/>
      <c r="EF200" s="1115" t="s">
        <v>504</v>
      </c>
      <c r="EG200" s="1115"/>
      <c r="EH200" s="1115"/>
      <c r="EI200" s="1109" t="s">
        <v>504</v>
      </c>
      <c r="EJ200" s="1109"/>
      <c r="EK200" s="1115"/>
      <c r="EL200" s="1115"/>
      <c r="EM200" s="1115"/>
      <c r="EN200" s="1115"/>
      <c r="EO200" s="1109" t="s">
        <v>504</v>
      </c>
      <c r="EP200" s="1109"/>
      <c r="EQ200" s="1131" t="s">
        <v>3579</v>
      </c>
      <c r="ER200" s="1109"/>
      <c r="ES200" s="1109"/>
      <c r="ET200" s="1109" t="s">
        <v>3598</v>
      </c>
      <c r="EU200" s="1109"/>
      <c r="EV200" s="1109"/>
      <c r="EW200" s="1109"/>
      <c r="EX200" s="1109"/>
    </row>
    <row r="201" spans="3:154" customFormat="1" ht="80.099999999999994" customHeight="1" x14ac:dyDescent="0.25">
      <c r="C201" s="1156" t="s">
        <v>693</v>
      </c>
      <c r="D201" s="1156" t="s">
        <v>5278</v>
      </c>
      <c r="E201" s="1104" t="s">
        <v>362</v>
      </c>
      <c r="F201" s="1104" t="s">
        <v>447</v>
      </c>
      <c r="G201" s="1104" t="s">
        <v>3599</v>
      </c>
      <c r="H201" s="1104" t="s">
        <v>3571</v>
      </c>
      <c r="I201" s="1104" t="s">
        <v>694</v>
      </c>
      <c r="J201" s="1122" t="s">
        <v>3572</v>
      </c>
      <c r="K201" s="1125">
        <v>43922</v>
      </c>
      <c r="L201" s="1125">
        <v>44104</v>
      </c>
      <c r="M201" s="1369">
        <f t="shared" si="21"/>
        <v>182</v>
      </c>
      <c r="N201" s="1125"/>
      <c r="O201" s="1125"/>
      <c r="P201" s="1125"/>
      <c r="Q201" s="1125"/>
      <c r="R201" s="1125"/>
      <c r="S201" s="1125"/>
      <c r="T201" s="1125"/>
      <c r="U201" s="1125"/>
      <c r="V201" s="1125"/>
      <c r="W201" s="1125"/>
      <c r="X201" s="1125"/>
      <c r="Y201" s="1104" t="s">
        <v>3600</v>
      </c>
      <c r="Z201" s="1131" t="s">
        <v>3601</v>
      </c>
      <c r="AA201" s="1104" t="s">
        <v>3595</v>
      </c>
      <c r="AB201" s="1104" t="s">
        <v>3595</v>
      </c>
      <c r="AC201" s="1109" t="s">
        <v>3577</v>
      </c>
      <c r="AD201" s="1104" t="s">
        <v>3595</v>
      </c>
      <c r="AE201" s="1178">
        <v>9.5000000000000001E-2</v>
      </c>
      <c r="AF201" s="1113">
        <f t="shared" si="17"/>
        <v>9.5000000000000001E-2</v>
      </c>
      <c r="AG201" s="1113">
        <f t="shared" si="18"/>
        <v>0</v>
      </c>
      <c r="AH201" s="1178"/>
      <c r="AI201" s="1182"/>
      <c r="AJ201" s="1182"/>
      <c r="AK201" s="1178">
        <v>9.5000000000000001E-2</v>
      </c>
      <c r="AL201" s="1114">
        <v>1</v>
      </c>
      <c r="AM201" s="1114">
        <v>1E-4</v>
      </c>
      <c r="AN201" s="1112"/>
      <c r="AO201" s="1114"/>
      <c r="AP201" s="1112"/>
      <c r="AQ201" s="1114"/>
      <c r="AR201" s="1112"/>
      <c r="AS201" s="1114"/>
      <c r="AT201" s="1114"/>
      <c r="AU201" s="1114"/>
      <c r="AV201" s="1114"/>
      <c r="AW201" s="1114" t="s">
        <v>504</v>
      </c>
      <c r="AX201" s="1114"/>
      <c r="AY201" s="1114"/>
      <c r="AZ201" s="1114"/>
      <c r="BA201" s="1113">
        <v>0.1</v>
      </c>
      <c r="BB201" s="1114">
        <v>1E-4</v>
      </c>
      <c r="BC201" s="1130">
        <v>2</v>
      </c>
      <c r="BD201" s="1130">
        <v>2</v>
      </c>
      <c r="BE201" s="1180">
        <v>1</v>
      </c>
      <c r="BF201" s="1115"/>
      <c r="BG201" s="1115"/>
      <c r="BH201" s="1115"/>
      <c r="BI201" s="1115"/>
      <c r="BJ201" s="1115"/>
      <c r="BK201" s="1115"/>
      <c r="BL201" s="1115"/>
      <c r="BM201" s="1115"/>
      <c r="BN201" s="1115"/>
      <c r="BO201" s="1115"/>
      <c r="BP201" s="1115"/>
      <c r="BQ201" s="1115">
        <v>1</v>
      </c>
      <c r="BR201" s="1115"/>
      <c r="BS201" s="1115"/>
      <c r="BT201" s="1115"/>
      <c r="BU201" s="1115"/>
      <c r="BV201" s="1115"/>
      <c r="BW201" s="1115"/>
      <c r="BX201" s="1115"/>
      <c r="BY201" s="1115"/>
      <c r="BZ201" s="1115"/>
      <c r="CA201" s="1117">
        <f t="shared" si="24"/>
        <v>1</v>
      </c>
      <c r="CB201" s="1117">
        <f t="shared" si="19"/>
        <v>1</v>
      </c>
      <c r="CC201" s="1117">
        <f t="shared" si="20"/>
        <v>0</v>
      </c>
      <c r="CD201" s="1182">
        <v>8.4</v>
      </c>
      <c r="CE201" s="1109"/>
      <c r="CF201" s="1109"/>
      <c r="CG201" s="1109">
        <v>100</v>
      </c>
      <c r="CH201" s="1113">
        <v>8.4</v>
      </c>
      <c r="CI201" s="1149" t="s">
        <v>3578</v>
      </c>
      <c r="CJ201" s="1109" t="s">
        <v>504</v>
      </c>
      <c r="CK201" s="1109"/>
      <c r="CL201" s="1109"/>
      <c r="CM201" s="1115"/>
      <c r="CN201" s="1115"/>
      <c r="CO201" s="1115">
        <v>1</v>
      </c>
      <c r="CP201" s="1104" t="s">
        <v>504</v>
      </c>
      <c r="CQ201" s="1104"/>
      <c r="CR201" s="1130"/>
      <c r="CS201" s="1104" t="s">
        <v>500</v>
      </c>
      <c r="CT201" s="1104" t="s">
        <v>630</v>
      </c>
      <c r="CU201" s="1130">
        <v>5</v>
      </c>
      <c r="CV201" s="1104" t="s">
        <v>504</v>
      </c>
      <c r="CW201" s="1104"/>
      <c r="CX201" s="1130"/>
      <c r="CY201" s="1104" t="s">
        <v>504</v>
      </c>
      <c r="CZ201" s="1104"/>
      <c r="DA201" s="1130"/>
      <c r="DB201" s="1104" t="s">
        <v>504</v>
      </c>
      <c r="DC201" s="1104"/>
      <c r="DD201" s="1130"/>
      <c r="DE201" s="1104" t="s">
        <v>504</v>
      </c>
      <c r="DF201" s="1104"/>
      <c r="DG201" s="1130"/>
      <c r="DH201" s="1109" t="s">
        <v>504</v>
      </c>
      <c r="DI201" s="1109"/>
      <c r="DJ201" s="1115"/>
      <c r="DK201" s="1109" t="s">
        <v>504</v>
      </c>
      <c r="DL201" s="1109"/>
      <c r="DM201" s="1115"/>
      <c r="DN201" s="1109" t="s">
        <v>504</v>
      </c>
      <c r="DO201" s="1109"/>
      <c r="DP201" s="1115"/>
      <c r="DQ201" s="1109" t="s">
        <v>500</v>
      </c>
      <c r="DR201" s="1109" t="s">
        <v>630</v>
      </c>
      <c r="DS201" s="1115">
        <v>5</v>
      </c>
      <c r="DT201" s="1115" t="s">
        <v>504</v>
      </c>
      <c r="DU201" s="1115"/>
      <c r="DV201" s="1115"/>
      <c r="DW201" s="1109" t="s">
        <v>504</v>
      </c>
      <c r="DX201" s="1109"/>
      <c r="DY201" s="1115"/>
      <c r="DZ201" s="1109" t="s">
        <v>504</v>
      </c>
      <c r="EA201" s="1109"/>
      <c r="EB201" s="1115"/>
      <c r="EC201" s="1109" t="s">
        <v>504</v>
      </c>
      <c r="ED201" s="1109"/>
      <c r="EE201" s="1115"/>
      <c r="EF201" s="1115" t="s">
        <v>504</v>
      </c>
      <c r="EG201" s="1115"/>
      <c r="EH201" s="1115"/>
      <c r="EI201" s="1109" t="s">
        <v>504</v>
      </c>
      <c r="EJ201" s="1109"/>
      <c r="EK201" s="1115"/>
      <c r="EL201" s="1115"/>
      <c r="EM201" s="1115"/>
      <c r="EN201" s="1115"/>
      <c r="EO201" s="1109" t="s">
        <v>504</v>
      </c>
      <c r="EP201" s="1109"/>
      <c r="EQ201" s="1131" t="s">
        <v>3579</v>
      </c>
      <c r="ER201" s="1109"/>
      <c r="ES201" s="1109"/>
      <c r="ET201" s="1109" t="s">
        <v>3602</v>
      </c>
      <c r="EU201" s="1109"/>
      <c r="EV201" s="1109" t="s">
        <v>940</v>
      </c>
      <c r="EW201" s="1109"/>
      <c r="EX201" s="1109"/>
    </row>
    <row r="202" spans="3:154" customFormat="1" ht="80.099999999999994" customHeight="1" x14ac:dyDescent="0.25">
      <c r="C202" s="1156" t="s">
        <v>693</v>
      </c>
      <c r="D202" s="1156" t="s">
        <v>5278</v>
      </c>
      <c r="E202" s="1104" t="s">
        <v>362</v>
      </c>
      <c r="F202" s="1104" t="s">
        <v>447</v>
      </c>
      <c r="G202" s="1104" t="s">
        <v>3603</v>
      </c>
      <c r="H202" s="1104" t="s">
        <v>3571</v>
      </c>
      <c r="I202" s="1104" t="s">
        <v>3592</v>
      </c>
      <c r="J202" s="1122" t="s">
        <v>3572</v>
      </c>
      <c r="K202" s="1125">
        <v>43922</v>
      </c>
      <c r="L202" s="1125">
        <v>44104</v>
      </c>
      <c r="M202" s="1369">
        <f t="shared" si="21"/>
        <v>182</v>
      </c>
      <c r="N202" s="1125"/>
      <c r="O202" s="1125"/>
      <c r="P202" s="1125"/>
      <c r="Q202" s="1125"/>
      <c r="R202" s="1125"/>
      <c r="S202" s="1125"/>
      <c r="T202" s="1125"/>
      <c r="U202" s="1125"/>
      <c r="V202" s="1125"/>
      <c r="W202" s="1125"/>
      <c r="X202" s="1125"/>
      <c r="Y202" s="1104" t="s">
        <v>3604</v>
      </c>
      <c r="Z202" s="1131" t="s">
        <v>3605</v>
      </c>
      <c r="AA202" s="1104" t="s">
        <v>3606</v>
      </c>
      <c r="AB202" s="1104" t="s">
        <v>3606</v>
      </c>
      <c r="AC202" s="1104" t="s">
        <v>3577</v>
      </c>
      <c r="AD202" s="1104" t="s">
        <v>3606</v>
      </c>
      <c r="AE202" s="1178">
        <v>2.5000000000000001E-2</v>
      </c>
      <c r="AF202" s="1113">
        <f t="shared" si="17"/>
        <v>2.5000000000000001E-2</v>
      </c>
      <c r="AG202" s="1113">
        <f t="shared" si="18"/>
        <v>0</v>
      </c>
      <c r="AH202" s="1178"/>
      <c r="AI202" s="1182"/>
      <c r="AJ202" s="1182"/>
      <c r="AK202" s="1178">
        <v>2.5000000000000001E-2</v>
      </c>
      <c r="AL202" s="1114">
        <v>1</v>
      </c>
      <c r="AM202" s="1114">
        <v>1E-4</v>
      </c>
      <c r="AN202" s="1112">
        <v>0</v>
      </c>
      <c r="AO202" s="1114"/>
      <c r="AP202" s="1112">
        <v>0</v>
      </c>
      <c r="AQ202" s="1114"/>
      <c r="AR202" s="1112"/>
      <c r="AS202" s="1114"/>
      <c r="AT202" s="1114"/>
      <c r="AU202" s="1114"/>
      <c r="AV202" s="1114"/>
      <c r="AW202" s="1114" t="s">
        <v>504</v>
      </c>
      <c r="AX202" s="1114"/>
      <c r="AY202" s="1114"/>
      <c r="AZ202" s="1114"/>
      <c r="BA202" s="1113">
        <v>2.5000000000000001E-2</v>
      </c>
      <c r="BB202" s="1114">
        <v>1E-4</v>
      </c>
      <c r="BC202" s="1130">
        <v>2</v>
      </c>
      <c r="BD202" s="1130">
        <v>2</v>
      </c>
      <c r="BE202" s="1180">
        <v>1</v>
      </c>
      <c r="BF202" s="1115"/>
      <c r="BG202" s="1115"/>
      <c r="BH202" s="1115"/>
      <c r="BI202" s="1115"/>
      <c r="BJ202" s="1115"/>
      <c r="BK202" s="1115"/>
      <c r="BL202" s="1115"/>
      <c r="BM202" s="1115"/>
      <c r="BN202" s="1115"/>
      <c r="BO202" s="1115"/>
      <c r="BP202" s="1115"/>
      <c r="BQ202" s="1115">
        <v>1</v>
      </c>
      <c r="BR202" s="1115"/>
      <c r="BS202" s="1115"/>
      <c r="BT202" s="1115"/>
      <c r="BU202" s="1115"/>
      <c r="BV202" s="1115"/>
      <c r="BW202" s="1115"/>
      <c r="BX202" s="1115"/>
      <c r="BY202" s="1115"/>
      <c r="BZ202" s="1115"/>
      <c r="CA202" s="1117">
        <f t="shared" si="24"/>
        <v>1</v>
      </c>
      <c r="CB202" s="1117">
        <f t="shared" si="19"/>
        <v>1</v>
      </c>
      <c r="CC202" s="1117">
        <f t="shared" si="20"/>
        <v>0</v>
      </c>
      <c r="CD202" s="1182">
        <v>2.4</v>
      </c>
      <c r="CE202" s="1109"/>
      <c r="CF202" s="1109"/>
      <c r="CG202" s="1109">
        <v>100</v>
      </c>
      <c r="CH202" s="1113">
        <v>2.4</v>
      </c>
      <c r="CI202" s="1149" t="s">
        <v>3578</v>
      </c>
      <c r="CJ202" s="1109" t="s">
        <v>504</v>
      </c>
      <c r="CK202" s="1109"/>
      <c r="CL202" s="1109"/>
      <c r="CM202" s="1115"/>
      <c r="CN202" s="1115"/>
      <c r="CO202" s="1115">
        <v>1</v>
      </c>
      <c r="CP202" s="1104" t="s">
        <v>504</v>
      </c>
      <c r="CQ202" s="1104"/>
      <c r="CR202" s="1130"/>
      <c r="CS202" s="1104" t="s">
        <v>500</v>
      </c>
      <c r="CT202" s="1104" t="s">
        <v>630</v>
      </c>
      <c r="CU202" s="1130">
        <v>5</v>
      </c>
      <c r="CV202" s="1104" t="s">
        <v>504</v>
      </c>
      <c r="CW202" s="1104"/>
      <c r="CX202" s="1130"/>
      <c r="CY202" s="1104" t="s">
        <v>504</v>
      </c>
      <c r="CZ202" s="1104"/>
      <c r="DA202" s="1130"/>
      <c r="DB202" s="1104" t="s">
        <v>504</v>
      </c>
      <c r="DC202" s="1104"/>
      <c r="DD202" s="1130"/>
      <c r="DE202" s="1104" t="s">
        <v>504</v>
      </c>
      <c r="DF202" s="1104"/>
      <c r="DG202" s="1130"/>
      <c r="DH202" s="1109" t="s">
        <v>504</v>
      </c>
      <c r="DI202" s="1109"/>
      <c r="DJ202" s="1115"/>
      <c r="DK202" s="1109" t="s">
        <v>504</v>
      </c>
      <c r="DL202" s="1109"/>
      <c r="DM202" s="1115"/>
      <c r="DN202" s="1109" t="s">
        <v>504</v>
      </c>
      <c r="DO202" s="1109"/>
      <c r="DP202" s="1115"/>
      <c r="DQ202" s="1109" t="s">
        <v>500</v>
      </c>
      <c r="DR202" s="1109" t="s">
        <v>630</v>
      </c>
      <c r="DS202" s="1115"/>
      <c r="DT202" s="1115" t="s">
        <v>504</v>
      </c>
      <c r="DU202" s="1115"/>
      <c r="DV202" s="1115"/>
      <c r="DW202" s="1109" t="s">
        <v>504</v>
      </c>
      <c r="DX202" s="1109"/>
      <c r="DY202" s="1115"/>
      <c r="DZ202" s="1109" t="s">
        <v>504</v>
      </c>
      <c r="EA202" s="1109"/>
      <c r="EB202" s="1115"/>
      <c r="EC202" s="1109" t="s">
        <v>504</v>
      </c>
      <c r="ED202" s="1109"/>
      <c r="EE202" s="1115"/>
      <c r="EF202" s="1115" t="s">
        <v>504</v>
      </c>
      <c r="EG202" s="1115"/>
      <c r="EH202" s="1115"/>
      <c r="EI202" s="1109" t="s">
        <v>504</v>
      </c>
      <c r="EJ202" s="1109"/>
      <c r="EK202" s="1115"/>
      <c r="EL202" s="1115"/>
      <c r="EM202" s="1115"/>
      <c r="EN202" s="1115"/>
      <c r="EO202" s="1109" t="s">
        <v>504</v>
      </c>
      <c r="EP202" s="1109"/>
      <c r="EQ202" s="1131" t="s">
        <v>3579</v>
      </c>
      <c r="ER202" s="1109"/>
      <c r="ES202" s="1109"/>
      <c r="ET202" s="1109" t="s">
        <v>3602</v>
      </c>
      <c r="EU202" s="1109"/>
      <c r="EV202" s="1109" t="s">
        <v>940</v>
      </c>
      <c r="EW202" s="1109"/>
      <c r="EX202" s="1109"/>
    </row>
    <row r="203" spans="3:154" ht="80.099999999999994" customHeight="1" x14ac:dyDescent="0.2">
      <c r="C203" s="1156" t="s">
        <v>693</v>
      </c>
      <c r="D203" s="1156" t="s">
        <v>5278</v>
      </c>
      <c r="E203" s="1104" t="s">
        <v>362</v>
      </c>
      <c r="F203" s="1104" t="s">
        <v>447</v>
      </c>
      <c r="G203" s="1104" t="s">
        <v>3607</v>
      </c>
      <c r="H203" s="1104" t="s">
        <v>1316</v>
      </c>
      <c r="I203" s="1104" t="s">
        <v>3608</v>
      </c>
      <c r="J203" s="1122">
        <v>2017</v>
      </c>
      <c r="K203" s="1125">
        <v>43998</v>
      </c>
      <c r="L203" s="1125">
        <v>44066</v>
      </c>
      <c r="M203" s="1369">
        <f t="shared" si="21"/>
        <v>68</v>
      </c>
      <c r="N203" s="1125"/>
      <c r="O203" s="1125"/>
      <c r="P203" s="1125"/>
      <c r="Q203" s="1125"/>
      <c r="R203" s="1125"/>
      <c r="S203" s="1125"/>
      <c r="T203" s="1125"/>
      <c r="U203" s="1125"/>
      <c r="V203" s="1125"/>
      <c r="W203" s="1125"/>
      <c r="X203" s="1125"/>
      <c r="Y203" s="1329" t="s">
        <v>3609</v>
      </c>
      <c r="Z203" s="1127" t="s">
        <v>3610</v>
      </c>
      <c r="AA203" s="1104" t="s">
        <v>3611</v>
      </c>
      <c r="AB203" s="1104" t="s">
        <v>3611</v>
      </c>
      <c r="AC203" s="1104" t="s">
        <v>2731</v>
      </c>
      <c r="AD203" s="1104" t="s">
        <v>3612</v>
      </c>
      <c r="AE203" s="1178">
        <v>0.1</v>
      </c>
      <c r="AF203" s="1113">
        <f t="shared" ref="AF203:AF266" si="25">AH203+AK203+AN203+AP203+AR203</f>
        <v>0.1</v>
      </c>
      <c r="AG203" s="1113">
        <f t="shared" ref="AG203:AG266" si="26">AF203-AE203</f>
        <v>0</v>
      </c>
      <c r="AH203" s="1178"/>
      <c r="AI203" s="1182"/>
      <c r="AJ203" s="1182"/>
      <c r="AK203" s="1178">
        <v>0.1</v>
      </c>
      <c r="AL203" s="1179">
        <v>1</v>
      </c>
      <c r="AM203" s="1179">
        <f>0.1/156.7*100</f>
        <v>6.381620931716657E-2</v>
      </c>
      <c r="AN203" s="1178"/>
      <c r="AO203" s="1179"/>
      <c r="AP203" s="1178"/>
      <c r="AQ203" s="1179"/>
      <c r="AR203" s="1178"/>
      <c r="AS203" s="1179"/>
      <c r="AT203" s="1179"/>
      <c r="AU203" s="1179"/>
      <c r="AV203" s="1179"/>
      <c r="AW203" s="1182"/>
      <c r="AX203" s="1179"/>
      <c r="AY203" s="1330"/>
      <c r="AZ203" s="1179"/>
      <c r="BA203" s="1330">
        <v>0.1</v>
      </c>
      <c r="BB203" s="1179">
        <f>0.11/157.2*100</f>
        <v>6.9974554707379136E-2</v>
      </c>
      <c r="BC203" s="1130">
        <v>1</v>
      </c>
      <c r="BD203" s="1130">
        <v>1</v>
      </c>
      <c r="BE203" s="1180">
        <v>1</v>
      </c>
      <c r="BF203" s="1130"/>
      <c r="BG203" s="1130"/>
      <c r="BH203" s="1130"/>
      <c r="BI203" s="1130"/>
      <c r="BJ203" s="1130"/>
      <c r="BK203" s="1130"/>
      <c r="BL203" s="1130"/>
      <c r="BM203" s="1130"/>
      <c r="BN203" s="1130"/>
      <c r="BO203" s="1130"/>
      <c r="BP203" s="1130">
        <v>1</v>
      </c>
      <c r="BQ203" s="1130"/>
      <c r="BR203" s="1130"/>
      <c r="BS203" s="1130"/>
      <c r="BT203" s="1130"/>
      <c r="BU203" s="1130"/>
      <c r="BV203" s="1130"/>
      <c r="BW203" s="1130"/>
      <c r="BX203" s="1130"/>
      <c r="BY203" s="1130"/>
      <c r="BZ203" s="1130"/>
      <c r="CA203" s="1183">
        <f t="shared" si="24"/>
        <v>1</v>
      </c>
      <c r="CB203" s="1117">
        <f t="shared" ref="CB203:CB266" si="27">SUM(BF203:BZ203)</f>
        <v>1</v>
      </c>
      <c r="CC203" s="1117">
        <f t="shared" ref="CC203:CC266" si="28">CB203-CA203</f>
        <v>0</v>
      </c>
      <c r="CD203" s="1182">
        <v>0.12</v>
      </c>
      <c r="CE203" s="1130"/>
      <c r="CF203" s="1130"/>
      <c r="CG203" s="1104">
        <v>1.48</v>
      </c>
      <c r="CH203" s="1179" t="s">
        <v>3613</v>
      </c>
      <c r="CI203" s="1130"/>
      <c r="CJ203" s="1130" t="s">
        <v>504</v>
      </c>
      <c r="CK203" s="1130"/>
      <c r="CL203" s="1104"/>
      <c r="CM203" s="1104"/>
      <c r="CN203" s="1130"/>
      <c r="CO203" s="1104">
        <v>1</v>
      </c>
      <c r="CP203" s="1104" t="s">
        <v>504</v>
      </c>
      <c r="CQ203" s="1130"/>
      <c r="CR203" s="1104"/>
      <c r="CS203" s="1104" t="s">
        <v>500</v>
      </c>
      <c r="CT203" s="1130" t="s">
        <v>3614</v>
      </c>
      <c r="CU203" s="1104">
        <v>120</v>
      </c>
      <c r="CV203" s="1104" t="s">
        <v>504</v>
      </c>
      <c r="CW203" s="1130"/>
      <c r="CX203" s="1104"/>
      <c r="CY203" s="1104" t="s">
        <v>504</v>
      </c>
      <c r="CZ203" s="1130"/>
      <c r="DA203" s="1104"/>
      <c r="DB203" s="1104" t="s">
        <v>504</v>
      </c>
      <c r="DC203" s="1130"/>
      <c r="DD203" s="1104"/>
      <c r="DE203" s="1104" t="s">
        <v>504</v>
      </c>
      <c r="DF203" s="1130"/>
      <c r="DG203" s="1104"/>
      <c r="DH203" s="1104" t="s">
        <v>504</v>
      </c>
      <c r="DI203" s="1130"/>
      <c r="DJ203" s="1104"/>
      <c r="DK203" s="1104" t="s">
        <v>504</v>
      </c>
      <c r="DL203" s="1130"/>
      <c r="DM203" s="1104"/>
      <c r="DN203" s="1104" t="s">
        <v>504</v>
      </c>
      <c r="DO203" s="1130"/>
      <c r="DP203" s="1104"/>
      <c r="DQ203" s="1104"/>
      <c r="DR203" s="1130"/>
      <c r="DS203" s="1104"/>
      <c r="DT203" s="1104"/>
      <c r="DU203" s="1130"/>
      <c r="DV203" s="1104"/>
      <c r="DW203" s="1104"/>
      <c r="DX203" s="1130"/>
      <c r="DY203" s="1104"/>
      <c r="DZ203" s="1104" t="s">
        <v>500</v>
      </c>
      <c r="EA203" s="1104" t="s">
        <v>3615</v>
      </c>
      <c r="EB203" s="1104">
        <v>5</v>
      </c>
      <c r="EC203" s="1331" t="s">
        <v>504</v>
      </c>
      <c r="ED203" s="1127"/>
      <c r="EE203" s="1104"/>
      <c r="EF203" s="1104" t="s">
        <v>504</v>
      </c>
      <c r="EG203" s="1104"/>
      <c r="EH203" s="1104"/>
      <c r="EI203" s="1104" t="s">
        <v>504</v>
      </c>
      <c r="EJ203" s="1104"/>
      <c r="EK203" s="1104"/>
      <c r="EL203" s="1104"/>
      <c r="EM203" s="1104"/>
      <c r="EN203" s="1104"/>
      <c r="EO203" s="1104" t="s">
        <v>504</v>
      </c>
      <c r="EP203" s="1127"/>
      <c r="EQ203" s="1331" t="s">
        <v>3616</v>
      </c>
      <c r="ER203" s="1127" t="s">
        <v>3617</v>
      </c>
      <c r="ES203" s="1127"/>
      <c r="ET203" s="1109"/>
      <c r="EU203" s="1109"/>
      <c r="EV203" s="1137"/>
      <c r="EW203" s="1109"/>
      <c r="EX203" s="1109"/>
    </row>
    <row r="204" spans="3:154" customFormat="1" ht="80.099999999999994" customHeight="1" x14ac:dyDescent="0.25">
      <c r="C204" s="1156" t="s">
        <v>693</v>
      </c>
      <c r="D204" s="1156" t="s">
        <v>5278</v>
      </c>
      <c r="E204" s="1104" t="s">
        <v>362</v>
      </c>
      <c r="F204" s="1104" t="s">
        <v>447</v>
      </c>
      <c r="G204" s="1104" t="s">
        <v>3618</v>
      </c>
      <c r="H204" s="1104" t="s">
        <v>3571</v>
      </c>
      <c r="I204" s="1104" t="s">
        <v>694</v>
      </c>
      <c r="J204" s="1122" t="s">
        <v>3572</v>
      </c>
      <c r="K204" s="1125">
        <v>43922</v>
      </c>
      <c r="L204" s="1125">
        <v>44104</v>
      </c>
      <c r="M204" s="1369">
        <f t="shared" ref="M204:M267" si="29">L204-K204</f>
        <v>182</v>
      </c>
      <c r="N204" s="1125"/>
      <c r="O204" s="1125"/>
      <c r="P204" s="1125"/>
      <c r="Q204" s="1125"/>
      <c r="R204" s="1125"/>
      <c r="S204" s="1125"/>
      <c r="T204" s="1125"/>
      <c r="U204" s="1125"/>
      <c r="V204" s="1125"/>
      <c r="W204" s="1125"/>
      <c r="X204" s="1125"/>
      <c r="Y204" s="1104" t="s">
        <v>3619</v>
      </c>
      <c r="Z204" s="1131" t="s">
        <v>3620</v>
      </c>
      <c r="AA204" s="1104" t="s">
        <v>3621</v>
      </c>
      <c r="AB204" s="1104" t="s">
        <v>3621</v>
      </c>
      <c r="AC204" s="1104" t="s">
        <v>3577</v>
      </c>
      <c r="AD204" s="1104" t="s">
        <v>3621</v>
      </c>
      <c r="AE204" s="1178">
        <v>0.02</v>
      </c>
      <c r="AF204" s="1113">
        <f t="shared" si="25"/>
        <v>0.02</v>
      </c>
      <c r="AG204" s="1113">
        <f t="shared" si="26"/>
        <v>0</v>
      </c>
      <c r="AH204" s="1178"/>
      <c r="AI204" s="1182"/>
      <c r="AJ204" s="1182"/>
      <c r="AK204" s="1178">
        <v>0.02</v>
      </c>
      <c r="AL204" s="1114">
        <v>1</v>
      </c>
      <c r="AM204" s="1114">
        <v>1E-4</v>
      </c>
      <c r="AN204" s="1112">
        <v>0</v>
      </c>
      <c r="AO204" s="1114"/>
      <c r="AP204" s="1112">
        <v>0</v>
      </c>
      <c r="AQ204" s="1114"/>
      <c r="AR204" s="1112"/>
      <c r="AS204" s="1114"/>
      <c r="AT204" s="1114"/>
      <c r="AU204" s="1114"/>
      <c r="AV204" s="1114"/>
      <c r="AW204" s="1114" t="s">
        <v>504</v>
      </c>
      <c r="AX204" s="1114"/>
      <c r="AY204" s="1114"/>
      <c r="AZ204" s="1114"/>
      <c r="BA204" s="1113">
        <v>0.02</v>
      </c>
      <c r="BB204" s="1114">
        <v>1E-4</v>
      </c>
      <c r="BC204" s="1130">
        <v>2</v>
      </c>
      <c r="BD204" s="1130">
        <v>2</v>
      </c>
      <c r="BE204" s="1180">
        <v>1</v>
      </c>
      <c r="BF204" s="1115"/>
      <c r="BG204" s="1115"/>
      <c r="BH204" s="1115"/>
      <c r="BI204" s="1115"/>
      <c r="BJ204" s="1115"/>
      <c r="BK204" s="1115">
        <v>1</v>
      </c>
      <c r="BL204" s="1115"/>
      <c r="BM204" s="1115"/>
      <c r="BN204" s="1115"/>
      <c r="BO204" s="1115"/>
      <c r="BP204" s="1115"/>
      <c r="BQ204" s="1115"/>
      <c r="BR204" s="1115"/>
      <c r="BS204" s="1115"/>
      <c r="BT204" s="1115"/>
      <c r="BU204" s="1115"/>
      <c r="BV204" s="1115"/>
      <c r="BW204" s="1115"/>
      <c r="BX204" s="1115"/>
      <c r="BY204" s="1115"/>
      <c r="BZ204" s="1115"/>
      <c r="CA204" s="1117">
        <f t="shared" si="24"/>
        <v>1</v>
      </c>
      <c r="CB204" s="1117">
        <f t="shared" si="27"/>
        <v>1</v>
      </c>
      <c r="CC204" s="1117">
        <f t="shared" si="28"/>
        <v>0</v>
      </c>
      <c r="CD204" s="1182">
        <v>0.9</v>
      </c>
      <c r="CE204" s="1109"/>
      <c r="CF204" s="1109"/>
      <c r="CG204" s="1109">
        <v>100</v>
      </c>
      <c r="CH204" s="1113">
        <v>0.9</v>
      </c>
      <c r="CI204" s="1149" t="s">
        <v>3578</v>
      </c>
      <c r="CJ204" s="1109" t="s">
        <v>504</v>
      </c>
      <c r="CK204" s="1109"/>
      <c r="CL204" s="1109"/>
      <c r="CM204" s="1115"/>
      <c r="CN204" s="1115"/>
      <c r="CO204" s="1115">
        <v>1</v>
      </c>
      <c r="CP204" s="1104" t="s">
        <v>504</v>
      </c>
      <c r="CQ204" s="1104"/>
      <c r="CR204" s="1130"/>
      <c r="CS204" s="1104" t="s">
        <v>500</v>
      </c>
      <c r="CT204" s="1104" t="s">
        <v>630</v>
      </c>
      <c r="CU204" s="1130">
        <v>5</v>
      </c>
      <c r="CV204" s="1104" t="s">
        <v>504</v>
      </c>
      <c r="CW204" s="1104"/>
      <c r="CX204" s="1130"/>
      <c r="CY204" s="1104" t="s">
        <v>504</v>
      </c>
      <c r="CZ204" s="1104"/>
      <c r="DA204" s="1130"/>
      <c r="DB204" s="1104" t="s">
        <v>504</v>
      </c>
      <c r="DC204" s="1104"/>
      <c r="DD204" s="1130"/>
      <c r="DE204" s="1104" t="s">
        <v>504</v>
      </c>
      <c r="DF204" s="1104"/>
      <c r="DG204" s="1130"/>
      <c r="DH204" s="1109" t="s">
        <v>504</v>
      </c>
      <c r="DI204" s="1109"/>
      <c r="DJ204" s="1115"/>
      <c r="DK204" s="1109" t="s">
        <v>504</v>
      </c>
      <c r="DL204" s="1109"/>
      <c r="DM204" s="1115"/>
      <c r="DN204" s="1109" t="s">
        <v>504</v>
      </c>
      <c r="DO204" s="1109"/>
      <c r="DP204" s="1115"/>
      <c r="DQ204" s="1109" t="s">
        <v>500</v>
      </c>
      <c r="DR204" s="1109" t="s">
        <v>630</v>
      </c>
      <c r="DS204" s="1115">
        <v>5</v>
      </c>
      <c r="DT204" s="1115" t="s">
        <v>504</v>
      </c>
      <c r="DU204" s="1115"/>
      <c r="DV204" s="1115"/>
      <c r="DW204" s="1109" t="s">
        <v>504</v>
      </c>
      <c r="DX204" s="1109"/>
      <c r="DY204" s="1115"/>
      <c r="DZ204" s="1109" t="s">
        <v>504</v>
      </c>
      <c r="EA204" s="1109"/>
      <c r="EB204" s="1115"/>
      <c r="EC204" s="1109" t="s">
        <v>504</v>
      </c>
      <c r="ED204" s="1109"/>
      <c r="EE204" s="1115"/>
      <c r="EF204" s="1115" t="s">
        <v>504</v>
      </c>
      <c r="EG204" s="1115"/>
      <c r="EH204" s="1115"/>
      <c r="EI204" s="1109" t="s">
        <v>504</v>
      </c>
      <c r="EJ204" s="1109"/>
      <c r="EK204" s="1115"/>
      <c r="EL204" s="1115"/>
      <c r="EM204" s="1115"/>
      <c r="EN204" s="1115"/>
      <c r="EO204" s="1109" t="s">
        <v>504</v>
      </c>
      <c r="EP204" s="1109"/>
      <c r="EQ204" s="1131" t="s">
        <v>3579</v>
      </c>
      <c r="ER204" s="1109"/>
      <c r="ES204" s="1109"/>
      <c r="ET204" s="1109" t="s">
        <v>3622</v>
      </c>
      <c r="EU204" s="1109"/>
      <c r="EV204" s="1109" t="s">
        <v>940</v>
      </c>
      <c r="EW204" s="1109"/>
      <c r="EX204" s="1109"/>
    </row>
    <row r="205" spans="3:154" ht="80.099999999999994" customHeight="1" x14ac:dyDescent="0.2">
      <c r="C205" s="1156" t="s">
        <v>693</v>
      </c>
      <c r="D205" s="1156" t="s">
        <v>5278</v>
      </c>
      <c r="E205" s="1104" t="s">
        <v>362</v>
      </c>
      <c r="F205" s="1104" t="s">
        <v>447</v>
      </c>
      <c r="G205" s="1109" t="s">
        <v>3623</v>
      </c>
      <c r="H205" s="1109" t="s">
        <v>694</v>
      </c>
      <c r="I205" s="1109" t="s">
        <v>694</v>
      </c>
      <c r="J205" s="1110">
        <v>2016</v>
      </c>
      <c r="K205" s="1105">
        <v>44011</v>
      </c>
      <c r="L205" s="1105">
        <v>44048</v>
      </c>
      <c r="M205" s="1369">
        <f t="shared" si="29"/>
        <v>37</v>
      </c>
      <c r="N205" s="1105"/>
      <c r="O205" s="1105"/>
      <c r="P205" s="1105"/>
      <c r="Q205" s="1105"/>
      <c r="R205" s="1105"/>
      <c r="S205" s="1105"/>
      <c r="T205" s="1105"/>
      <c r="U205" s="1105"/>
      <c r="V205" s="1105"/>
      <c r="W205" s="1105"/>
      <c r="X205" s="1105"/>
      <c r="Y205" s="1109" t="s">
        <v>3626</v>
      </c>
      <c r="Z205" s="1131" t="s">
        <v>3627</v>
      </c>
      <c r="AA205" s="1109" t="s">
        <v>3628</v>
      </c>
      <c r="AB205" s="1109" t="s">
        <v>3628</v>
      </c>
      <c r="AC205" s="1109" t="s">
        <v>3629</v>
      </c>
      <c r="AD205" s="1109" t="s">
        <v>3630</v>
      </c>
      <c r="AE205" s="1112">
        <v>0.3</v>
      </c>
      <c r="AF205" s="1113">
        <f t="shared" si="25"/>
        <v>0.3</v>
      </c>
      <c r="AG205" s="1113">
        <f t="shared" si="26"/>
        <v>0</v>
      </c>
      <c r="AH205" s="1112"/>
      <c r="AI205" s="1113"/>
      <c r="AJ205" s="1113"/>
      <c r="AK205" s="1112">
        <v>0.3</v>
      </c>
      <c r="AL205" s="1114">
        <v>1</v>
      </c>
      <c r="AM205" s="1114">
        <v>3.6499999999999998E-2</v>
      </c>
      <c r="AN205" s="1112">
        <v>0</v>
      </c>
      <c r="AO205" s="1114"/>
      <c r="AP205" s="1112">
        <v>0</v>
      </c>
      <c r="AQ205" s="1114"/>
      <c r="AR205" s="1112"/>
      <c r="AS205" s="1114"/>
      <c r="AT205" s="1114"/>
      <c r="AU205" s="1114"/>
      <c r="AV205" s="1114"/>
      <c r="AW205" s="1114" t="s">
        <v>504</v>
      </c>
      <c r="AX205" s="1114"/>
      <c r="AY205" s="1332"/>
      <c r="AZ205" s="1114"/>
      <c r="BA205" s="1113">
        <v>0.3</v>
      </c>
      <c r="BB205" s="1114">
        <v>4.36E-2</v>
      </c>
      <c r="BC205" s="1115">
        <v>7</v>
      </c>
      <c r="BD205" s="1115">
        <v>5</v>
      </c>
      <c r="BE205" s="1116">
        <v>1</v>
      </c>
      <c r="BF205" s="1115"/>
      <c r="BG205" s="1115"/>
      <c r="BH205" s="1115"/>
      <c r="BI205" s="1115"/>
      <c r="BJ205" s="1115"/>
      <c r="BK205" s="1115"/>
      <c r="BL205" s="1115"/>
      <c r="BM205" s="1115"/>
      <c r="BN205" s="1115"/>
      <c r="BO205" s="1115"/>
      <c r="BP205" s="1115">
        <v>1</v>
      </c>
      <c r="BQ205" s="1115"/>
      <c r="BR205" s="1115"/>
      <c r="BS205" s="1115"/>
      <c r="BT205" s="1115"/>
      <c r="BU205" s="1115"/>
      <c r="BV205" s="1115"/>
      <c r="BW205" s="1115"/>
      <c r="BX205" s="1115"/>
      <c r="BY205" s="1115"/>
      <c r="BZ205" s="1115"/>
      <c r="CA205" s="1117">
        <f t="shared" si="24"/>
        <v>1</v>
      </c>
      <c r="CB205" s="1117">
        <f t="shared" si="27"/>
        <v>1</v>
      </c>
      <c r="CC205" s="1117">
        <f t="shared" si="28"/>
        <v>0</v>
      </c>
      <c r="CD205" s="1113">
        <v>0.3</v>
      </c>
      <c r="CE205" s="1109"/>
      <c r="CF205" s="1109"/>
      <c r="CG205" s="1114">
        <v>0.38400000000000001</v>
      </c>
      <c r="CH205" s="1113">
        <v>9.6679999999999993</v>
      </c>
      <c r="CI205" s="1149" t="s">
        <v>3631</v>
      </c>
      <c r="CJ205" s="1109" t="s">
        <v>504</v>
      </c>
      <c r="CK205" s="1109"/>
      <c r="CL205" s="1109"/>
      <c r="CM205" s="1115"/>
      <c r="CN205" s="1115"/>
      <c r="CO205" s="1115">
        <v>7</v>
      </c>
      <c r="CP205" s="1109" t="s">
        <v>504</v>
      </c>
      <c r="CQ205" s="1109"/>
      <c r="CR205" s="1115"/>
      <c r="CS205" s="1109" t="s">
        <v>500</v>
      </c>
      <c r="CT205" s="1109" t="s">
        <v>3632</v>
      </c>
      <c r="CU205" s="1115">
        <v>7</v>
      </c>
      <c r="CV205" s="1115" t="s">
        <v>504</v>
      </c>
      <c r="CW205" s="1115"/>
      <c r="CX205" s="1115"/>
      <c r="CY205" s="1115" t="s">
        <v>504</v>
      </c>
      <c r="CZ205" s="1115"/>
      <c r="DA205" s="1115"/>
      <c r="DB205" s="1109" t="s">
        <v>504</v>
      </c>
      <c r="DC205" s="1109"/>
      <c r="DD205" s="1115"/>
      <c r="DE205" s="1109" t="s">
        <v>504</v>
      </c>
      <c r="DF205" s="1109"/>
      <c r="DG205" s="1115"/>
      <c r="DH205" s="1109" t="s">
        <v>504</v>
      </c>
      <c r="DI205" s="1109"/>
      <c r="DJ205" s="1115"/>
      <c r="DK205" s="1109" t="s">
        <v>504</v>
      </c>
      <c r="DL205" s="1109"/>
      <c r="DM205" s="1115"/>
      <c r="DN205" s="1109" t="s">
        <v>504</v>
      </c>
      <c r="DO205" s="1109"/>
      <c r="DP205" s="1115"/>
      <c r="DQ205" s="1109" t="s">
        <v>504</v>
      </c>
      <c r="DR205" s="1109"/>
      <c r="DS205" s="1115"/>
      <c r="DT205" s="1115" t="s">
        <v>504</v>
      </c>
      <c r="DU205" s="1115"/>
      <c r="DV205" s="1115"/>
      <c r="DW205" s="1109" t="s">
        <v>504</v>
      </c>
      <c r="DX205" s="1109"/>
      <c r="DY205" s="1115"/>
      <c r="DZ205" s="1109" t="s">
        <v>500</v>
      </c>
      <c r="EA205" s="1109" t="s">
        <v>3633</v>
      </c>
      <c r="EB205" s="1115">
        <v>5</v>
      </c>
      <c r="EC205" s="1109" t="s">
        <v>504</v>
      </c>
      <c r="ED205" s="1109"/>
      <c r="EE205" s="1115"/>
      <c r="EF205" s="1109" t="s">
        <v>504</v>
      </c>
      <c r="EG205" s="1115"/>
      <c r="EH205" s="1115"/>
      <c r="EI205" s="1109" t="s">
        <v>504</v>
      </c>
      <c r="EJ205" s="1109"/>
      <c r="EK205" s="1115"/>
      <c r="EL205" s="1115"/>
      <c r="EM205" s="1115"/>
      <c r="EN205" s="1115"/>
      <c r="EO205" s="1109" t="s">
        <v>504</v>
      </c>
      <c r="EP205" s="1109"/>
      <c r="EQ205" s="1109" t="s">
        <v>3634</v>
      </c>
      <c r="ER205" s="1109"/>
      <c r="ES205" s="1109"/>
      <c r="ET205" s="1109" t="s">
        <v>3635</v>
      </c>
      <c r="EU205" s="1109"/>
      <c r="EV205" s="1109" t="s">
        <v>504</v>
      </c>
      <c r="EW205" s="1109"/>
      <c r="EX205" s="1109"/>
    </row>
    <row r="206" spans="3:154" customFormat="1" ht="80.099999999999994" customHeight="1" x14ac:dyDescent="0.25">
      <c r="C206" s="1156" t="s">
        <v>693</v>
      </c>
      <c r="D206" s="1156" t="s">
        <v>5278</v>
      </c>
      <c r="E206" s="1104" t="s">
        <v>362</v>
      </c>
      <c r="F206" s="1104" t="s">
        <v>447</v>
      </c>
      <c r="G206" s="1109" t="s">
        <v>3636</v>
      </c>
      <c r="H206" s="1109" t="s">
        <v>694</v>
      </c>
      <c r="I206" s="1109" t="s">
        <v>694</v>
      </c>
      <c r="J206" s="1110">
        <v>2017</v>
      </c>
      <c r="K206" s="1105">
        <v>43983</v>
      </c>
      <c r="L206" s="1105">
        <v>44012</v>
      </c>
      <c r="M206" s="1369">
        <f t="shared" si="29"/>
        <v>29</v>
      </c>
      <c r="N206" s="1105"/>
      <c r="O206" s="1105"/>
      <c r="P206" s="1105"/>
      <c r="Q206" s="1105"/>
      <c r="R206" s="1105"/>
      <c r="S206" s="1105"/>
      <c r="T206" s="1105"/>
      <c r="U206" s="1105"/>
      <c r="V206" s="1105"/>
      <c r="W206" s="1105"/>
      <c r="X206" s="1105"/>
      <c r="Y206" s="1109" t="s">
        <v>3637</v>
      </c>
      <c r="Z206" s="1127" t="s">
        <v>3638</v>
      </c>
      <c r="AA206" s="1109" t="s">
        <v>3639</v>
      </c>
      <c r="AB206" s="1109" t="s">
        <v>3639</v>
      </c>
      <c r="AC206" s="1109" t="s">
        <v>3640</v>
      </c>
      <c r="AD206" s="1109" t="s">
        <v>3639</v>
      </c>
      <c r="AE206" s="1112">
        <v>0.2296</v>
      </c>
      <c r="AF206" s="1113">
        <f t="shared" si="25"/>
        <v>0.23</v>
      </c>
      <c r="AG206" s="1113">
        <f t="shared" si="26"/>
        <v>4.0000000000001146E-4</v>
      </c>
      <c r="AH206" s="1112"/>
      <c r="AI206" s="1113"/>
      <c r="AJ206" s="1113"/>
      <c r="AK206" s="1112">
        <v>0.23</v>
      </c>
      <c r="AL206" s="1114">
        <v>1</v>
      </c>
      <c r="AM206" s="1114">
        <v>2.4E-2</v>
      </c>
      <c r="AN206" s="1112"/>
      <c r="AO206" s="1114"/>
      <c r="AP206" s="1112"/>
      <c r="AQ206" s="1114"/>
      <c r="AR206" s="1112"/>
      <c r="AS206" s="1114"/>
      <c r="AT206" s="1114"/>
      <c r="AU206" s="1114"/>
      <c r="AV206" s="1114"/>
      <c r="AW206" s="1114" t="s">
        <v>504</v>
      </c>
      <c r="AX206" s="1114"/>
      <c r="AY206" s="1114"/>
      <c r="AZ206" s="1114"/>
      <c r="BA206" s="1113">
        <v>0.1</v>
      </c>
      <c r="BB206" s="1114">
        <v>8.9999999999999993E-3</v>
      </c>
      <c r="BC206" s="1115">
        <v>2</v>
      </c>
      <c r="BD206" s="1115">
        <v>1</v>
      </c>
      <c r="BE206" s="1116">
        <v>1</v>
      </c>
      <c r="BF206" s="1115"/>
      <c r="BG206" s="1115"/>
      <c r="BH206" s="1115"/>
      <c r="BI206" s="1115"/>
      <c r="BJ206" s="1115"/>
      <c r="BK206" s="1115">
        <v>1</v>
      </c>
      <c r="BL206" s="1115"/>
      <c r="BM206" s="1115"/>
      <c r="BN206" s="1115"/>
      <c r="BO206" s="1115"/>
      <c r="BP206" s="1115"/>
      <c r="BQ206" s="1115"/>
      <c r="BR206" s="1115"/>
      <c r="BS206" s="1115"/>
      <c r="BT206" s="1115"/>
      <c r="BU206" s="1115"/>
      <c r="BV206" s="1115"/>
      <c r="BW206" s="1115"/>
      <c r="BX206" s="1115"/>
      <c r="BY206" s="1115"/>
      <c r="BZ206" s="1115"/>
      <c r="CA206" s="1117">
        <f t="shared" si="24"/>
        <v>1</v>
      </c>
      <c r="CB206" s="1117">
        <f t="shared" si="27"/>
        <v>1</v>
      </c>
      <c r="CC206" s="1117">
        <f t="shared" si="28"/>
        <v>0</v>
      </c>
      <c r="CD206" s="1113">
        <v>0.42699999999999999</v>
      </c>
      <c r="CE206" s="1109"/>
      <c r="CF206" s="1109"/>
      <c r="CG206" s="1109">
        <v>100</v>
      </c>
      <c r="CH206" s="1113">
        <v>0.42699999999999999</v>
      </c>
      <c r="CI206" s="1139" t="s">
        <v>3641</v>
      </c>
      <c r="CJ206" s="1109" t="s">
        <v>504</v>
      </c>
      <c r="CK206" s="1109"/>
      <c r="CL206" s="1109"/>
      <c r="CM206" s="1115"/>
      <c r="CN206" s="1115"/>
      <c r="CO206" s="1115">
        <v>1</v>
      </c>
      <c r="CP206" s="1109" t="s">
        <v>504</v>
      </c>
      <c r="CQ206" s="1109"/>
      <c r="CR206" s="1115"/>
      <c r="CS206" s="1109" t="s">
        <v>500</v>
      </c>
      <c r="CT206" s="1109" t="s">
        <v>3642</v>
      </c>
      <c r="CU206" s="1115">
        <v>11</v>
      </c>
      <c r="CV206" s="1115" t="s">
        <v>504</v>
      </c>
      <c r="CW206" s="1115"/>
      <c r="CX206" s="1115"/>
      <c r="CY206" s="1115" t="s">
        <v>504</v>
      </c>
      <c r="CZ206" s="1115"/>
      <c r="DA206" s="1115"/>
      <c r="DB206" s="1109" t="s">
        <v>504</v>
      </c>
      <c r="DC206" s="1109"/>
      <c r="DD206" s="1115"/>
      <c r="DE206" s="1109" t="s">
        <v>504</v>
      </c>
      <c r="DF206" s="1109"/>
      <c r="DG206" s="1115"/>
      <c r="DH206" s="1109" t="s">
        <v>504</v>
      </c>
      <c r="DI206" s="1109"/>
      <c r="DJ206" s="1115"/>
      <c r="DK206" s="1109" t="s">
        <v>504</v>
      </c>
      <c r="DL206" s="1109"/>
      <c r="DM206" s="1115"/>
      <c r="DN206" s="1109" t="s">
        <v>504</v>
      </c>
      <c r="DO206" s="1109"/>
      <c r="DP206" s="1115"/>
      <c r="DQ206" s="1109" t="s">
        <v>500</v>
      </c>
      <c r="DR206" s="1109" t="s">
        <v>2724</v>
      </c>
      <c r="DS206" s="1115">
        <v>11</v>
      </c>
      <c r="DT206" s="1115" t="s">
        <v>905</v>
      </c>
      <c r="DU206" s="1115"/>
      <c r="DV206" s="1115"/>
      <c r="DW206" s="1109" t="s">
        <v>504</v>
      </c>
      <c r="DX206" s="1109"/>
      <c r="DY206" s="1115"/>
      <c r="DZ206" s="1109" t="s">
        <v>504</v>
      </c>
      <c r="EA206" s="1109"/>
      <c r="EB206" s="1115"/>
      <c r="EC206" s="1109" t="s">
        <v>504</v>
      </c>
      <c r="ED206" s="1109"/>
      <c r="EE206" s="1115"/>
      <c r="EF206" s="1115" t="s">
        <v>504</v>
      </c>
      <c r="EG206" s="1115"/>
      <c r="EH206" s="1115"/>
      <c r="EI206" s="1109" t="s">
        <v>504</v>
      </c>
      <c r="EJ206" s="1109"/>
      <c r="EK206" s="1115"/>
      <c r="EL206" s="1115"/>
      <c r="EM206" s="1115"/>
      <c r="EN206" s="1115"/>
      <c r="EO206" s="1109" t="s">
        <v>504</v>
      </c>
      <c r="EP206" s="1109"/>
      <c r="EQ206" s="1127" t="s">
        <v>3638</v>
      </c>
      <c r="ER206" s="1109"/>
      <c r="ES206" s="1109"/>
      <c r="ET206" s="1109" t="s">
        <v>3643</v>
      </c>
      <c r="EU206" s="1109"/>
      <c r="EV206" s="1109" t="s">
        <v>504</v>
      </c>
      <c r="EW206" s="1109"/>
      <c r="EX206" s="1109"/>
    </row>
    <row r="207" spans="3:154" customFormat="1" ht="80.099999999999994" customHeight="1" x14ac:dyDescent="0.25">
      <c r="C207" s="1156" t="s">
        <v>693</v>
      </c>
      <c r="D207" s="1156" t="s">
        <v>5278</v>
      </c>
      <c r="E207" s="1104" t="s">
        <v>362</v>
      </c>
      <c r="F207" s="1104" t="s">
        <v>447</v>
      </c>
      <c r="G207" s="1109" t="s">
        <v>3644</v>
      </c>
      <c r="H207" s="1109" t="s">
        <v>694</v>
      </c>
      <c r="I207" s="1109" t="s">
        <v>694</v>
      </c>
      <c r="J207" s="1110">
        <v>2016</v>
      </c>
      <c r="K207" s="1105">
        <v>43891</v>
      </c>
      <c r="L207" s="1105">
        <v>44196</v>
      </c>
      <c r="M207" s="1369">
        <f t="shared" si="29"/>
        <v>305</v>
      </c>
      <c r="N207" s="1105"/>
      <c r="O207" s="1105"/>
      <c r="P207" s="1105"/>
      <c r="Q207" s="1105"/>
      <c r="R207" s="1105"/>
      <c r="S207" s="1105"/>
      <c r="T207" s="1105"/>
      <c r="U207" s="1105"/>
      <c r="V207" s="1105"/>
      <c r="W207" s="1105"/>
      <c r="X207" s="1105"/>
      <c r="Y207" s="1109" t="s">
        <v>3645</v>
      </c>
      <c r="Z207" s="1127" t="s">
        <v>3646</v>
      </c>
      <c r="AA207" s="1109" t="s">
        <v>3647</v>
      </c>
      <c r="AB207" s="1109" t="s">
        <v>3647</v>
      </c>
      <c r="AC207" s="1109" t="s">
        <v>3648</v>
      </c>
      <c r="AD207" s="1109" t="s">
        <v>3649</v>
      </c>
      <c r="AE207" s="1112">
        <v>0.3</v>
      </c>
      <c r="AF207" s="1113">
        <f t="shared" si="25"/>
        <v>0.3</v>
      </c>
      <c r="AG207" s="1113">
        <f t="shared" si="26"/>
        <v>0</v>
      </c>
      <c r="AH207" s="1112"/>
      <c r="AI207" s="1113"/>
      <c r="AJ207" s="1113"/>
      <c r="AK207" s="1112">
        <v>0.3</v>
      </c>
      <c r="AL207" s="1114">
        <v>1</v>
      </c>
      <c r="AM207" s="1114">
        <v>1E-4</v>
      </c>
      <c r="AN207" s="1112"/>
      <c r="AO207" s="1114"/>
      <c r="AP207" s="1112"/>
      <c r="AQ207" s="1114"/>
      <c r="AR207" s="1112"/>
      <c r="AS207" s="1114"/>
      <c r="AT207" s="1114"/>
      <c r="AU207" s="1114"/>
      <c r="AV207" s="1114"/>
      <c r="AW207" s="1114" t="s">
        <v>504</v>
      </c>
      <c r="AX207" s="1114"/>
      <c r="AY207" s="1114"/>
      <c r="AZ207" s="1114"/>
      <c r="BA207" s="1113">
        <v>0.09</v>
      </c>
      <c r="BB207" s="1114">
        <v>1E-4</v>
      </c>
      <c r="BC207" s="1115">
        <v>2</v>
      </c>
      <c r="BD207" s="1115">
        <v>1</v>
      </c>
      <c r="BE207" s="1116">
        <v>1</v>
      </c>
      <c r="BF207" s="1115"/>
      <c r="BG207" s="1115"/>
      <c r="BH207" s="1115"/>
      <c r="BI207" s="1115"/>
      <c r="BJ207" s="1115"/>
      <c r="BK207" s="1115"/>
      <c r="BL207" s="1115"/>
      <c r="BM207" s="1115"/>
      <c r="BN207" s="1115"/>
      <c r="BO207" s="1115"/>
      <c r="BP207" s="1115"/>
      <c r="BQ207" s="1115">
        <v>1</v>
      </c>
      <c r="BR207" s="1115"/>
      <c r="BS207" s="1115"/>
      <c r="BT207" s="1115"/>
      <c r="BU207" s="1115"/>
      <c r="BV207" s="1115"/>
      <c r="BW207" s="1115"/>
      <c r="BX207" s="1115"/>
      <c r="BY207" s="1115"/>
      <c r="BZ207" s="1115"/>
      <c r="CA207" s="1117">
        <f t="shared" si="24"/>
        <v>1</v>
      </c>
      <c r="CB207" s="1117">
        <f t="shared" si="27"/>
        <v>1</v>
      </c>
      <c r="CC207" s="1117">
        <f t="shared" si="28"/>
        <v>0</v>
      </c>
      <c r="CD207" s="1113">
        <v>0.4</v>
      </c>
      <c r="CE207" s="1109"/>
      <c r="CF207" s="1127" t="s">
        <v>3650</v>
      </c>
      <c r="CG207" s="1126">
        <v>0.05</v>
      </c>
      <c r="CH207" s="1113">
        <v>7.4</v>
      </c>
      <c r="CI207" s="1139" t="s">
        <v>3565</v>
      </c>
      <c r="CJ207" s="1109" t="s">
        <v>504</v>
      </c>
      <c r="CK207" s="1109"/>
      <c r="CL207" s="1109"/>
      <c r="CM207" s="1115"/>
      <c r="CN207" s="1115"/>
      <c r="CO207" s="1115"/>
      <c r="CP207" s="1109" t="s">
        <v>504</v>
      </c>
      <c r="CQ207" s="1109"/>
      <c r="CR207" s="1115"/>
      <c r="CS207" s="1104" t="s">
        <v>500</v>
      </c>
      <c r="CT207" s="1104" t="s">
        <v>3651</v>
      </c>
      <c r="CU207" s="1130">
        <v>45</v>
      </c>
      <c r="CV207" s="1115" t="s">
        <v>504</v>
      </c>
      <c r="CW207" s="1115"/>
      <c r="CX207" s="1115"/>
      <c r="CY207" s="1115" t="s">
        <v>504</v>
      </c>
      <c r="CZ207" s="1115"/>
      <c r="DA207" s="1115"/>
      <c r="DB207" s="1109" t="s">
        <v>504</v>
      </c>
      <c r="DC207" s="1109"/>
      <c r="DD207" s="1115"/>
      <c r="DE207" s="1109" t="s">
        <v>504</v>
      </c>
      <c r="DF207" s="1109"/>
      <c r="DG207" s="1115"/>
      <c r="DH207" s="1109" t="s">
        <v>504</v>
      </c>
      <c r="DI207" s="1109"/>
      <c r="DJ207" s="1115"/>
      <c r="DK207" s="1109" t="s">
        <v>504</v>
      </c>
      <c r="DL207" s="1109"/>
      <c r="DM207" s="1115"/>
      <c r="DN207" s="1109" t="s">
        <v>504</v>
      </c>
      <c r="DO207" s="1109"/>
      <c r="DP207" s="1115"/>
      <c r="DQ207" s="1109" t="s">
        <v>504</v>
      </c>
      <c r="DR207" s="1109"/>
      <c r="DS207" s="1115"/>
      <c r="DT207" s="1115" t="s">
        <v>504</v>
      </c>
      <c r="DU207" s="1115"/>
      <c r="DV207" s="1115"/>
      <c r="DW207" s="1109" t="s">
        <v>504</v>
      </c>
      <c r="DX207" s="1109"/>
      <c r="DY207" s="1115"/>
      <c r="DZ207" s="1104" t="s">
        <v>500</v>
      </c>
      <c r="EA207" s="1104" t="s">
        <v>3651</v>
      </c>
      <c r="EB207" s="1130">
        <v>45</v>
      </c>
      <c r="EC207" s="1109" t="s">
        <v>504</v>
      </c>
      <c r="ED207" s="1109"/>
      <c r="EE207" s="1115"/>
      <c r="EF207" s="1115" t="s">
        <v>504</v>
      </c>
      <c r="EG207" s="1115"/>
      <c r="EH207" s="1115"/>
      <c r="EI207" s="1109" t="s">
        <v>504</v>
      </c>
      <c r="EJ207" s="1109"/>
      <c r="EK207" s="1115"/>
      <c r="EL207" s="1115"/>
      <c r="EM207" s="1115"/>
      <c r="EN207" s="1115"/>
      <c r="EO207" s="1109" t="s">
        <v>504</v>
      </c>
      <c r="EP207" s="1109"/>
      <c r="EQ207" s="1127" t="s">
        <v>3652</v>
      </c>
      <c r="ER207" s="1127" t="s">
        <v>3653</v>
      </c>
      <c r="ES207" s="1109"/>
      <c r="ET207" s="1109"/>
      <c r="EU207" s="1109"/>
      <c r="EV207" s="1109"/>
      <c r="EW207" s="1109"/>
      <c r="EX207" s="1109"/>
    </row>
    <row r="208" spans="3:154" customFormat="1" ht="80.099999999999994" customHeight="1" x14ac:dyDescent="0.25">
      <c r="C208" s="1156" t="s">
        <v>693</v>
      </c>
      <c r="D208" s="1156" t="s">
        <v>5278</v>
      </c>
      <c r="E208" s="1104" t="s">
        <v>362</v>
      </c>
      <c r="F208" s="1104" t="s">
        <v>447</v>
      </c>
      <c r="G208" s="1109" t="s">
        <v>3654</v>
      </c>
      <c r="H208" s="1109" t="s">
        <v>569</v>
      </c>
      <c r="I208" s="1109" t="s">
        <v>694</v>
      </c>
      <c r="J208" s="1110" t="s">
        <v>3572</v>
      </c>
      <c r="K208" s="1105">
        <v>44180</v>
      </c>
      <c r="L208" s="1105">
        <v>44189</v>
      </c>
      <c r="M208" s="1369">
        <f t="shared" si="29"/>
        <v>9</v>
      </c>
      <c r="N208" s="1105"/>
      <c r="O208" s="1105"/>
      <c r="P208" s="1105"/>
      <c r="Q208" s="1105"/>
      <c r="R208" s="1105"/>
      <c r="S208" s="1105"/>
      <c r="T208" s="1105"/>
      <c r="U208" s="1105"/>
      <c r="V208" s="1105"/>
      <c r="W208" s="1105"/>
      <c r="X208" s="1105"/>
      <c r="Y208" s="1109" t="s">
        <v>3657</v>
      </c>
      <c r="Z208" s="1188" t="s">
        <v>3658</v>
      </c>
      <c r="AA208" s="1109" t="s">
        <v>3659</v>
      </c>
      <c r="AB208" s="1109" t="s">
        <v>3659</v>
      </c>
      <c r="AC208" s="1109" t="s">
        <v>3360</v>
      </c>
      <c r="AD208" s="1109" t="s">
        <v>3659</v>
      </c>
      <c r="AE208" s="1112">
        <v>0.24</v>
      </c>
      <c r="AF208" s="1113">
        <f t="shared" si="25"/>
        <v>0.24</v>
      </c>
      <c r="AG208" s="1113">
        <f t="shared" si="26"/>
        <v>0</v>
      </c>
      <c r="AH208" s="1112"/>
      <c r="AI208" s="1113"/>
      <c r="AJ208" s="1113"/>
      <c r="AK208" s="1112">
        <v>0.24</v>
      </c>
      <c r="AL208" s="1114">
        <v>1</v>
      </c>
      <c r="AM208" s="1114">
        <v>5.0000000000000001E-3</v>
      </c>
      <c r="AN208" s="1112"/>
      <c r="AO208" s="1114"/>
      <c r="AP208" s="1112"/>
      <c r="AQ208" s="1114"/>
      <c r="AR208" s="1112"/>
      <c r="AS208" s="1114"/>
      <c r="AT208" s="1114"/>
      <c r="AU208" s="1114"/>
      <c r="AV208" s="1114"/>
      <c r="AW208" s="1114" t="s">
        <v>504</v>
      </c>
      <c r="AX208" s="1114"/>
      <c r="AY208" s="1114"/>
      <c r="AZ208" s="1114"/>
      <c r="BA208" s="1113">
        <v>0.5</v>
      </c>
      <c r="BB208" s="1114">
        <v>7.0000000000000001E-3</v>
      </c>
      <c r="BC208" s="1115">
        <v>2</v>
      </c>
      <c r="BD208" s="1115">
        <v>1</v>
      </c>
      <c r="BE208" s="1116">
        <v>1</v>
      </c>
      <c r="BF208" s="1115"/>
      <c r="BG208" s="1115">
        <v>1</v>
      </c>
      <c r="BH208" s="1115"/>
      <c r="BI208" s="1115"/>
      <c r="BJ208" s="1115"/>
      <c r="BK208" s="1115"/>
      <c r="BL208" s="1115"/>
      <c r="BM208" s="1115"/>
      <c r="BN208" s="1115"/>
      <c r="BO208" s="1115"/>
      <c r="BP208" s="1115"/>
      <c r="BQ208" s="1115"/>
      <c r="BR208" s="1115"/>
      <c r="BS208" s="1115"/>
      <c r="BT208" s="1115"/>
      <c r="BU208" s="1115"/>
      <c r="BV208" s="1115"/>
      <c r="BW208" s="1115"/>
      <c r="BX208" s="1115"/>
      <c r="BY208" s="1115"/>
      <c r="BZ208" s="1115"/>
      <c r="CA208" s="1117">
        <f t="shared" si="24"/>
        <v>1</v>
      </c>
      <c r="CB208" s="1117">
        <f t="shared" si="27"/>
        <v>1</v>
      </c>
      <c r="CC208" s="1117">
        <f t="shared" si="28"/>
        <v>0</v>
      </c>
      <c r="CD208" s="1113">
        <v>8.2249999999999996</v>
      </c>
      <c r="CE208" s="1104"/>
      <c r="CF208" s="1109"/>
      <c r="CG208" s="1114">
        <v>0.37340000000000001</v>
      </c>
      <c r="CH208" s="1113">
        <v>8.0329999999999995</v>
      </c>
      <c r="CI208" s="1191" t="s">
        <v>3660</v>
      </c>
      <c r="CJ208" s="1109" t="s">
        <v>504</v>
      </c>
      <c r="CK208" s="1109"/>
      <c r="CL208" s="1109"/>
      <c r="CM208" s="1115"/>
      <c r="CN208" s="1115"/>
      <c r="CO208" s="1115">
        <v>1</v>
      </c>
      <c r="CP208" s="1109" t="s">
        <v>504</v>
      </c>
      <c r="CQ208" s="1109"/>
      <c r="CR208" s="1115"/>
      <c r="CS208" s="1109" t="s">
        <v>500</v>
      </c>
      <c r="CT208" s="1109" t="s">
        <v>935</v>
      </c>
      <c r="CU208" s="1115">
        <v>11</v>
      </c>
      <c r="CV208" s="1109" t="s">
        <v>504</v>
      </c>
      <c r="CW208" s="1115"/>
      <c r="CX208" s="1115"/>
      <c r="CY208" s="1109" t="s">
        <v>504</v>
      </c>
      <c r="CZ208" s="1115"/>
      <c r="DA208" s="1115"/>
      <c r="DB208" s="1109" t="s">
        <v>504</v>
      </c>
      <c r="DC208" s="1109"/>
      <c r="DD208" s="1115"/>
      <c r="DE208" s="1109" t="s">
        <v>504</v>
      </c>
      <c r="DF208" s="1109"/>
      <c r="DG208" s="1115"/>
      <c r="DH208" s="1109" t="s">
        <v>504</v>
      </c>
      <c r="DI208" s="1109"/>
      <c r="DJ208" s="1115"/>
      <c r="DK208" s="1109" t="s">
        <v>504</v>
      </c>
      <c r="DL208" s="1109"/>
      <c r="DM208" s="1115"/>
      <c r="DN208" s="1109" t="s">
        <v>504</v>
      </c>
      <c r="DO208" s="1109"/>
      <c r="DP208" s="1115"/>
      <c r="DQ208" s="1109" t="s">
        <v>504</v>
      </c>
      <c r="DR208" s="1109"/>
      <c r="DS208" s="1115"/>
      <c r="DT208" s="1109" t="s">
        <v>504</v>
      </c>
      <c r="DU208" s="1115"/>
      <c r="DV208" s="1115"/>
      <c r="DW208" s="1109" t="s">
        <v>500</v>
      </c>
      <c r="DX208" s="1109" t="s">
        <v>935</v>
      </c>
      <c r="DY208" s="1115">
        <v>11</v>
      </c>
      <c r="DZ208" s="1109" t="s">
        <v>504</v>
      </c>
      <c r="EA208" s="1109"/>
      <c r="EB208" s="1115"/>
      <c r="EC208" s="1109" t="s">
        <v>504</v>
      </c>
      <c r="ED208" s="1109"/>
      <c r="EE208" s="1115"/>
      <c r="EF208" s="1109" t="s">
        <v>504</v>
      </c>
      <c r="EG208" s="1115"/>
      <c r="EH208" s="1115"/>
      <c r="EI208" s="1109" t="s">
        <v>504</v>
      </c>
      <c r="EJ208" s="1109"/>
      <c r="EK208" s="1115"/>
      <c r="EL208" s="1115"/>
      <c r="EM208" s="1115"/>
      <c r="EN208" s="1115"/>
      <c r="EO208" s="1109" t="s">
        <v>504</v>
      </c>
      <c r="EP208" s="1109"/>
      <c r="EQ208" s="1188" t="s">
        <v>3661</v>
      </c>
      <c r="ER208" s="1109"/>
      <c r="ES208" s="1109"/>
      <c r="ET208" s="1104" t="s">
        <v>3662</v>
      </c>
      <c r="EU208" s="1109"/>
      <c r="EV208" s="1104" t="s">
        <v>3663</v>
      </c>
      <c r="EW208" s="1109">
        <v>1</v>
      </c>
      <c r="EX208" s="1109">
        <v>11</v>
      </c>
    </row>
    <row r="209" spans="3:154" ht="80.099999999999994" customHeight="1" x14ac:dyDescent="0.2">
      <c r="C209" s="1156" t="s">
        <v>693</v>
      </c>
      <c r="D209" s="1156" t="s">
        <v>5278</v>
      </c>
      <c r="E209" s="1104" t="s">
        <v>362</v>
      </c>
      <c r="F209" s="1104" t="s">
        <v>447</v>
      </c>
      <c r="G209" s="1109" t="s">
        <v>3664</v>
      </c>
      <c r="H209" s="1109" t="s">
        <v>3665</v>
      </c>
      <c r="I209" s="1109" t="s">
        <v>3666</v>
      </c>
      <c r="J209" s="1110">
        <v>2019</v>
      </c>
      <c r="K209" s="1105">
        <v>43922</v>
      </c>
      <c r="L209" s="1105">
        <v>44159</v>
      </c>
      <c r="M209" s="1369">
        <f t="shared" si="29"/>
        <v>237</v>
      </c>
      <c r="N209" s="1105"/>
      <c r="O209" s="1105"/>
      <c r="P209" s="1105"/>
      <c r="Q209" s="1105"/>
      <c r="R209" s="1105"/>
      <c r="S209" s="1105"/>
      <c r="T209" s="1105"/>
      <c r="U209" s="1105"/>
      <c r="V209" s="1105"/>
      <c r="W209" s="1105"/>
      <c r="X209" s="1105"/>
      <c r="Y209" s="1109" t="s">
        <v>3667</v>
      </c>
      <c r="Z209" s="1131" t="s">
        <v>3668</v>
      </c>
      <c r="AA209" s="1109" t="s">
        <v>3669</v>
      </c>
      <c r="AB209" s="1109" t="s">
        <v>3670</v>
      </c>
      <c r="AC209" s="1109" t="s">
        <v>3671</v>
      </c>
      <c r="AD209" s="1109" t="s">
        <v>3672</v>
      </c>
      <c r="AE209" s="1112">
        <v>0.5</v>
      </c>
      <c r="AF209" s="1113">
        <f t="shared" si="25"/>
        <v>0.5</v>
      </c>
      <c r="AG209" s="1113">
        <f t="shared" si="26"/>
        <v>0</v>
      </c>
      <c r="AH209" s="1112"/>
      <c r="AI209" s="1113"/>
      <c r="AJ209" s="1113"/>
      <c r="AK209" s="1112">
        <v>0.5</v>
      </c>
      <c r="AL209" s="1114" t="s">
        <v>52</v>
      </c>
      <c r="AM209" s="1205">
        <v>0.06</v>
      </c>
      <c r="AN209" s="1112"/>
      <c r="AO209" s="1114"/>
      <c r="AP209" s="1112"/>
      <c r="AQ209" s="1114"/>
      <c r="AR209" s="1112"/>
      <c r="AS209" s="1114"/>
      <c r="AT209" s="1114"/>
      <c r="AU209" s="1114"/>
      <c r="AV209" s="1114"/>
      <c r="AW209" s="1114" t="s">
        <v>504</v>
      </c>
      <c r="AX209" s="1114"/>
      <c r="AY209" s="1114"/>
      <c r="AZ209" s="1114"/>
      <c r="BA209" s="1113">
        <v>0.5</v>
      </c>
      <c r="BB209" s="1114">
        <v>6.9999999999999999E-4</v>
      </c>
      <c r="BC209" s="1115">
        <v>3</v>
      </c>
      <c r="BD209" s="1115">
        <v>3</v>
      </c>
      <c r="BE209" s="1116">
        <v>1</v>
      </c>
      <c r="BF209" s="1115"/>
      <c r="BG209" s="1115"/>
      <c r="BH209" s="1115"/>
      <c r="BI209" s="1115"/>
      <c r="BJ209" s="1115"/>
      <c r="BK209" s="1115"/>
      <c r="BL209" s="1115">
        <v>1</v>
      </c>
      <c r="BM209" s="1115"/>
      <c r="BN209" s="1115"/>
      <c r="BO209" s="1115"/>
      <c r="BP209" s="1115"/>
      <c r="BQ209" s="1115"/>
      <c r="BR209" s="1115"/>
      <c r="BS209" s="1115"/>
      <c r="BT209" s="1115"/>
      <c r="BU209" s="1115"/>
      <c r="BV209" s="1115"/>
      <c r="BW209" s="1115"/>
      <c r="BX209" s="1115"/>
      <c r="BY209" s="1115"/>
      <c r="BZ209" s="1115"/>
      <c r="CA209" s="1117">
        <f t="shared" si="24"/>
        <v>1</v>
      </c>
      <c r="CB209" s="1117">
        <f t="shared" si="27"/>
        <v>1</v>
      </c>
      <c r="CC209" s="1117">
        <f t="shared" si="28"/>
        <v>0</v>
      </c>
      <c r="CD209" s="1113">
        <v>0.12</v>
      </c>
      <c r="CE209" s="1109"/>
      <c r="CF209" s="1109"/>
      <c r="CG209" s="1116">
        <f>(CD209/CH209)*100</f>
        <v>1.8844221105527637</v>
      </c>
      <c r="CH209" s="1113">
        <v>6.3680000000000003</v>
      </c>
      <c r="CI209" s="1149" t="s">
        <v>3565</v>
      </c>
      <c r="CJ209" s="1109" t="s">
        <v>504</v>
      </c>
      <c r="CK209" s="1109"/>
      <c r="CL209" s="1109"/>
      <c r="CM209" s="1115"/>
      <c r="CN209" s="1115"/>
      <c r="CO209" s="1115">
        <v>4</v>
      </c>
      <c r="CP209" s="1109" t="s">
        <v>504</v>
      </c>
      <c r="CQ209" s="1109"/>
      <c r="CR209" s="1115"/>
      <c r="CS209" s="1109" t="s">
        <v>500</v>
      </c>
      <c r="CT209" s="1109" t="s">
        <v>3673</v>
      </c>
      <c r="CU209" s="1115">
        <v>24</v>
      </c>
      <c r="CV209" s="1115" t="s">
        <v>504</v>
      </c>
      <c r="CW209" s="1115"/>
      <c r="CX209" s="1115"/>
      <c r="CY209" s="1115" t="s">
        <v>504</v>
      </c>
      <c r="CZ209" s="1115"/>
      <c r="DA209" s="1115"/>
      <c r="DB209" s="1109" t="s">
        <v>504</v>
      </c>
      <c r="DC209" s="1109"/>
      <c r="DD209" s="1115"/>
      <c r="DE209" s="1109" t="s">
        <v>504</v>
      </c>
      <c r="DF209" s="1109"/>
      <c r="DG209" s="1115"/>
      <c r="DH209" s="1109" t="s">
        <v>504</v>
      </c>
      <c r="DI209" s="1109"/>
      <c r="DJ209" s="1115"/>
      <c r="DK209" s="1109" t="s">
        <v>504</v>
      </c>
      <c r="DL209" s="1109"/>
      <c r="DM209" s="1115"/>
      <c r="DN209" s="1109" t="s">
        <v>504</v>
      </c>
      <c r="DO209" s="1109"/>
      <c r="DP209" s="1115"/>
      <c r="DQ209" s="1109" t="s">
        <v>500</v>
      </c>
      <c r="DR209" s="1109" t="s">
        <v>3674</v>
      </c>
      <c r="DS209" s="1115">
        <v>24</v>
      </c>
      <c r="DT209" s="1115" t="s">
        <v>504</v>
      </c>
      <c r="DU209" s="1115"/>
      <c r="DV209" s="1115"/>
      <c r="DW209" s="1109" t="s">
        <v>504</v>
      </c>
      <c r="DX209" s="1109"/>
      <c r="DY209" s="1115"/>
      <c r="DZ209" s="1109" t="s">
        <v>500</v>
      </c>
      <c r="EA209" s="1109" t="s">
        <v>1348</v>
      </c>
      <c r="EB209" s="1115">
        <v>5</v>
      </c>
      <c r="EC209" s="1109" t="s">
        <v>504</v>
      </c>
      <c r="ED209" s="1109"/>
      <c r="EE209" s="1115"/>
      <c r="EF209" s="1115" t="s">
        <v>504</v>
      </c>
      <c r="EG209" s="1115"/>
      <c r="EH209" s="1115"/>
      <c r="EI209" s="1109" t="s">
        <v>504</v>
      </c>
      <c r="EJ209" s="1109"/>
      <c r="EK209" s="1115"/>
      <c r="EL209" s="1115"/>
      <c r="EM209" s="1115"/>
      <c r="EN209" s="1115"/>
      <c r="EO209" s="1109" t="s">
        <v>504</v>
      </c>
      <c r="EP209" s="1109"/>
      <c r="EQ209" s="1109" t="s">
        <v>3675</v>
      </c>
      <c r="ER209" s="1109"/>
      <c r="ES209" s="1109"/>
      <c r="ET209" s="1109" t="s">
        <v>3676</v>
      </c>
      <c r="EU209" s="1109"/>
      <c r="EV209" s="1109" t="s">
        <v>3677</v>
      </c>
      <c r="EW209" s="1109">
        <v>2</v>
      </c>
      <c r="EX209" s="1109">
        <v>50</v>
      </c>
    </row>
    <row r="210" spans="3:154" ht="80.099999999999994" customHeight="1" x14ac:dyDescent="0.2">
      <c r="C210" s="1156" t="s">
        <v>693</v>
      </c>
      <c r="D210" s="1156" t="s">
        <v>5278</v>
      </c>
      <c r="E210" s="1104" t="s">
        <v>362</v>
      </c>
      <c r="F210" s="1104" t="s">
        <v>447</v>
      </c>
      <c r="G210" s="1104" t="s">
        <v>3678</v>
      </c>
      <c r="H210" s="1109" t="s">
        <v>3679</v>
      </c>
      <c r="I210" s="1109" t="s">
        <v>3679</v>
      </c>
      <c r="J210" s="1110">
        <v>2016</v>
      </c>
      <c r="K210" s="1105">
        <v>43992</v>
      </c>
      <c r="L210" s="1105">
        <v>44136</v>
      </c>
      <c r="M210" s="1369">
        <f t="shared" si="29"/>
        <v>144</v>
      </c>
      <c r="N210" s="1105"/>
      <c r="O210" s="1105"/>
      <c r="P210" s="1105"/>
      <c r="Q210" s="1105"/>
      <c r="R210" s="1105"/>
      <c r="S210" s="1105"/>
      <c r="T210" s="1105"/>
      <c r="U210" s="1105"/>
      <c r="V210" s="1105"/>
      <c r="W210" s="1105"/>
      <c r="X210" s="1105"/>
      <c r="Y210" s="1109" t="s">
        <v>3680</v>
      </c>
      <c r="Z210" s="1127" t="s">
        <v>3681</v>
      </c>
      <c r="AA210" s="1109" t="s">
        <v>3682</v>
      </c>
      <c r="AB210" s="1109" t="s">
        <v>3683</v>
      </c>
      <c r="AC210" s="1109" t="s">
        <v>2731</v>
      </c>
      <c r="AD210" s="1109" t="s">
        <v>3683</v>
      </c>
      <c r="AE210" s="1112">
        <v>0.27100000000000002</v>
      </c>
      <c r="AF210" s="1113">
        <f t="shared" si="25"/>
        <v>0.27100000000000002</v>
      </c>
      <c r="AG210" s="1113">
        <f t="shared" si="26"/>
        <v>0</v>
      </c>
      <c r="AH210" s="1112"/>
      <c r="AI210" s="1113"/>
      <c r="AJ210" s="1113"/>
      <c r="AK210" s="1112">
        <v>0.27100000000000002</v>
      </c>
      <c r="AL210" s="1114"/>
      <c r="AM210" s="1114">
        <v>1E-3</v>
      </c>
      <c r="AN210" s="1112"/>
      <c r="AO210" s="1114"/>
      <c r="AP210" s="1112"/>
      <c r="AQ210" s="1114"/>
      <c r="AR210" s="1112"/>
      <c r="AS210" s="1114"/>
      <c r="AT210" s="1114"/>
      <c r="AU210" s="1114"/>
      <c r="AV210" s="1114"/>
      <c r="AW210" s="1114" t="s">
        <v>504</v>
      </c>
      <c r="AX210" s="1114"/>
      <c r="AY210" s="1114"/>
      <c r="AZ210" s="1114"/>
      <c r="BA210" s="1113">
        <v>0.5</v>
      </c>
      <c r="BB210" s="1114">
        <v>1.0999999999999999E-2</v>
      </c>
      <c r="BC210" s="1115">
        <v>1</v>
      </c>
      <c r="BD210" s="1115">
        <v>1</v>
      </c>
      <c r="BE210" s="1116">
        <v>1</v>
      </c>
      <c r="BF210" s="1115"/>
      <c r="BG210" s="1115"/>
      <c r="BH210" s="1115"/>
      <c r="BI210" s="1115"/>
      <c r="BJ210" s="1115"/>
      <c r="BK210" s="1115"/>
      <c r="BL210" s="1115"/>
      <c r="BM210" s="1115"/>
      <c r="BN210" s="1115">
        <v>1</v>
      </c>
      <c r="BO210" s="1115"/>
      <c r="BP210" s="1115"/>
      <c r="BQ210" s="1115"/>
      <c r="BR210" s="1115"/>
      <c r="BS210" s="1115"/>
      <c r="BT210" s="1115"/>
      <c r="BU210" s="1115"/>
      <c r="BV210" s="1115"/>
      <c r="BW210" s="1115"/>
      <c r="BX210" s="1115"/>
      <c r="BY210" s="1115"/>
      <c r="BZ210" s="1115"/>
      <c r="CA210" s="1117">
        <f t="shared" si="24"/>
        <v>1</v>
      </c>
      <c r="CB210" s="1117">
        <f t="shared" si="27"/>
        <v>1</v>
      </c>
      <c r="CC210" s="1117">
        <f t="shared" si="28"/>
        <v>0</v>
      </c>
      <c r="CD210" s="1113">
        <v>2</v>
      </c>
      <c r="CE210" s="1109"/>
      <c r="CF210" s="1109"/>
      <c r="CG210" s="1109">
        <v>39</v>
      </c>
      <c r="CH210" s="1113">
        <v>5.0999999999999996</v>
      </c>
      <c r="CI210" s="1114" t="s">
        <v>3684</v>
      </c>
      <c r="CJ210" s="1109" t="s">
        <v>504</v>
      </c>
      <c r="CK210" s="1109"/>
      <c r="CL210" s="1109"/>
      <c r="CM210" s="1115"/>
      <c r="CN210" s="1115"/>
      <c r="CO210" s="1115">
        <v>2</v>
      </c>
      <c r="CP210" s="1109" t="s">
        <v>504</v>
      </c>
      <c r="CQ210" s="1109"/>
      <c r="CR210" s="1115"/>
      <c r="CS210" s="1109" t="s">
        <v>504</v>
      </c>
      <c r="CT210" s="1109"/>
      <c r="CU210" s="1115">
        <v>23</v>
      </c>
      <c r="CV210" s="1109" t="s">
        <v>504</v>
      </c>
      <c r="CW210" s="1115"/>
      <c r="CX210" s="1115"/>
      <c r="CY210" s="1109" t="s">
        <v>504</v>
      </c>
      <c r="CZ210" s="1115"/>
      <c r="DA210" s="1115"/>
      <c r="DB210" s="1109" t="s">
        <v>504</v>
      </c>
      <c r="DC210" s="1109"/>
      <c r="DD210" s="1115"/>
      <c r="DE210" s="1109" t="s">
        <v>504</v>
      </c>
      <c r="DF210" s="1109"/>
      <c r="DG210" s="1115"/>
      <c r="DH210" s="1109" t="s">
        <v>504</v>
      </c>
      <c r="DI210" s="1109"/>
      <c r="DJ210" s="1115"/>
      <c r="DK210" s="1109" t="s">
        <v>504</v>
      </c>
      <c r="DL210" s="1109"/>
      <c r="DM210" s="1115"/>
      <c r="DN210" s="1109" t="s">
        <v>504</v>
      </c>
      <c r="DO210" s="1109"/>
      <c r="DP210" s="1115"/>
      <c r="DQ210" s="1109" t="s">
        <v>504</v>
      </c>
      <c r="DR210" s="1109"/>
      <c r="DS210" s="1115"/>
      <c r="DT210" s="1109" t="s">
        <v>504</v>
      </c>
      <c r="DU210" s="1115"/>
      <c r="DV210" s="1115"/>
      <c r="DW210" s="1109" t="s">
        <v>504</v>
      </c>
      <c r="DX210" s="1109"/>
      <c r="DY210" s="1115"/>
      <c r="DZ210" s="1109" t="s">
        <v>504</v>
      </c>
      <c r="EA210" s="1109"/>
      <c r="EB210" s="1115"/>
      <c r="EC210" s="1109" t="s">
        <v>656</v>
      </c>
      <c r="ED210" s="1109" t="s">
        <v>3685</v>
      </c>
      <c r="EE210" s="1115">
        <v>8</v>
      </c>
      <c r="EF210" s="1109" t="s">
        <v>504</v>
      </c>
      <c r="EG210" s="1115"/>
      <c r="EH210" s="1115"/>
      <c r="EI210" s="1109" t="s">
        <v>504</v>
      </c>
      <c r="EJ210" s="1109"/>
      <c r="EK210" s="1115"/>
      <c r="EL210" s="1115"/>
      <c r="EM210" s="1115"/>
      <c r="EN210" s="1115"/>
      <c r="EO210" s="1109" t="s">
        <v>500</v>
      </c>
      <c r="EP210" s="1109" t="s">
        <v>3686</v>
      </c>
      <c r="EQ210" s="1127" t="s">
        <v>3687</v>
      </c>
      <c r="ER210" s="1109"/>
      <c r="ES210" s="1109"/>
      <c r="ET210" s="1109" t="s">
        <v>3688</v>
      </c>
      <c r="EU210" s="1109"/>
      <c r="EV210" s="1109"/>
      <c r="EW210" s="1109"/>
      <c r="EX210" s="1109"/>
    </row>
    <row r="211" spans="3:154" ht="80.099999999999994" customHeight="1" x14ac:dyDescent="0.2">
      <c r="C211" s="1156" t="s">
        <v>693</v>
      </c>
      <c r="D211" s="1156" t="s">
        <v>5278</v>
      </c>
      <c r="E211" s="1104" t="s">
        <v>362</v>
      </c>
      <c r="F211" s="1104" t="s">
        <v>447</v>
      </c>
      <c r="G211" s="1109" t="s">
        <v>3689</v>
      </c>
      <c r="H211" s="1109" t="s">
        <v>3690</v>
      </c>
      <c r="I211" s="1109" t="s">
        <v>3666</v>
      </c>
      <c r="J211" s="1110">
        <v>2019</v>
      </c>
      <c r="K211" s="1105">
        <v>43742</v>
      </c>
      <c r="L211" s="1105">
        <v>44196</v>
      </c>
      <c r="M211" s="1369">
        <f t="shared" si="29"/>
        <v>454</v>
      </c>
      <c r="N211" s="1105"/>
      <c r="O211" s="1105"/>
      <c r="P211" s="1105"/>
      <c r="Q211" s="1105"/>
      <c r="R211" s="1105"/>
      <c r="S211" s="1105"/>
      <c r="T211" s="1105"/>
      <c r="U211" s="1105"/>
      <c r="V211" s="1105"/>
      <c r="W211" s="1105"/>
      <c r="X211" s="1105"/>
      <c r="Y211" s="1109" t="s">
        <v>3692</v>
      </c>
      <c r="Z211" s="1192" t="s">
        <v>3693</v>
      </c>
      <c r="AA211" s="1109" t="s">
        <v>3694</v>
      </c>
      <c r="AB211" s="1109" t="s">
        <v>3695</v>
      </c>
      <c r="AC211" s="1109" t="s">
        <v>2731</v>
      </c>
      <c r="AD211" s="1109" t="s">
        <v>3696</v>
      </c>
      <c r="AE211" s="1112">
        <v>0.3</v>
      </c>
      <c r="AF211" s="1113">
        <f t="shared" si="25"/>
        <v>0.3</v>
      </c>
      <c r="AG211" s="1113">
        <f t="shared" si="26"/>
        <v>0</v>
      </c>
      <c r="AH211" s="1112"/>
      <c r="AI211" s="1113"/>
      <c r="AJ211" s="1113"/>
      <c r="AK211" s="1112">
        <v>0.3</v>
      </c>
      <c r="AL211" s="1114">
        <v>1</v>
      </c>
      <c r="AM211" s="1114">
        <v>1</v>
      </c>
      <c r="AN211" s="1112"/>
      <c r="AO211" s="1114"/>
      <c r="AP211" s="1112"/>
      <c r="AQ211" s="1114"/>
      <c r="AR211" s="1112"/>
      <c r="AS211" s="1114"/>
      <c r="AT211" s="1114"/>
      <c r="AU211" s="1114"/>
      <c r="AV211" s="1114"/>
      <c r="AW211" s="1114" t="s">
        <v>504</v>
      </c>
      <c r="AX211" s="1114"/>
      <c r="AY211" s="1114"/>
      <c r="AZ211" s="1114"/>
      <c r="BA211" s="1113">
        <v>0.5</v>
      </c>
      <c r="BB211" s="1114">
        <v>1</v>
      </c>
      <c r="BC211" s="1115">
        <v>5</v>
      </c>
      <c r="BD211" s="1115">
        <v>5</v>
      </c>
      <c r="BE211" s="1116">
        <v>1</v>
      </c>
      <c r="BF211" s="1115"/>
      <c r="BG211" s="1115"/>
      <c r="BH211" s="1115"/>
      <c r="BI211" s="1115"/>
      <c r="BJ211" s="1115"/>
      <c r="BK211" s="1115"/>
      <c r="BL211" s="1115">
        <v>1</v>
      </c>
      <c r="BM211" s="1115"/>
      <c r="BN211" s="1115"/>
      <c r="BO211" s="1115"/>
      <c r="BP211" s="1115"/>
      <c r="BQ211" s="1115"/>
      <c r="BR211" s="1115"/>
      <c r="BS211" s="1115"/>
      <c r="BT211" s="1115"/>
      <c r="BU211" s="1115"/>
      <c r="BV211" s="1115"/>
      <c r="BW211" s="1115"/>
      <c r="BX211" s="1115"/>
      <c r="BY211" s="1115"/>
      <c r="BZ211" s="1115"/>
      <c r="CA211" s="1117">
        <f t="shared" si="24"/>
        <v>1</v>
      </c>
      <c r="CB211" s="1117">
        <f t="shared" si="27"/>
        <v>1</v>
      </c>
      <c r="CC211" s="1117">
        <f t="shared" si="28"/>
        <v>0</v>
      </c>
      <c r="CD211" s="1113">
        <v>0.23499999999999999</v>
      </c>
      <c r="CE211" s="1187" t="s">
        <v>3697</v>
      </c>
      <c r="CF211" s="1109" t="s">
        <v>504</v>
      </c>
      <c r="CG211" s="1109">
        <v>1</v>
      </c>
      <c r="CH211" s="1113">
        <v>20.9</v>
      </c>
      <c r="CI211" s="1114" t="s">
        <v>504</v>
      </c>
      <c r="CJ211" s="1109" t="s">
        <v>504</v>
      </c>
      <c r="CK211" s="1109"/>
      <c r="CL211" s="1109"/>
      <c r="CM211" s="1115"/>
      <c r="CN211" s="1115"/>
      <c r="CO211" s="1115">
        <v>3</v>
      </c>
      <c r="CP211" s="1109" t="s">
        <v>504</v>
      </c>
      <c r="CQ211" s="1109" t="s">
        <v>3698</v>
      </c>
      <c r="CR211" s="1115">
        <v>56</v>
      </c>
      <c r="CS211" s="1109" t="s">
        <v>504</v>
      </c>
      <c r="CT211" s="1109"/>
      <c r="CU211" s="1115"/>
      <c r="CV211" s="1115" t="s">
        <v>504</v>
      </c>
      <c r="CW211" s="1115"/>
      <c r="CX211" s="1115"/>
      <c r="CY211" s="1115" t="s">
        <v>504</v>
      </c>
      <c r="CZ211" s="1115"/>
      <c r="DA211" s="1115"/>
      <c r="DB211" s="1109" t="s">
        <v>504</v>
      </c>
      <c r="DC211" s="1109"/>
      <c r="DD211" s="1115"/>
      <c r="DE211" s="1109" t="s">
        <v>504</v>
      </c>
      <c r="DF211" s="1109"/>
      <c r="DG211" s="1115"/>
      <c r="DH211" s="1109" t="s">
        <v>504</v>
      </c>
      <c r="DI211" s="1109"/>
      <c r="DJ211" s="1115"/>
      <c r="DK211" s="1109" t="s">
        <v>504</v>
      </c>
      <c r="DL211" s="1109"/>
      <c r="DM211" s="1115"/>
      <c r="DN211" s="1109" t="s">
        <v>504</v>
      </c>
      <c r="DO211" s="1109"/>
      <c r="DP211" s="1115"/>
      <c r="DQ211" s="1109" t="s">
        <v>500</v>
      </c>
      <c r="DR211" s="1109" t="s">
        <v>3699</v>
      </c>
      <c r="DS211" s="1115">
        <v>12</v>
      </c>
      <c r="DT211" s="1115" t="s">
        <v>504</v>
      </c>
      <c r="DU211" s="1115"/>
      <c r="DV211" s="1115"/>
      <c r="DW211" s="1109" t="s">
        <v>504</v>
      </c>
      <c r="DX211" s="1109"/>
      <c r="DY211" s="1115"/>
      <c r="DZ211" s="1109" t="s">
        <v>504</v>
      </c>
      <c r="EA211" s="1109"/>
      <c r="EB211" s="1115"/>
      <c r="EC211" s="1109" t="s">
        <v>504</v>
      </c>
      <c r="ED211" s="1109"/>
      <c r="EE211" s="1115"/>
      <c r="EF211" s="1115" t="s">
        <v>504</v>
      </c>
      <c r="EG211" s="1115"/>
      <c r="EH211" s="1115"/>
      <c r="EI211" s="1109" t="s">
        <v>504</v>
      </c>
      <c r="EJ211" s="1109"/>
      <c r="EK211" s="1115"/>
      <c r="EL211" s="1115"/>
      <c r="EM211" s="1115"/>
      <c r="EN211" s="1115"/>
      <c r="EO211" s="1109" t="s">
        <v>504</v>
      </c>
      <c r="EP211" s="1109"/>
      <c r="EQ211" s="1188" t="s">
        <v>3700</v>
      </c>
      <c r="ER211" s="1109" t="s">
        <v>504</v>
      </c>
      <c r="ES211" s="1109" t="s">
        <v>504</v>
      </c>
      <c r="ET211" s="1109" t="s">
        <v>3701</v>
      </c>
      <c r="EU211" s="1109" t="s">
        <v>504</v>
      </c>
      <c r="EV211" s="1109" t="s">
        <v>504</v>
      </c>
      <c r="EW211" s="1109"/>
      <c r="EX211" s="1109"/>
    </row>
    <row r="212" spans="3:154" ht="80.099999999999994" customHeight="1" x14ac:dyDescent="0.2">
      <c r="C212" s="1156" t="s">
        <v>693</v>
      </c>
      <c r="D212" s="1156" t="s">
        <v>5278</v>
      </c>
      <c r="E212" s="1104" t="s">
        <v>362</v>
      </c>
      <c r="F212" s="1104" t="s">
        <v>447</v>
      </c>
      <c r="G212" s="1109" t="s">
        <v>3702</v>
      </c>
      <c r="H212" s="1104" t="s">
        <v>694</v>
      </c>
      <c r="I212" s="1104" t="s">
        <v>694</v>
      </c>
      <c r="J212" s="1122">
        <v>2016</v>
      </c>
      <c r="K212" s="1125">
        <v>43709</v>
      </c>
      <c r="L212" s="1125">
        <v>44196</v>
      </c>
      <c r="M212" s="1369">
        <f t="shared" si="29"/>
        <v>487</v>
      </c>
      <c r="N212" s="1125"/>
      <c r="O212" s="1125"/>
      <c r="P212" s="1125"/>
      <c r="Q212" s="1125"/>
      <c r="R212" s="1125"/>
      <c r="S212" s="1125"/>
      <c r="T212" s="1125"/>
      <c r="U212" s="1125"/>
      <c r="V212" s="1125"/>
      <c r="W212" s="1125"/>
      <c r="X212" s="1125"/>
      <c r="Y212" s="1104" t="s">
        <v>3704</v>
      </c>
      <c r="Z212" s="1104" t="s">
        <v>3705</v>
      </c>
      <c r="AA212" s="1104" t="s">
        <v>3706</v>
      </c>
      <c r="AB212" s="1104" t="s">
        <v>3706</v>
      </c>
      <c r="AC212" s="1104" t="s">
        <v>2897</v>
      </c>
      <c r="AD212" s="1104" t="s">
        <v>3707</v>
      </c>
      <c r="AE212" s="1112">
        <v>0.08</v>
      </c>
      <c r="AF212" s="1113">
        <f t="shared" si="25"/>
        <v>0.08</v>
      </c>
      <c r="AG212" s="1113">
        <f t="shared" si="26"/>
        <v>0</v>
      </c>
      <c r="AH212" s="1112"/>
      <c r="AI212" s="1113"/>
      <c r="AJ212" s="1113"/>
      <c r="AK212" s="1112">
        <v>0.08</v>
      </c>
      <c r="AL212" s="1114">
        <v>1</v>
      </c>
      <c r="AM212" s="1114">
        <v>2.4000000000000001E-4</v>
      </c>
      <c r="AN212" s="1112"/>
      <c r="AO212" s="1114"/>
      <c r="AP212" s="1112"/>
      <c r="AQ212" s="1114"/>
      <c r="AR212" s="1112"/>
      <c r="AS212" s="1114"/>
      <c r="AT212" s="1114"/>
      <c r="AU212" s="1114"/>
      <c r="AV212" s="1114"/>
      <c r="AW212" s="1114"/>
      <c r="AX212" s="1114"/>
      <c r="AY212" s="1114"/>
      <c r="AZ212" s="1114"/>
      <c r="BA212" s="1113">
        <v>100</v>
      </c>
      <c r="BB212" s="1114">
        <v>4.0000000000000002E-4</v>
      </c>
      <c r="BC212" s="1130">
        <v>3</v>
      </c>
      <c r="BD212" s="1130">
        <v>2</v>
      </c>
      <c r="BE212" s="1180">
        <v>2</v>
      </c>
      <c r="BF212" s="1115"/>
      <c r="BG212" s="1115"/>
      <c r="BH212" s="1115"/>
      <c r="BI212" s="1115"/>
      <c r="BJ212" s="1115"/>
      <c r="BK212" s="1115"/>
      <c r="BL212" s="1115"/>
      <c r="BM212" s="1115"/>
      <c r="BN212" s="1115"/>
      <c r="BO212" s="1115"/>
      <c r="BP212" s="1115"/>
      <c r="BQ212" s="1115">
        <v>1</v>
      </c>
      <c r="BR212" s="1115"/>
      <c r="BS212" s="1115"/>
      <c r="BT212" s="1115"/>
      <c r="BU212" s="1115"/>
      <c r="BV212" s="1115"/>
      <c r="BW212" s="1115"/>
      <c r="BX212" s="1115"/>
      <c r="BY212" s="1115"/>
      <c r="BZ212" s="1115"/>
      <c r="CA212" s="1117">
        <f t="shared" si="24"/>
        <v>1</v>
      </c>
      <c r="CB212" s="1117">
        <f t="shared" si="27"/>
        <v>1</v>
      </c>
      <c r="CC212" s="1117">
        <f t="shared" si="28"/>
        <v>0</v>
      </c>
      <c r="CD212" s="1113">
        <v>4.6429999999999998</v>
      </c>
      <c r="CE212" s="1104" t="s">
        <v>3708</v>
      </c>
      <c r="CF212" s="1104" t="s">
        <v>504</v>
      </c>
      <c r="CG212" s="1109">
        <v>42.3</v>
      </c>
      <c r="CH212" s="1113">
        <v>10.9</v>
      </c>
      <c r="CI212" s="1114"/>
      <c r="CJ212" s="1104" t="s">
        <v>504</v>
      </c>
      <c r="CK212" s="1109"/>
      <c r="CL212" s="1109"/>
      <c r="CM212" s="1115"/>
      <c r="CN212" s="1115"/>
      <c r="CO212" s="1115">
        <v>2</v>
      </c>
      <c r="CP212" s="1104" t="s">
        <v>504</v>
      </c>
      <c r="CQ212" s="1130" t="s">
        <v>504</v>
      </c>
      <c r="CR212" s="1104" t="s">
        <v>504</v>
      </c>
      <c r="CS212" s="1104" t="s">
        <v>500</v>
      </c>
      <c r="CT212" s="1130" t="s">
        <v>3709</v>
      </c>
      <c r="CU212" s="1104"/>
      <c r="CV212" s="1104" t="s">
        <v>504</v>
      </c>
      <c r="CW212" s="1130"/>
      <c r="CX212" s="1104"/>
      <c r="CY212" s="1104" t="s">
        <v>504</v>
      </c>
      <c r="CZ212" s="1130"/>
      <c r="DA212" s="1104"/>
      <c r="DB212" s="1104" t="s">
        <v>504</v>
      </c>
      <c r="DC212" s="1130"/>
      <c r="DD212" s="1104"/>
      <c r="DE212" s="1104" t="s">
        <v>504</v>
      </c>
      <c r="DF212" s="1130"/>
      <c r="DG212" s="1115"/>
      <c r="DH212" s="1109" t="s">
        <v>504</v>
      </c>
      <c r="DI212" s="1109"/>
      <c r="DJ212" s="1115"/>
      <c r="DK212" s="1109"/>
      <c r="DL212" s="1109"/>
      <c r="DM212" s="1115"/>
      <c r="DN212" s="1109" t="s">
        <v>504</v>
      </c>
      <c r="DO212" s="1109"/>
      <c r="DP212" s="1115"/>
      <c r="DQ212" s="1109" t="s">
        <v>500</v>
      </c>
      <c r="DR212" s="1109"/>
      <c r="DS212" s="1115"/>
      <c r="DT212" s="1115" t="s">
        <v>504</v>
      </c>
      <c r="DU212" s="1115"/>
      <c r="DV212" s="1115"/>
      <c r="DW212" s="1109" t="s">
        <v>504</v>
      </c>
      <c r="DX212" s="1109"/>
      <c r="DY212" s="1115"/>
      <c r="DZ212" s="1104" t="s">
        <v>500</v>
      </c>
      <c r="EA212" s="1104" t="s">
        <v>3710</v>
      </c>
      <c r="EB212" s="1130" t="s">
        <v>3711</v>
      </c>
      <c r="EC212" s="1109" t="s">
        <v>504</v>
      </c>
      <c r="ED212" s="1109"/>
      <c r="EE212" s="1115"/>
      <c r="EF212" s="1115" t="s">
        <v>504</v>
      </c>
      <c r="EG212" s="1115"/>
      <c r="EH212" s="1115"/>
      <c r="EI212" s="1109"/>
      <c r="EJ212" s="1109"/>
      <c r="EK212" s="1115"/>
      <c r="EL212" s="1115"/>
      <c r="EM212" s="1115"/>
      <c r="EN212" s="1115"/>
      <c r="EO212" s="1109" t="s">
        <v>504</v>
      </c>
      <c r="EP212" s="1109"/>
      <c r="EQ212" s="1188" t="s">
        <v>3712</v>
      </c>
      <c r="ER212" s="1109" t="s">
        <v>3713</v>
      </c>
      <c r="ES212" s="1109" t="s">
        <v>504</v>
      </c>
      <c r="ET212" s="1109"/>
      <c r="EU212" s="1109" t="s">
        <v>504</v>
      </c>
      <c r="EV212" s="1109" t="s">
        <v>504</v>
      </c>
      <c r="EW212" s="1109"/>
      <c r="EX212" s="1109"/>
    </row>
    <row r="213" spans="3:154" customFormat="1" ht="80.099999999999994" customHeight="1" x14ac:dyDescent="0.25">
      <c r="C213" s="1156" t="s">
        <v>693</v>
      </c>
      <c r="D213" s="1156" t="s">
        <v>5278</v>
      </c>
      <c r="E213" s="1104" t="s">
        <v>362</v>
      </c>
      <c r="F213" s="1104" t="s">
        <v>447</v>
      </c>
      <c r="G213" s="1104" t="s">
        <v>3714</v>
      </c>
      <c r="H213" s="1104" t="s">
        <v>3571</v>
      </c>
      <c r="I213" s="1104" t="s">
        <v>3592</v>
      </c>
      <c r="J213" s="1122" t="s">
        <v>3572</v>
      </c>
      <c r="K213" s="1125">
        <v>43922</v>
      </c>
      <c r="L213" s="1125">
        <v>44104</v>
      </c>
      <c r="M213" s="1369">
        <f t="shared" si="29"/>
        <v>182</v>
      </c>
      <c r="N213" s="1125"/>
      <c r="O213" s="1125"/>
      <c r="P213" s="1125"/>
      <c r="Q213" s="1125"/>
      <c r="R213" s="1125"/>
      <c r="S213" s="1125"/>
      <c r="T213" s="1125"/>
      <c r="U213" s="1125"/>
      <c r="V213" s="1125"/>
      <c r="W213" s="1125"/>
      <c r="X213" s="1125"/>
      <c r="Y213" s="1104" t="s">
        <v>3715</v>
      </c>
      <c r="Z213" s="1131" t="s">
        <v>3716</v>
      </c>
      <c r="AA213" s="1104" t="s">
        <v>3717</v>
      </c>
      <c r="AB213" s="1104" t="s">
        <v>3717</v>
      </c>
      <c r="AC213" s="1104" t="s">
        <v>3577</v>
      </c>
      <c r="AD213" s="1104" t="s">
        <v>3717</v>
      </c>
      <c r="AE213" s="1178">
        <v>0.01</v>
      </c>
      <c r="AF213" s="1113">
        <f t="shared" si="25"/>
        <v>0.01</v>
      </c>
      <c r="AG213" s="1113">
        <f t="shared" si="26"/>
        <v>0</v>
      </c>
      <c r="AH213" s="1178"/>
      <c r="AI213" s="1182"/>
      <c r="AJ213" s="1182"/>
      <c r="AK213" s="1178">
        <v>0.01</v>
      </c>
      <c r="AL213" s="1114">
        <v>1</v>
      </c>
      <c r="AM213" s="1114">
        <v>1E-4</v>
      </c>
      <c r="AN213" s="1112"/>
      <c r="AO213" s="1114"/>
      <c r="AP213" s="1112"/>
      <c r="AQ213" s="1114"/>
      <c r="AR213" s="1112"/>
      <c r="AS213" s="1114"/>
      <c r="AT213" s="1114"/>
      <c r="AU213" s="1114"/>
      <c r="AV213" s="1114"/>
      <c r="AW213" s="1114" t="s">
        <v>504</v>
      </c>
      <c r="AX213" s="1114"/>
      <c r="AY213" s="1114"/>
      <c r="AZ213" s="1114"/>
      <c r="BA213" s="1113">
        <v>0.01</v>
      </c>
      <c r="BB213" s="1114">
        <v>1E-4</v>
      </c>
      <c r="BC213" s="1130">
        <v>2</v>
      </c>
      <c r="BD213" s="1130">
        <v>2</v>
      </c>
      <c r="BE213" s="1180">
        <v>1</v>
      </c>
      <c r="BF213" s="1115"/>
      <c r="BG213" s="1115"/>
      <c r="BH213" s="1115"/>
      <c r="BI213" s="1115"/>
      <c r="BJ213" s="1115"/>
      <c r="BK213" s="1115"/>
      <c r="BL213" s="1115"/>
      <c r="BM213" s="1115"/>
      <c r="BN213" s="1115"/>
      <c r="BO213" s="1115"/>
      <c r="BP213" s="1115"/>
      <c r="BQ213" s="1115">
        <v>1</v>
      </c>
      <c r="BR213" s="1115"/>
      <c r="BS213" s="1115"/>
      <c r="BT213" s="1115"/>
      <c r="BU213" s="1115"/>
      <c r="BV213" s="1115"/>
      <c r="BW213" s="1115"/>
      <c r="BX213" s="1115"/>
      <c r="BY213" s="1115"/>
      <c r="BZ213" s="1115"/>
      <c r="CA213" s="1117">
        <f t="shared" si="24"/>
        <v>1</v>
      </c>
      <c r="CB213" s="1117">
        <f t="shared" si="27"/>
        <v>1</v>
      </c>
      <c r="CC213" s="1117">
        <f t="shared" si="28"/>
        <v>0</v>
      </c>
      <c r="CD213" s="1182">
        <v>0.8</v>
      </c>
      <c r="CE213" s="1109"/>
      <c r="CF213" s="1109"/>
      <c r="CG213" s="1109">
        <v>100</v>
      </c>
      <c r="CH213" s="1113">
        <v>0.8</v>
      </c>
      <c r="CI213" s="1149" t="s">
        <v>3578</v>
      </c>
      <c r="CJ213" s="1109" t="s">
        <v>504</v>
      </c>
      <c r="CK213" s="1109"/>
      <c r="CL213" s="1109"/>
      <c r="CM213" s="1115"/>
      <c r="CN213" s="1115"/>
      <c r="CO213" s="1115">
        <v>1</v>
      </c>
      <c r="CP213" s="1104" t="s">
        <v>504</v>
      </c>
      <c r="CQ213" s="1104"/>
      <c r="CR213" s="1130"/>
      <c r="CS213" s="1104" t="s">
        <v>500</v>
      </c>
      <c r="CT213" s="1104" t="s">
        <v>630</v>
      </c>
      <c r="CU213" s="1130">
        <v>5</v>
      </c>
      <c r="CV213" s="1104" t="s">
        <v>504</v>
      </c>
      <c r="CW213" s="1104"/>
      <c r="CX213" s="1130"/>
      <c r="CY213" s="1104" t="s">
        <v>504</v>
      </c>
      <c r="CZ213" s="1104"/>
      <c r="DA213" s="1130"/>
      <c r="DB213" s="1104" t="s">
        <v>504</v>
      </c>
      <c r="DC213" s="1104"/>
      <c r="DD213" s="1130"/>
      <c r="DE213" s="1104" t="s">
        <v>504</v>
      </c>
      <c r="DF213" s="1104"/>
      <c r="DG213" s="1130"/>
      <c r="DH213" s="1109" t="s">
        <v>504</v>
      </c>
      <c r="DI213" s="1109"/>
      <c r="DJ213" s="1115"/>
      <c r="DK213" s="1109" t="s">
        <v>504</v>
      </c>
      <c r="DL213" s="1109"/>
      <c r="DM213" s="1115"/>
      <c r="DN213" s="1109" t="s">
        <v>504</v>
      </c>
      <c r="DO213" s="1109"/>
      <c r="DP213" s="1115"/>
      <c r="DQ213" s="1109" t="s">
        <v>500</v>
      </c>
      <c r="DR213" s="1109" t="s">
        <v>630</v>
      </c>
      <c r="DS213" s="1115">
        <v>5</v>
      </c>
      <c r="DT213" s="1115" t="s">
        <v>504</v>
      </c>
      <c r="DU213" s="1115"/>
      <c r="DV213" s="1115"/>
      <c r="DW213" s="1109" t="s">
        <v>504</v>
      </c>
      <c r="DX213" s="1109"/>
      <c r="DY213" s="1115"/>
      <c r="DZ213" s="1109" t="s">
        <v>504</v>
      </c>
      <c r="EA213" s="1109"/>
      <c r="EB213" s="1115"/>
      <c r="EC213" s="1109" t="s">
        <v>504</v>
      </c>
      <c r="ED213" s="1109"/>
      <c r="EE213" s="1115"/>
      <c r="EF213" s="1115" t="s">
        <v>504</v>
      </c>
      <c r="EG213" s="1115"/>
      <c r="EH213" s="1115"/>
      <c r="EI213" s="1109" t="s">
        <v>504</v>
      </c>
      <c r="EJ213" s="1109"/>
      <c r="EK213" s="1115"/>
      <c r="EL213" s="1115"/>
      <c r="EM213" s="1115"/>
      <c r="EN213" s="1115"/>
      <c r="EO213" s="1109" t="s">
        <v>504</v>
      </c>
      <c r="EP213" s="1109"/>
      <c r="EQ213" s="1131" t="s">
        <v>3579</v>
      </c>
      <c r="ER213" s="1109"/>
      <c r="ES213" s="1109"/>
      <c r="ET213" s="1109" t="s">
        <v>3602</v>
      </c>
      <c r="EU213" s="1109"/>
      <c r="EV213" s="1109" t="s">
        <v>940</v>
      </c>
      <c r="EW213" s="1109"/>
      <c r="EX213" s="1109"/>
    </row>
    <row r="214" spans="3:154" ht="80.099999999999994" customHeight="1" x14ac:dyDescent="0.2">
      <c r="C214" s="1156" t="s">
        <v>693</v>
      </c>
      <c r="D214" s="1156" t="s">
        <v>5278</v>
      </c>
      <c r="E214" s="1104" t="s">
        <v>362</v>
      </c>
      <c r="F214" s="1104" t="s">
        <v>447</v>
      </c>
      <c r="G214" s="1319" t="s">
        <v>3718</v>
      </c>
      <c r="H214" s="1319" t="s">
        <v>3719</v>
      </c>
      <c r="I214" s="1319" t="s">
        <v>3571</v>
      </c>
      <c r="J214" s="1320">
        <v>2016</v>
      </c>
      <c r="K214" s="1125">
        <v>43709</v>
      </c>
      <c r="L214" s="1125">
        <v>44105</v>
      </c>
      <c r="M214" s="1369">
        <f t="shared" si="29"/>
        <v>396</v>
      </c>
      <c r="N214" s="1334"/>
      <c r="O214" s="1334"/>
      <c r="P214" s="1334"/>
      <c r="Q214" s="1334"/>
      <c r="R214" s="1334"/>
      <c r="S214" s="1334"/>
      <c r="T214" s="1334"/>
      <c r="U214" s="1334"/>
      <c r="V214" s="1334"/>
      <c r="W214" s="1334"/>
      <c r="X214" s="1334"/>
      <c r="Y214" s="1319" t="s">
        <v>3722</v>
      </c>
      <c r="Z214" s="1318" t="s">
        <v>3723</v>
      </c>
      <c r="AA214" s="1319" t="s">
        <v>3724</v>
      </c>
      <c r="AB214" s="1319" t="s">
        <v>3724</v>
      </c>
      <c r="AC214" s="1319" t="s">
        <v>3725</v>
      </c>
      <c r="AD214" s="1319" t="s">
        <v>3724</v>
      </c>
      <c r="AE214" s="1321">
        <v>0.42099999999999999</v>
      </c>
      <c r="AF214" s="1113">
        <f t="shared" si="25"/>
        <v>0.42099999999999999</v>
      </c>
      <c r="AG214" s="1113">
        <f t="shared" si="26"/>
        <v>0</v>
      </c>
      <c r="AH214" s="1321"/>
      <c r="AI214" s="1322"/>
      <c r="AJ214" s="1322"/>
      <c r="AK214" s="1321">
        <v>0.42099999999999999</v>
      </c>
      <c r="AL214" s="1323">
        <v>1</v>
      </c>
      <c r="AM214" s="1335">
        <v>1.7999999999999999E-2</v>
      </c>
      <c r="AN214" s="1321"/>
      <c r="AO214" s="1323"/>
      <c r="AP214" s="1321"/>
      <c r="AQ214" s="1323"/>
      <c r="AR214" s="1321"/>
      <c r="AS214" s="1323"/>
      <c r="AT214" s="1323"/>
      <c r="AU214" s="1323"/>
      <c r="AV214" s="1323"/>
      <c r="AW214" s="1323" t="s">
        <v>504</v>
      </c>
      <c r="AX214" s="1323"/>
      <c r="AY214" s="1323"/>
      <c r="AZ214" s="1323"/>
      <c r="BA214" s="1322">
        <v>0.5</v>
      </c>
      <c r="BB214" s="1335">
        <v>2.1000000000000001E-2</v>
      </c>
      <c r="BC214" s="1324">
        <v>3</v>
      </c>
      <c r="BD214" s="1324">
        <v>3</v>
      </c>
      <c r="BE214" s="1325">
        <v>3</v>
      </c>
      <c r="BF214" s="1324"/>
      <c r="BG214" s="1324"/>
      <c r="BH214" s="1324"/>
      <c r="BI214" s="1324"/>
      <c r="BJ214" s="1324"/>
      <c r="BK214" s="1324"/>
      <c r="BL214" s="1324"/>
      <c r="BM214" s="1324"/>
      <c r="BN214" s="1324">
        <v>1</v>
      </c>
      <c r="BO214" s="1324">
        <v>1</v>
      </c>
      <c r="BP214" s="1324">
        <v>1</v>
      </c>
      <c r="BQ214" s="1324"/>
      <c r="BR214" s="1324"/>
      <c r="BS214" s="1324"/>
      <c r="BT214" s="1324"/>
      <c r="BU214" s="1324"/>
      <c r="BV214" s="1324"/>
      <c r="BW214" s="1324"/>
      <c r="BX214" s="1324"/>
      <c r="BY214" s="1324"/>
      <c r="BZ214" s="1324"/>
      <c r="CA214" s="1326">
        <f t="shared" si="24"/>
        <v>3</v>
      </c>
      <c r="CB214" s="1117">
        <f t="shared" si="27"/>
        <v>3</v>
      </c>
      <c r="CC214" s="1117">
        <f t="shared" si="28"/>
        <v>0</v>
      </c>
      <c r="CD214" s="1322">
        <v>0.4</v>
      </c>
      <c r="CE214" s="1319"/>
      <c r="CF214" s="1319"/>
      <c r="CG214" s="1335">
        <v>8.4000000000000005E-2</v>
      </c>
      <c r="CH214" s="1336">
        <v>4.7750000000000004</v>
      </c>
      <c r="CI214" s="1149" t="s">
        <v>3726</v>
      </c>
      <c r="CJ214" s="1319" t="s">
        <v>504</v>
      </c>
      <c r="CK214" s="1319"/>
      <c r="CL214" s="1319"/>
      <c r="CM214" s="1324"/>
      <c r="CN214" s="1324"/>
      <c r="CO214" s="1324"/>
      <c r="CP214" s="1319" t="s">
        <v>504</v>
      </c>
      <c r="CQ214" s="1319"/>
      <c r="CR214" s="1324"/>
      <c r="CS214" s="1319" t="s">
        <v>500</v>
      </c>
      <c r="CT214" s="1319" t="s">
        <v>3727</v>
      </c>
      <c r="CU214" s="1324">
        <v>58</v>
      </c>
      <c r="CV214" s="1324" t="s">
        <v>504</v>
      </c>
      <c r="CW214" s="1324"/>
      <c r="CX214" s="1324"/>
      <c r="CY214" s="1324" t="s">
        <v>504</v>
      </c>
      <c r="CZ214" s="1324"/>
      <c r="DA214" s="1324"/>
      <c r="DB214" s="1319" t="s">
        <v>504</v>
      </c>
      <c r="DC214" s="1319"/>
      <c r="DD214" s="1324"/>
      <c r="DE214" s="1319" t="s">
        <v>504</v>
      </c>
      <c r="DF214" s="1319"/>
      <c r="DG214" s="1324"/>
      <c r="DH214" s="1319" t="s">
        <v>504</v>
      </c>
      <c r="DI214" s="1319"/>
      <c r="DJ214" s="1324"/>
      <c r="DK214" s="1319" t="s">
        <v>504</v>
      </c>
      <c r="DL214" s="1319"/>
      <c r="DM214" s="1324"/>
      <c r="DN214" s="1319" t="s">
        <v>504</v>
      </c>
      <c r="DO214" s="1319"/>
      <c r="DP214" s="1324"/>
      <c r="DQ214" s="1319" t="s">
        <v>504</v>
      </c>
      <c r="DR214" s="1319"/>
      <c r="DS214" s="1324"/>
      <c r="DT214" s="1324" t="s">
        <v>504</v>
      </c>
      <c r="DU214" s="1324"/>
      <c r="DV214" s="1324"/>
      <c r="DW214" s="1319" t="s">
        <v>504</v>
      </c>
      <c r="DX214" s="1319"/>
      <c r="DY214" s="1324"/>
      <c r="DZ214" s="1319" t="s">
        <v>500</v>
      </c>
      <c r="EA214" s="1319" t="s">
        <v>3728</v>
      </c>
      <c r="EB214" s="1324">
        <v>20</v>
      </c>
      <c r="EC214" s="1319" t="s">
        <v>504</v>
      </c>
      <c r="ED214" s="1319"/>
      <c r="EE214" s="1324"/>
      <c r="EF214" s="1324" t="s">
        <v>504</v>
      </c>
      <c r="EG214" s="1324"/>
      <c r="EH214" s="1324"/>
      <c r="EI214" s="1319" t="s">
        <v>504</v>
      </c>
      <c r="EJ214" s="1319"/>
      <c r="EK214" s="1324"/>
      <c r="EL214" s="1324"/>
      <c r="EM214" s="1324"/>
      <c r="EN214" s="1324"/>
      <c r="EO214" s="1319" t="s">
        <v>504</v>
      </c>
      <c r="EP214" s="1319"/>
      <c r="EQ214" s="1131" t="s">
        <v>3729</v>
      </c>
      <c r="ER214" s="1319"/>
      <c r="ES214" s="1319"/>
      <c r="ET214" s="1319" t="s">
        <v>3730</v>
      </c>
      <c r="EU214" s="1319"/>
      <c r="EV214" s="1319"/>
      <c r="EW214" s="1319"/>
      <c r="EX214" s="1319"/>
    </row>
    <row r="215" spans="3:154" customFormat="1" ht="80.099999999999994" customHeight="1" x14ac:dyDescent="0.25">
      <c r="C215" s="1156" t="s">
        <v>693</v>
      </c>
      <c r="D215" s="1156" t="s">
        <v>5278</v>
      </c>
      <c r="E215" s="1104" t="s">
        <v>362</v>
      </c>
      <c r="F215" s="1104" t="s">
        <v>447</v>
      </c>
      <c r="G215" s="1104" t="s">
        <v>3731</v>
      </c>
      <c r="H215" s="1104" t="s">
        <v>1316</v>
      </c>
      <c r="I215" s="1104" t="s">
        <v>1316</v>
      </c>
      <c r="J215" s="1110">
        <v>2019</v>
      </c>
      <c r="K215" s="1105">
        <v>43613</v>
      </c>
      <c r="L215" s="1105">
        <v>44148</v>
      </c>
      <c r="M215" s="1369">
        <f t="shared" si="29"/>
        <v>535</v>
      </c>
      <c r="N215" s="1105"/>
      <c r="O215" s="1105"/>
      <c r="P215" s="1105"/>
      <c r="Q215" s="1105"/>
      <c r="R215" s="1105"/>
      <c r="S215" s="1105"/>
      <c r="T215" s="1105"/>
      <c r="U215" s="1105"/>
      <c r="V215" s="1105"/>
      <c r="W215" s="1105"/>
      <c r="X215" s="1105"/>
      <c r="Y215" s="1104" t="s">
        <v>3732</v>
      </c>
      <c r="Z215" s="1107" t="s">
        <v>3733</v>
      </c>
      <c r="AA215" s="1104" t="s">
        <v>3734</v>
      </c>
      <c r="AB215" s="1104" t="s">
        <v>3734</v>
      </c>
      <c r="AC215" s="1104" t="s">
        <v>3735</v>
      </c>
      <c r="AD215" s="1104" t="s">
        <v>3734</v>
      </c>
      <c r="AE215" s="1112">
        <v>0.35299999999999998</v>
      </c>
      <c r="AF215" s="1113">
        <f t="shared" si="25"/>
        <v>0.35299999999999998</v>
      </c>
      <c r="AG215" s="1113">
        <f t="shared" si="26"/>
        <v>0</v>
      </c>
      <c r="AH215" s="1112"/>
      <c r="AI215" s="1113"/>
      <c r="AJ215" s="1113"/>
      <c r="AK215" s="1112">
        <v>0.35299999999999998</v>
      </c>
      <c r="AL215" s="1114">
        <v>1</v>
      </c>
      <c r="AM215" s="1114">
        <v>6.9999999999999999E-4</v>
      </c>
      <c r="AN215" s="1112"/>
      <c r="AO215" s="1114"/>
      <c r="AP215" s="1112"/>
      <c r="AQ215" s="1114"/>
      <c r="AR215" s="1112"/>
      <c r="AS215" s="1114"/>
      <c r="AT215" s="1114"/>
      <c r="AU215" s="1114"/>
      <c r="AV215" s="1114"/>
      <c r="AW215" s="1114" t="s">
        <v>504</v>
      </c>
      <c r="AX215" s="1114" t="s">
        <v>504</v>
      </c>
      <c r="AY215" s="1114"/>
      <c r="AZ215" s="1114"/>
      <c r="BA215" s="1113">
        <v>0.5</v>
      </c>
      <c r="BB215" s="1114">
        <v>6.9999999999999999E-4</v>
      </c>
      <c r="BC215" s="1115">
        <v>2</v>
      </c>
      <c r="BD215" s="1115">
        <v>2</v>
      </c>
      <c r="BE215" s="1116">
        <v>2</v>
      </c>
      <c r="BF215" s="1115"/>
      <c r="BG215" s="1115"/>
      <c r="BH215" s="1115"/>
      <c r="BI215" s="1115"/>
      <c r="BJ215" s="1115"/>
      <c r="BK215" s="1115"/>
      <c r="BL215" s="1115"/>
      <c r="BM215" s="1115"/>
      <c r="BN215" s="1115"/>
      <c r="BO215" s="1115"/>
      <c r="BP215" s="1115"/>
      <c r="BQ215" s="1115"/>
      <c r="BR215" s="1115"/>
      <c r="BS215" s="1115"/>
      <c r="BT215" s="1115"/>
      <c r="BU215" s="1115"/>
      <c r="BV215" s="1115"/>
      <c r="BW215" s="1115"/>
      <c r="BX215" s="1115"/>
      <c r="BY215" s="1115"/>
      <c r="BZ215" s="1115">
        <v>1</v>
      </c>
      <c r="CA215" s="1117">
        <f t="shared" si="24"/>
        <v>1</v>
      </c>
      <c r="CB215" s="1117">
        <f t="shared" si="27"/>
        <v>1</v>
      </c>
      <c r="CC215" s="1117">
        <f t="shared" si="28"/>
        <v>0</v>
      </c>
      <c r="CD215" s="1113">
        <v>1.2</v>
      </c>
      <c r="CE215" s="1109"/>
      <c r="CF215" s="1109"/>
      <c r="CG215" s="1109">
        <v>3.3</v>
      </c>
      <c r="CH215" s="1113">
        <v>36.299999999999997</v>
      </c>
      <c r="CI215" s="1114" t="s">
        <v>3736</v>
      </c>
      <c r="CJ215" s="1104" t="s">
        <v>504</v>
      </c>
      <c r="CK215" s="1104"/>
      <c r="CL215" s="1104"/>
      <c r="CM215" s="1130"/>
      <c r="CN215" s="1130"/>
      <c r="CO215" s="1115">
        <v>12</v>
      </c>
      <c r="CP215" s="1109" t="s">
        <v>504</v>
      </c>
      <c r="CQ215" s="1109"/>
      <c r="CR215" s="1115"/>
      <c r="CS215" s="1109" t="s">
        <v>504</v>
      </c>
      <c r="CT215" s="1109"/>
      <c r="CU215" s="1115" t="s">
        <v>465</v>
      </c>
      <c r="CV215" s="1115" t="s">
        <v>504</v>
      </c>
      <c r="CW215" s="1115"/>
      <c r="CX215" s="1115"/>
      <c r="CY215" s="1115" t="s">
        <v>504</v>
      </c>
      <c r="CZ215" s="1115"/>
      <c r="DA215" s="1115"/>
      <c r="DB215" s="1109" t="s">
        <v>504</v>
      </c>
      <c r="DC215" s="1109"/>
      <c r="DD215" s="1115"/>
      <c r="DE215" s="1109" t="s">
        <v>504</v>
      </c>
      <c r="DF215" s="1109"/>
      <c r="DG215" s="1115"/>
      <c r="DH215" s="1109" t="s">
        <v>500</v>
      </c>
      <c r="DI215" s="1109" t="s">
        <v>3737</v>
      </c>
      <c r="DJ215" s="1115">
        <v>2</v>
      </c>
      <c r="DK215" s="1109" t="s">
        <v>504</v>
      </c>
      <c r="DL215" s="1109"/>
      <c r="DM215" s="1115"/>
      <c r="DN215" s="1109" t="s">
        <v>504</v>
      </c>
      <c r="DO215" s="1115"/>
      <c r="DP215" s="1115"/>
      <c r="DQ215" s="1109" t="s">
        <v>504</v>
      </c>
      <c r="DR215" s="1109"/>
      <c r="DS215" s="1115"/>
      <c r="DT215" s="1115" t="s">
        <v>504</v>
      </c>
      <c r="DU215" s="1115"/>
      <c r="DV215" s="1115"/>
      <c r="DW215" s="1109" t="s">
        <v>504</v>
      </c>
      <c r="DX215" s="1109"/>
      <c r="DY215" s="1115"/>
      <c r="DZ215" s="1109" t="s">
        <v>656</v>
      </c>
      <c r="EA215" s="1104" t="s">
        <v>3738</v>
      </c>
      <c r="EB215" s="1115">
        <v>2</v>
      </c>
      <c r="EC215" s="1109" t="s">
        <v>656</v>
      </c>
      <c r="ED215" s="1104" t="s">
        <v>3738</v>
      </c>
      <c r="EE215" s="1115">
        <v>5</v>
      </c>
      <c r="EF215" s="1115" t="s">
        <v>504</v>
      </c>
      <c r="EG215" s="1115"/>
      <c r="EH215" s="1115"/>
      <c r="EI215" s="1109" t="s">
        <v>504</v>
      </c>
      <c r="EJ215" s="1109"/>
      <c r="EK215" s="1115"/>
      <c r="EL215" s="1115"/>
      <c r="EM215" s="1115"/>
      <c r="EN215" s="1115"/>
      <c r="EO215" s="1109" t="s">
        <v>500</v>
      </c>
      <c r="EP215" s="1109" t="s">
        <v>3739</v>
      </c>
      <c r="EQ215" s="1127"/>
      <c r="ER215" s="1109" t="s">
        <v>3740</v>
      </c>
      <c r="ES215" s="1127"/>
      <c r="ET215" s="1127" t="s">
        <v>3741</v>
      </c>
      <c r="EU215" s="1127"/>
      <c r="EV215" s="1109" t="s">
        <v>3742</v>
      </c>
      <c r="EW215" s="1109"/>
      <c r="EX215" s="1127"/>
    </row>
    <row r="216" spans="3:154" ht="80.099999999999994" customHeight="1" x14ac:dyDescent="0.2">
      <c r="C216" s="1156" t="s">
        <v>693</v>
      </c>
      <c r="D216" s="1156" t="s">
        <v>5278</v>
      </c>
      <c r="E216" s="1104" t="s">
        <v>362</v>
      </c>
      <c r="F216" s="1104" t="s">
        <v>447</v>
      </c>
      <c r="G216" s="1104" t="s">
        <v>3743</v>
      </c>
      <c r="H216" s="1104" t="s">
        <v>3592</v>
      </c>
      <c r="I216" s="1104" t="s">
        <v>694</v>
      </c>
      <c r="J216" s="1122">
        <v>2016</v>
      </c>
      <c r="K216" s="1125">
        <v>43678</v>
      </c>
      <c r="L216" s="1125">
        <v>44105</v>
      </c>
      <c r="M216" s="1369">
        <f t="shared" si="29"/>
        <v>427</v>
      </c>
      <c r="N216" s="1125"/>
      <c r="O216" s="1125"/>
      <c r="P216" s="1125"/>
      <c r="Q216" s="1125"/>
      <c r="R216" s="1125"/>
      <c r="S216" s="1125"/>
      <c r="T216" s="1125"/>
      <c r="U216" s="1125"/>
      <c r="V216" s="1125"/>
      <c r="W216" s="1125"/>
      <c r="X216" s="1125"/>
      <c r="Y216" s="1104" t="s">
        <v>3744</v>
      </c>
      <c r="Z216" s="1127" t="s">
        <v>3745</v>
      </c>
      <c r="AA216" s="1104" t="s">
        <v>3746</v>
      </c>
      <c r="AB216" s="1109" t="s">
        <v>3747</v>
      </c>
      <c r="AC216" s="1104" t="s">
        <v>3748</v>
      </c>
      <c r="AD216" s="1104" t="s">
        <v>3749</v>
      </c>
      <c r="AE216" s="1112">
        <v>1.093</v>
      </c>
      <c r="AF216" s="1113">
        <f t="shared" si="25"/>
        <v>1.093</v>
      </c>
      <c r="AG216" s="1113">
        <f t="shared" si="26"/>
        <v>0</v>
      </c>
      <c r="AH216" s="1112"/>
      <c r="AI216" s="1113"/>
      <c r="AJ216" s="1113"/>
      <c r="AK216" s="1112">
        <v>1</v>
      </c>
      <c r="AL216" s="1114">
        <v>0.91500000000000004</v>
      </c>
      <c r="AM216" s="1114">
        <v>1.2999999999999999E-3</v>
      </c>
      <c r="AN216" s="1112">
        <v>9.2999999999999999E-2</v>
      </c>
      <c r="AO216" s="1114">
        <v>8.5000000000000006E-2</v>
      </c>
      <c r="AP216" s="1112"/>
      <c r="AQ216" s="1114"/>
      <c r="AR216" s="1112"/>
      <c r="AS216" s="1114"/>
      <c r="AT216" s="1114"/>
      <c r="AU216" s="1114"/>
      <c r="AV216" s="1114"/>
      <c r="AW216" s="1114" t="s">
        <v>504</v>
      </c>
      <c r="AX216" s="1114"/>
      <c r="AY216" s="1113"/>
      <c r="AZ216" s="1114"/>
      <c r="BA216" s="1113">
        <v>1</v>
      </c>
      <c r="BB216" s="1114">
        <v>1.1000000000000001E-3</v>
      </c>
      <c r="BC216" s="1115">
        <v>7</v>
      </c>
      <c r="BD216" s="1115">
        <v>7</v>
      </c>
      <c r="BE216" s="1116">
        <v>4</v>
      </c>
      <c r="BF216" s="1115"/>
      <c r="BG216" s="1115"/>
      <c r="BH216" s="1115"/>
      <c r="BI216" s="1115"/>
      <c r="BJ216" s="1115"/>
      <c r="BK216" s="1115"/>
      <c r="BL216" s="1115">
        <v>4</v>
      </c>
      <c r="BM216" s="1115"/>
      <c r="BN216" s="1115"/>
      <c r="BO216" s="1115"/>
      <c r="BP216" s="1115"/>
      <c r="BQ216" s="1115"/>
      <c r="BR216" s="1115"/>
      <c r="BS216" s="1115"/>
      <c r="BT216" s="1115"/>
      <c r="BU216" s="1115"/>
      <c r="BV216" s="1115"/>
      <c r="BW216" s="1115"/>
      <c r="BX216" s="1115"/>
      <c r="BY216" s="1115"/>
      <c r="BZ216" s="1115"/>
      <c r="CA216" s="1117">
        <f t="shared" si="24"/>
        <v>4</v>
      </c>
      <c r="CB216" s="1117">
        <f t="shared" si="27"/>
        <v>4</v>
      </c>
      <c r="CC216" s="1117">
        <f t="shared" si="28"/>
        <v>0</v>
      </c>
      <c r="CD216" s="1113">
        <v>2.778</v>
      </c>
      <c r="CE216" s="1337" t="s">
        <v>3750</v>
      </c>
      <c r="CF216" s="1109"/>
      <c r="CG216" s="1114">
        <v>6.6699999999999995E-2</v>
      </c>
      <c r="CH216" s="1113">
        <v>41.654000000000003</v>
      </c>
      <c r="CI216" s="1139" t="s">
        <v>3565</v>
      </c>
      <c r="CJ216" s="1109" t="s">
        <v>504</v>
      </c>
      <c r="CK216" s="1109"/>
      <c r="CL216" s="1109"/>
      <c r="CM216" s="1115"/>
      <c r="CN216" s="1115"/>
      <c r="CO216" s="1115">
        <v>1</v>
      </c>
      <c r="CP216" s="1109" t="s">
        <v>504</v>
      </c>
      <c r="CQ216" s="1109"/>
      <c r="CR216" s="1115"/>
      <c r="CS216" s="1109" t="s">
        <v>500</v>
      </c>
      <c r="CT216" s="1109" t="s">
        <v>3751</v>
      </c>
      <c r="CU216" s="1115">
        <v>7</v>
      </c>
      <c r="CV216" s="1115" t="s">
        <v>504</v>
      </c>
      <c r="CW216" s="1115"/>
      <c r="CX216" s="1115"/>
      <c r="CY216" s="1115" t="s">
        <v>504</v>
      </c>
      <c r="CZ216" s="1115"/>
      <c r="DA216" s="1115"/>
      <c r="DB216" s="1109" t="s">
        <v>504</v>
      </c>
      <c r="DC216" s="1109"/>
      <c r="DD216" s="1115"/>
      <c r="DE216" s="1109" t="s">
        <v>504</v>
      </c>
      <c r="DF216" s="1109"/>
      <c r="DG216" s="1115"/>
      <c r="DH216" s="1109" t="s">
        <v>504</v>
      </c>
      <c r="DI216" s="1109"/>
      <c r="DJ216" s="1115"/>
      <c r="DK216" s="1109" t="s">
        <v>504</v>
      </c>
      <c r="DL216" s="1109"/>
      <c r="DM216" s="1115"/>
      <c r="DN216" s="1109" t="s">
        <v>504</v>
      </c>
      <c r="DO216" s="1109"/>
      <c r="DP216" s="1115"/>
      <c r="DQ216" s="1109" t="s">
        <v>504</v>
      </c>
      <c r="DR216" s="1109"/>
      <c r="DS216" s="1115"/>
      <c r="DT216" s="1115" t="s">
        <v>504</v>
      </c>
      <c r="DU216" s="1115"/>
      <c r="DV216" s="1115"/>
      <c r="DW216" s="1109" t="s">
        <v>504</v>
      </c>
      <c r="DX216" s="1109"/>
      <c r="DY216" s="1115"/>
      <c r="DZ216" s="1109" t="s">
        <v>500</v>
      </c>
      <c r="EA216" s="1104" t="s">
        <v>3752</v>
      </c>
      <c r="EB216" s="1115">
        <v>7</v>
      </c>
      <c r="EC216" s="1109" t="s">
        <v>504</v>
      </c>
      <c r="ED216" s="1109" t="s">
        <v>465</v>
      </c>
      <c r="EE216" s="1115" t="s">
        <v>465</v>
      </c>
      <c r="EF216" s="1115" t="s">
        <v>504</v>
      </c>
      <c r="EG216" s="1115" t="s">
        <v>465</v>
      </c>
      <c r="EH216" s="1115" t="s">
        <v>465</v>
      </c>
      <c r="EI216" s="1109" t="s">
        <v>504</v>
      </c>
      <c r="EJ216" s="1109" t="s">
        <v>465</v>
      </c>
      <c r="EK216" s="1115" t="s">
        <v>465</v>
      </c>
      <c r="EL216" s="1115"/>
      <c r="EM216" s="1115"/>
      <c r="EN216" s="1115"/>
      <c r="EO216" s="1109" t="s">
        <v>504</v>
      </c>
      <c r="EP216" s="1109" t="s">
        <v>465</v>
      </c>
      <c r="EQ216" s="1127" t="s">
        <v>3753</v>
      </c>
      <c r="ER216" s="1127" t="s">
        <v>3754</v>
      </c>
      <c r="ES216" s="1127" t="s">
        <v>3755</v>
      </c>
      <c r="ET216" s="1104" t="s">
        <v>3756</v>
      </c>
      <c r="EU216" s="1109" t="s">
        <v>465</v>
      </c>
      <c r="EV216" s="1104" t="s">
        <v>3757</v>
      </c>
      <c r="EW216" s="1109">
        <v>2</v>
      </c>
      <c r="EX216" s="1109">
        <v>20</v>
      </c>
    </row>
    <row r="217" spans="3:154" ht="80.099999999999994" customHeight="1" x14ac:dyDescent="0.2">
      <c r="C217" s="1156" t="s">
        <v>693</v>
      </c>
      <c r="D217" s="1156" t="s">
        <v>5278</v>
      </c>
      <c r="E217" s="1104" t="s">
        <v>362</v>
      </c>
      <c r="F217" s="1104" t="s">
        <v>447</v>
      </c>
      <c r="G217" s="1337" t="s">
        <v>3758</v>
      </c>
      <c r="H217" s="1337" t="s">
        <v>3592</v>
      </c>
      <c r="I217" s="1337" t="s">
        <v>3592</v>
      </c>
      <c r="J217" s="1338">
        <v>2016</v>
      </c>
      <c r="K217" s="1125">
        <v>43678</v>
      </c>
      <c r="L217" s="1125">
        <v>44105</v>
      </c>
      <c r="M217" s="1369">
        <f t="shared" si="29"/>
        <v>427</v>
      </c>
      <c r="N217" s="1339"/>
      <c r="O217" s="1339"/>
      <c r="P217" s="1339"/>
      <c r="Q217" s="1339"/>
      <c r="R217" s="1339"/>
      <c r="S217" s="1339"/>
      <c r="T217" s="1339"/>
      <c r="U217" s="1339"/>
      <c r="V217" s="1339"/>
      <c r="W217" s="1339"/>
      <c r="X217" s="1339"/>
      <c r="Y217" s="1337" t="s">
        <v>3759</v>
      </c>
      <c r="Z217" s="1340" t="s">
        <v>3760</v>
      </c>
      <c r="AA217" s="1337" t="s">
        <v>3746</v>
      </c>
      <c r="AB217" s="1319" t="s">
        <v>3761</v>
      </c>
      <c r="AC217" s="1337" t="s">
        <v>3762</v>
      </c>
      <c r="AD217" s="1337" t="s">
        <v>3763</v>
      </c>
      <c r="AE217" s="1321">
        <v>0.73899999999999999</v>
      </c>
      <c r="AF217" s="1113">
        <f t="shared" si="25"/>
        <v>0.73899999999999999</v>
      </c>
      <c r="AG217" s="1113">
        <f t="shared" si="26"/>
        <v>0</v>
      </c>
      <c r="AH217" s="1321"/>
      <c r="AI217" s="1322"/>
      <c r="AJ217" s="1322"/>
      <c r="AK217" s="1321">
        <v>0.71899999999999997</v>
      </c>
      <c r="AL217" s="1323">
        <v>0.97299999999999998</v>
      </c>
      <c r="AM217" s="1323">
        <v>1.0999999999999999E-2</v>
      </c>
      <c r="AN217" s="1321">
        <v>0.02</v>
      </c>
      <c r="AO217" s="1323">
        <v>2.7E-2</v>
      </c>
      <c r="AP217" s="1321"/>
      <c r="AQ217" s="1323"/>
      <c r="AR217" s="1321"/>
      <c r="AS217" s="1323"/>
      <c r="AT217" s="1323"/>
      <c r="AU217" s="1323"/>
      <c r="AV217" s="1323"/>
      <c r="AW217" s="1323" t="s">
        <v>504</v>
      </c>
      <c r="AX217" s="1323"/>
      <c r="AY217" s="1322"/>
      <c r="AZ217" s="1323"/>
      <c r="BA217" s="1322">
        <v>1</v>
      </c>
      <c r="BB217" s="1323">
        <v>1.2E-2</v>
      </c>
      <c r="BC217" s="1324">
        <v>5</v>
      </c>
      <c r="BD217" s="1324">
        <v>5</v>
      </c>
      <c r="BE217" s="1325">
        <v>1</v>
      </c>
      <c r="BF217" s="1324"/>
      <c r="BG217" s="1324">
        <v>1</v>
      </c>
      <c r="BH217" s="1324"/>
      <c r="BI217" s="1324"/>
      <c r="BJ217" s="1324"/>
      <c r="BK217" s="1324"/>
      <c r="BL217" s="1324"/>
      <c r="BM217" s="1324"/>
      <c r="BN217" s="1324"/>
      <c r="BO217" s="1324"/>
      <c r="BP217" s="1324"/>
      <c r="BQ217" s="1324"/>
      <c r="BR217" s="1324"/>
      <c r="BS217" s="1324"/>
      <c r="BT217" s="1324"/>
      <c r="BU217" s="1324"/>
      <c r="BV217" s="1324"/>
      <c r="BW217" s="1324"/>
      <c r="BX217" s="1324"/>
      <c r="BY217" s="1324"/>
      <c r="BZ217" s="1324"/>
      <c r="CA217" s="1326">
        <f t="shared" si="24"/>
        <v>1</v>
      </c>
      <c r="CB217" s="1117">
        <f t="shared" si="27"/>
        <v>1</v>
      </c>
      <c r="CC217" s="1117">
        <f t="shared" si="28"/>
        <v>0</v>
      </c>
      <c r="CD217" s="1322">
        <v>0.59599999999999997</v>
      </c>
      <c r="CE217" s="1341" t="s">
        <v>3764</v>
      </c>
      <c r="CF217" s="1319" t="s">
        <v>465</v>
      </c>
      <c r="CG217" s="1323">
        <v>5.2999999999999999E-2</v>
      </c>
      <c r="CH217" s="1322">
        <v>11.28</v>
      </c>
      <c r="CI217" s="1323" t="s">
        <v>3565</v>
      </c>
      <c r="CJ217" s="1319" t="s">
        <v>504</v>
      </c>
      <c r="CK217" s="1319"/>
      <c r="CL217" s="1319"/>
      <c r="CM217" s="1324"/>
      <c r="CN217" s="1324"/>
      <c r="CO217" s="1324">
        <v>1</v>
      </c>
      <c r="CP217" s="1319" t="s">
        <v>504</v>
      </c>
      <c r="CQ217" s="1319"/>
      <c r="CR217" s="1324"/>
      <c r="CS217" s="1319" t="s">
        <v>500</v>
      </c>
      <c r="CT217" s="1319" t="s">
        <v>3765</v>
      </c>
      <c r="CU217" s="1324">
        <v>5</v>
      </c>
      <c r="CV217" s="1324" t="s">
        <v>504</v>
      </c>
      <c r="CW217" s="1324"/>
      <c r="CX217" s="1324"/>
      <c r="CY217" s="1324" t="s">
        <v>504</v>
      </c>
      <c r="CZ217" s="1324"/>
      <c r="DA217" s="1324"/>
      <c r="DB217" s="1319" t="s">
        <v>504</v>
      </c>
      <c r="DC217" s="1319"/>
      <c r="DD217" s="1324"/>
      <c r="DE217" s="1319" t="s">
        <v>504</v>
      </c>
      <c r="DF217" s="1319" t="s">
        <v>465</v>
      </c>
      <c r="DG217" s="1324" t="s">
        <v>465</v>
      </c>
      <c r="DH217" s="1319" t="s">
        <v>504</v>
      </c>
      <c r="DI217" s="1319" t="s">
        <v>465</v>
      </c>
      <c r="DJ217" s="1324" t="s">
        <v>465</v>
      </c>
      <c r="DK217" s="1319" t="s">
        <v>504</v>
      </c>
      <c r="DL217" s="1319" t="s">
        <v>465</v>
      </c>
      <c r="DM217" s="1324" t="s">
        <v>465</v>
      </c>
      <c r="DN217" s="1319" t="s">
        <v>504</v>
      </c>
      <c r="DO217" s="1319"/>
      <c r="DP217" s="1324"/>
      <c r="DQ217" s="1319" t="s">
        <v>504</v>
      </c>
      <c r="DR217" s="1319"/>
      <c r="DS217" s="1324"/>
      <c r="DT217" s="1324" t="s">
        <v>504</v>
      </c>
      <c r="DU217" s="1324"/>
      <c r="DV217" s="1324"/>
      <c r="DW217" s="1319" t="s">
        <v>504</v>
      </c>
      <c r="DX217" s="1319"/>
      <c r="DY217" s="1324"/>
      <c r="DZ217" s="1319" t="s">
        <v>500</v>
      </c>
      <c r="EA217" s="1337" t="s">
        <v>3752</v>
      </c>
      <c r="EB217" s="1324">
        <v>5</v>
      </c>
      <c r="EC217" s="1319" t="s">
        <v>504</v>
      </c>
      <c r="ED217" s="1319"/>
      <c r="EE217" s="1324"/>
      <c r="EF217" s="1324" t="s">
        <v>504</v>
      </c>
      <c r="EG217" s="1324"/>
      <c r="EH217" s="1324"/>
      <c r="EI217" s="1319" t="s">
        <v>504</v>
      </c>
      <c r="EJ217" s="1319" t="s">
        <v>465</v>
      </c>
      <c r="EK217" s="1324" t="s">
        <v>465</v>
      </c>
      <c r="EL217" s="1324"/>
      <c r="EM217" s="1324"/>
      <c r="EN217" s="1324"/>
      <c r="EO217" s="1319" t="s">
        <v>504</v>
      </c>
      <c r="EP217" s="1319"/>
      <c r="EQ217" s="1342" t="s">
        <v>3760</v>
      </c>
      <c r="ER217" s="1342" t="s">
        <v>3754</v>
      </c>
      <c r="ES217" s="1342" t="s">
        <v>3755</v>
      </c>
      <c r="ET217" s="1337" t="s">
        <v>3756</v>
      </c>
      <c r="EU217" s="1319" t="s">
        <v>465</v>
      </c>
      <c r="EV217" s="1337" t="s">
        <v>3757</v>
      </c>
      <c r="EW217" s="1319">
        <v>2</v>
      </c>
      <c r="EX217" s="1319">
        <v>20</v>
      </c>
    </row>
    <row r="218" spans="3:154" customFormat="1" ht="80.099999999999994" customHeight="1" x14ac:dyDescent="0.25">
      <c r="C218" s="1156" t="s">
        <v>693</v>
      </c>
      <c r="D218" s="1156" t="s">
        <v>5278</v>
      </c>
      <c r="E218" s="1104" t="s">
        <v>362</v>
      </c>
      <c r="F218" s="1104" t="s">
        <v>447</v>
      </c>
      <c r="G218" s="1104" t="s">
        <v>3766</v>
      </c>
      <c r="H218" s="1104" t="s">
        <v>3571</v>
      </c>
      <c r="I218" s="1104" t="s">
        <v>3592</v>
      </c>
      <c r="J218" s="1122" t="s">
        <v>3572</v>
      </c>
      <c r="K218" s="1125">
        <v>43922</v>
      </c>
      <c r="L218" s="1125">
        <v>44104</v>
      </c>
      <c r="M218" s="1369">
        <f t="shared" si="29"/>
        <v>182</v>
      </c>
      <c r="N218" s="1125"/>
      <c r="O218" s="1125"/>
      <c r="P218" s="1125"/>
      <c r="Q218" s="1125"/>
      <c r="R218" s="1125"/>
      <c r="S218" s="1125"/>
      <c r="T218" s="1125"/>
      <c r="U218" s="1125"/>
      <c r="V218" s="1125"/>
      <c r="W218" s="1125"/>
      <c r="X218" s="1125"/>
      <c r="Y218" s="1104" t="s">
        <v>3767</v>
      </c>
      <c r="Z218" s="1131" t="s">
        <v>3768</v>
      </c>
      <c r="AA218" s="1104" t="s">
        <v>3769</v>
      </c>
      <c r="AB218" s="1104" t="s">
        <v>3769</v>
      </c>
      <c r="AC218" s="1104" t="s">
        <v>3577</v>
      </c>
      <c r="AD218" s="1104" t="s">
        <v>3769</v>
      </c>
      <c r="AE218" s="1178">
        <v>7.0000000000000001E-3</v>
      </c>
      <c r="AF218" s="1113">
        <f t="shared" si="25"/>
        <v>7.0000000000000001E-3</v>
      </c>
      <c r="AG218" s="1113">
        <f t="shared" si="26"/>
        <v>0</v>
      </c>
      <c r="AH218" s="1178"/>
      <c r="AI218" s="1182"/>
      <c r="AJ218" s="1182"/>
      <c r="AK218" s="1178">
        <v>7.0000000000000001E-3</v>
      </c>
      <c r="AL218" s="1114">
        <v>1</v>
      </c>
      <c r="AM218" s="1114">
        <v>1E-4</v>
      </c>
      <c r="AN218" s="1112"/>
      <c r="AO218" s="1114"/>
      <c r="AP218" s="1112"/>
      <c r="AQ218" s="1114"/>
      <c r="AR218" s="1112"/>
      <c r="AS218" s="1114"/>
      <c r="AT218" s="1114"/>
      <c r="AU218" s="1114"/>
      <c r="AV218" s="1114"/>
      <c r="AW218" s="1114" t="s">
        <v>504</v>
      </c>
      <c r="AX218" s="1114"/>
      <c r="AY218" s="1114"/>
      <c r="AZ218" s="1114"/>
      <c r="BA218" s="1113">
        <v>2.5000000000000001E-2</v>
      </c>
      <c r="BB218" s="1114">
        <v>1E-4</v>
      </c>
      <c r="BC218" s="1130">
        <v>2</v>
      </c>
      <c r="BD218" s="1130">
        <v>2</v>
      </c>
      <c r="BE218" s="1180">
        <v>1</v>
      </c>
      <c r="BF218" s="1115"/>
      <c r="BG218" s="1115"/>
      <c r="BH218" s="1115"/>
      <c r="BI218" s="1115"/>
      <c r="BJ218" s="1115"/>
      <c r="BK218" s="1115"/>
      <c r="BL218" s="1115"/>
      <c r="BM218" s="1115"/>
      <c r="BN218" s="1115"/>
      <c r="BO218" s="1115"/>
      <c r="BP218" s="1115"/>
      <c r="BQ218" s="1115">
        <v>1</v>
      </c>
      <c r="BR218" s="1115"/>
      <c r="BS218" s="1115"/>
      <c r="BT218" s="1115"/>
      <c r="BU218" s="1115"/>
      <c r="BV218" s="1115"/>
      <c r="BW218" s="1115"/>
      <c r="BX218" s="1115"/>
      <c r="BY218" s="1115"/>
      <c r="BZ218" s="1115"/>
      <c r="CA218" s="1117">
        <f t="shared" si="24"/>
        <v>1</v>
      </c>
      <c r="CB218" s="1117">
        <f t="shared" si="27"/>
        <v>1</v>
      </c>
      <c r="CC218" s="1117">
        <f t="shared" si="28"/>
        <v>0</v>
      </c>
      <c r="CD218" s="1182">
        <v>1.9</v>
      </c>
      <c r="CE218" s="1109"/>
      <c r="CF218" s="1109"/>
      <c r="CG218" s="1109">
        <v>100</v>
      </c>
      <c r="CH218" s="1113">
        <v>1.9</v>
      </c>
      <c r="CI218" s="1149" t="s">
        <v>3578</v>
      </c>
      <c r="CJ218" s="1109" t="s">
        <v>504</v>
      </c>
      <c r="CK218" s="1109"/>
      <c r="CL218" s="1109"/>
      <c r="CM218" s="1115"/>
      <c r="CN218" s="1115"/>
      <c r="CO218" s="1115">
        <v>1</v>
      </c>
      <c r="CP218" s="1104" t="s">
        <v>504</v>
      </c>
      <c r="CQ218" s="1104"/>
      <c r="CR218" s="1130"/>
      <c r="CS218" s="1104" t="s">
        <v>500</v>
      </c>
      <c r="CT218" s="1104" t="s">
        <v>630</v>
      </c>
      <c r="CU218" s="1130">
        <v>5</v>
      </c>
      <c r="CV218" s="1104" t="s">
        <v>504</v>
      </c>
      <c r="CW218" s="1104"/>
      <c r="CX218" s="1130"/>
      <c r="CY218" s="1104" t="s">
        <v>504</v>
      </c>
      <c r="CZ218" s="1104"/>
      <c r="DA218" s="1130"/>
      <c r="DB218" s="1104" t="s">
        <v>504</v>
      </c>
      <c r="DC218" s="1104"/>
      <c r="DD218" s="1130"/>
      <c r="DE218" s="1104" t="s">
        <v>504</v>
      </c>
      <c r="DF218" s="1104"/>
      <c r="DG218" s="1130"/>
      <c r="DH218" s="1109" t="s">
        <v>504</v>
      </c>
      <c r="DI218" s="1109"/>
      <c r="DJ218" s="1115"/>
      <c r="DK218" s="1109" t="s">
        <v>504</v>
      </c>
      <c r="DL218" s="1109"/>
      <c r="DM218" s="1115"/>
      <c r="DN218" s="1109" t="s">
        <v>504</v>
      </c>
      <c r="DO218" s="1109"/>
      <c r="DP218" s="1115"/>
      <c r="DQ218" s="1109" t="s">
        <v>500</v>
      </c>
      <c r="DR218" s="1109" t="s">
        <v>630</v>
      </c>
      <c r="DS218" s="1115">
        <v>5</v>
      </c>
      <c r="DT218" s="1115" t="s">
        <v>504</v>
      </c>
      <c r="DU218" s="1115"/>
      <c r="DV218" s="1115"/>
      <c r="DW218" s="1109" t="s">
        <v>504</v>
      </c>
      <c r="DX218" s="1109"/>
      <c r="DY218" s="1115"/>
      <c r="DZ218" s="1109" t="s">
        <v>504</v>
      </c>
      <c r="EA218" s="1109"/>
      <c r="EB218" s="1115"/>
      <c r="EC218" s="1109" t="s">
        <v>504</v>
      </c>
      <c r="ED218" s="1109"/>
      <c r="EE218" s="1115"/>
      <c r="EF218" s="1115" t="s">
        <v>504</v>
      </c>
      <c r="EG218" s="1115"/>
      <c r="EH218" s="1115"/>
      <c r="EI218" s="1109" t="s">
        <v>504</v>
      </c>
      <c r="EJ218" s="1109"/>
      <c r="EK218" s="1115"/>
      <c r="EL218" s="1115"/>
      <c r="EM218" s="1115"/>
      <c r="EN218" s="1115"/>
      <c r="EO218" s="1109" t="s">
        <v>504</v>
      </c>
      <c r="EP218" s="1109"/>
      <c r="EQ218" s="1131" t="s">
        <v>3579</v>
      </c>
      <c r="ER218" s="1109"/>
      <c r="ES218" s="1109"/>
      <c r="ET218" s="1109" t="s">
        <v>3602</v>
      </c>
      <c r="EU218" s="1109"/>
      <c r="EV218" s="1109" t="s">
        <v>940</v>
      </c>
      <c r="EW218" s="1109"/>
      <c r="EX218" s="1109"/>
    </row>
    <row r="219" spans="3:154" ht="80.099999999999994" customHeight="1" x14ac:dyDescent="0.2">
      <c r="C219" s="1156" t="s">
        <v>693</v>
      </c>
      <c r="D219" s="1156" t="s">
        <v>5278</v>
      </c>
      <c r="E219" s="1104" t="s">
        <v>362</v>
      </c>
      <c r="F219" s="1104" t="s">
        <v>447</v>
      </c>
      <c r="G219" s="1109" t="s">
        <v>3770</v>
      </c>
      <c r="H219" s="1109" t="s">
        <v>694</v>
      </c>
      <c r="I219" s="1109" t="s">
        <v>694</v>
      </c>
      <c r="J219" s="1110">
        <v>2015</v>
      </c>
      <c r="K219" s="1105">
        <v>43606</v>
      </c>
      <c r="L219" s="1105">
        <v>44196</v>
      </c>
      <c r="M219" s="1369">
        <f t="shared" si="29"/>
        <v>590</v>
      </c>
      <c r="N219" s="1105"/>
      <c r="O219" s="1105"/>
      <c r="P219" s="1105"/>
      <c r="Q219" s="1105"/>
      <c r="R219" s="1105"/>
      <c r="S219" s="1105"/>
      <c r="T219" s="1105"/>
      <c r="U219" s="1105"/>
      <c r="V219" s="1105"/>
      <c r="W219" s="1105"/>
      <c r="X219" s="1105"/>
      <c r="Y219" s="1109" t="s">
        <v>3772</v>
      </c>
      <c r="Z219" s="1188" t="s">
        <v>3773</v>
      </c>
      <c r="AA219" s="1109" t="s">
        <v>3774</v>
      </c>
      <c r="AB219" s="1109" t="s">
        <v>3775</v>
      </c>
      <c r="AC219" s="1109" t="s">
        <v>3776</v>
      </c>
      <c r="AD219" s="1104" t="s">
        <v>3777</v>
      </c>
      <c r="AE219" s="1112">
        <v>23.556999999999999</v>
      </c>
      <c r="AF219" s="1113">
        <f t="shared" si="25"/>
        <v>23.556999999999999</v>
      </c>
      <c r="AG219" s="1113">
        <f t="shared" si="26"/>
        <v>0</v>
      </c>
      <c r="AH219" s="1112"/>
      <c r="AI219" s="1138"/>
      <c r="AJ219" s="1138"/>
      <c r="AK219" s="1112">
        <v>23.556999999999999</v>
      </c>
      <c r="AL219" s="1147">
        <v>0.95499999999999996</v>
      </c>
      <c r="AM219" s="1147">
        <v>4.0000000000000001E-3</v>
      </c>
      <c r="AN219" s="1112"/>
      <c r="AO219" s="1147"/>
      <c r="AP219" s="1112"/>
      <c r="AQ219" s="1114"/>
      <c r="AR219" s="1112"/>
      <c r="AS219" s="1114"/>
      <c r="AT219" s="1114"/>
      <c r="AU219" s="1114"/>
      <c r="AV219" s="1114"/>
      <c r="AW219" s="1114" t="s">
        <v>504</v>
      </c>
      <c r="AX219" s="1114"/>
      <c r="AY219" s="1114"/>
      <c r="AZ219" s="1114"/>
      <c r="BA219" s="1138"/>
      <c r="BB219" s="1147"/>
      <c r="BC219" s="1115">
        <v>13</v>
      </c>
      <c r="BD219" s="1115">
        <v>13</v>
      </c>
      <c r="BE219" s="1116">
        <v>8</v>
      </c>
      <c r="BF219" s="1115"/>
      <c r="BG219" s="1115"/>
      <c r="BH219" s="1115"/>
      <c r="BI219" s="1115"/>
      <c r="BJ219" s="1115"/>
      <c r="BK219" s="1115"/>
      <c r="BL219" s="1115">
        <v>1</v>
      </c>
      <c r="BM219" s="1115"/>
      <c r="BN219" s="1115">
        <v>2</v>
      </c>
      <c r="BO219" s="1115"/>
      <c r="BP219" s="1115">
        <v>1</v>
      </c>
      <c r="BQ219" s="1115">
        <v>4</v>
      </c>
      <c r="BR219" s="1115"/>
      <c r="BS219" s="1115"/>
      <c r="BT219" s="1115"/>
      <c r="BU219" s="1115"/>
      <c r="BV219" s="1115"/>
      <c r="BW219" s="1115"/>
      <c r="BX219" s="1115"/>
      <c r="BY219" s="1115"/>
      <c r="BZ219" s="1115"/>
      <c r="CA219" s="1117">
        <f t="shared" si="24"/>
        <v>8</v>
      </c>
      <c r="CB219" s="1117">
        <f t="shared" si="27"/>
        <v>8</v>
      </c>
      <c r="CC219" s="1117">
        <f t="shared" si="28"/>
        <v>0</v>
      </c>
      <c r="CD219" s="1182">
        <v>600</v>
      </c>
      <c r="CE219" s="1109" t="s">
        <v>504</v>
      </c>
      <c r="CF219" s="1109"/>
      <c r="CG219" s="1147">
        <v>0.92400000000000004</v>
      </c>
      <c r="CH219" s="1138">
        <v>649.1</v>
      </c>
      <c r="CI219" s="1188" t="s">
        <v>3778</v>
      </c>
      <c r="CJ219" s="1109" t="s">
        <v>504</v>
      </c>
      <c r="CK219" s="1109"/>
      <c r="CL219" s="1109"/>
      <c r="CM219" s="1115"/>
      <c r="CN219" s="1115"/>
      <c r="CO219" s="1115">
        <v>11</v>
      </c>
      <c r="CP219" s="1109" t="s">
        <v>504</v>
      </c>
      <c r="CQ219" s="1109"/>
      <c r="CR219" s="1115"/>
      <c r="CS219" s="1109" t="s">
        <v>504</v>
      </c>
      <c r="CT219" s="1109"/>
      <c r="CU219" s="1115"/>
      <c r="CV219" s="1115" t="s">
        <v>504</v>
      </c>
      <c r="CW219" s="1115"/>
      <c r="CX219" s="1115"/>
      <c r="CY219" s="1115" t="s">
        <v>504</v>
      </c>
      <c r="CZ219" s="1115"/>
      <c r="DA219" s="1115"/>
      <c r="DB219" s="1109" t="s">
        <v>504</v>
      </c>
      <c r="DC219" s="1109"/>
      <c r="DD219" s="1115"/>
      <c r="DE219" s="1109" t="s">
        <v>504</v>
      </c>
      <c r="DF219" s="1109"/>
      <c r="DG219" s="1115"/>
      <c r="DH219" s="1109" t="s">
        <v>504</v>
      </c>
      <c r="DI219" s="1109"/>
      <c r="DJ219" s="1115"/>
      <c r="DK219" s="1109" t="s">
        <v>500</v>
      </c>
      <c r="DL219" s="1135" t="s">
        <v>3779</v>
      </c>
      <c r="DM219" s="1115">
        <v>639</v>
      </c>
      <c r="DN219" s="1109" t="s">
        <v>500</v>
      </c>
      <c r="DO219" s="1109" t="s">
        <v>3780</v>
      </c>
      <c r="DP219" s="1115" t="s">
        <v>3781</v>
      </c>
      <c r="DQ219" s="1109" t="s">
        <v>504</v>
      </c>
      <c r="DR219" s="1109"/>
      <c r="DS219" s="1115"/>
      <c r="DT219" s="1115" t="s">
        <v>504</v>
      </c>
      <c r="DU219" s="1115"/>
      <c r="DV219" s="1115"/>
      <c r="DW219" s="1109" t="s">
        <v>504</v>
      </c>
      <c r="DX219" s="1109"/>
      <c r="DY219" s="1115"/>
      <c r="DZ219" s="1109" t="s">
        <v>500</v>
      </c>
      <c r="EA219" s="1104" t="s">
        <v>3782</v>
      </c>
      <c r="EB219" s="1115">
        <v>15</v>
      </c>
      <c r="EC219" s="1115" t="s">
        <v>504</v>
      </c>
      <c r="ED219" s="1115"/>
      <c r="EE219" s="1115"/>
      <c r="EF219" s="1115" t="s">
        <v>504</v>
      </c>
      <c r="EG219" s="1115"/>
      <c r="EH219" s="1115"/>
      <c r="EI219" s="1109" t="s">
        <v>504</v>
      </c>
      <c r="EJ219" s="1109"/>
      <c r="EK219" s="1115"/>
      <c r="EL219" s="1115"/>
      <c r="EM219" s="1115"/>
      <c r="EN219" s="1115"/>
      <c r="EO219" s="1109" t="s">
        <v>504</v>
      </c>
      <c r="EP219" s="1109" t="s">
        <v>504</v>
      </c>
      <c r="EQ219" s="1188" t="s">
        <v>3783</v>
      </c>
      <c r="ER219" s="1109" t="s">
        <v>504</v>
      </c>
      <c r="ES219" s="1109" t="s">
        <v>504</v>
      </c>
      <c r="ET219" s="1109" t="s">
        <v>5609</v>
      </c>
      <c r="EU219" s="1109" t="s">
        <v>3784</v>
      </c>
      <c r="EV219" s="1109" t="s">
        <v>3785</v>
      </c>
      <c r="EW219" s="1109">
        <v>1</v>
      </c>
      <c r="EX219" s="1109">
        <v>35</v>
      </c>
    </row>
    <row r="220" spans="3:154" ht="123" customHeight="1" x14ac:dyDescent="0.2">
      <c r="C220" s="1156" t="s">
        <v>1423</v>
      </c>
      <c r="D220" s="1156" t="s">
        <v>5277</v>
      </c>
      <c r="E220" s="738" t="s">
        <v>363</v>
      </c>
      <c r="F220" s="738" t="s">
        <v>448</v>
      </c>
      <c r="G220" s="738"/>
      <c r="H220" s="632" t="s">
        <v>1366</v>
      </c>
      <c r="I220" s="632" t="s">
        <v>1367</v>
      </c>
      <c r="J220" s="637">
        <v>2016</v>
      </c>
      <c r="K220" s="377">
        <v>43862</v>
      </c>
      <c r="L220" s="377">
        <v>44013</v>
      </c>
      <c r="M220" s="1369">
        <f t="shared" si="29"/>
        <v>151</v>
      </c>
      <c r="N220" s="632" t="s">
        <v>1368</v>
      </c>
      <c r="O220" s="632" t="s">
        <v>1369</v>
      </c>
      <c r="P220" s="632" t="s">
        <v>1370</v>
      </c>
      <c r="Q220" s="632" t="s">
        <v>504</v>
      </c>
      <c r="R220" s="632" t="s">
        <v>504</v>
      </c>
      <c r="S220" s="632" t="s">
        <v>504</v>
      </c>
      <c r="T220" s="632" t="s">
        <v>504</v>
      </c>
      <c r="U220" s="632" t="s">
        <v>504</v>
      </c>
      <c r="V220" s="632" t="s">
        <v>504</v>
      </c>
      <c r="W220" s="632" t="s">
        <v>1371</v>
      </c>
      <c r="X220" s="653" t="s">
        <v>1372</v>
      </c>
      <c r="Y220" s="653"/>
      <c r="Z220" s="653"/>
      <c r="AA220" s="632" t="s">
        <v>1373</v>
      </c>
      <c r="AB220" s="632" t="s">
        <v>1373</v>
      </c>
      <c r="AC220" s="632" t="s">
        <v>1374</v>
      </c>
      <c r="AD220" s="632" t="s">
        <v>1375</v>
      </c>
      <c r="AE220" s="702">
        <v>128.89500000000001</v>
      </c>
      <c r="AF220" s="671">
        <f>AH220+AK220+AN220+AP220+AR220</f>
        <v>128.89500000000001</v>
      </c>
      <c r="AG220" s="671">
        <f t="shared" si="26"/>
        <v>0</v>
      </c>
      <c r="AH220" s="702">
        <v>75</v>
      </c>
      <c r="AI220" s="683">
        <v>0.58189999999999997</v>
      </c>
      <c r="AJ220" s="683">
        <v>5.0000000000000001E-4</v>
      </c>
      <c r="AK220" s="702">
        <v>1.994</v>
      </c>
      <c r="AL220" s="683">
        <v>1.55E-2</v>
      </c>
      <c r="AM220" s="683"/>
      <c r="AN220" s="702">
        <v>51.901000000000003</v>
      </c>
      <c r="AO220" s="683">
        <v>0.4027</v>
      </c>
      <c r="AP220" s="702"/>
      <c r="AQ220" s="683" t="s">
        <v>504</v>
      </c>
      <c r="AR220" s="702"/>
      <c r="AS220" s="683" t="s">
        <v>504</v>
      </c>
      <c r="AT220" s="632" t="s">
        <v>504</v>
      </c>
      <c r="AU220" s="632" t="s">
        <v>504</v>
      </c>
      <c r="AV220" s="632" t="s">
        <v>504</v>
      </c>
      <c r="AW220" s="632" t="s">
        <v>500</v>
      </c>
      <c r="AX220" s="632" t="s">
        <v>1376</v>
      </c>
      <c r="AY220" s="632"/>
      <c r="AZ220" s="683"/>
      <c r="BA220" s="706">
        <v>100</v>
      </c>
      <c r="BB220" s="683">
        <v>8.0000000000000004E-4</v>
      </c>
      <c r="BC220" s="710">
        <v>477</v>
      </c>
      <c r="BD220" s="710">
        <v>472</v>
      </c>
      <c r="BE220" s="706">
        <v>195</v>
      </c>
      <c r="BF220" s="710">
        <v>8</v>
      </c>
      <c r="BG220" s="710">
        <v>7</v>
      </c>
      <c r="BH220" s="710">
        <v>37</v>
      </c>
      <c r="BI220" s="710"/>
      <c r="BJ220" s="710"/>
      <c r="BK220" s="710">
        <v>9</v>
      </c>
      <c r="BL220" s="710"/>
      <c r="BM220" s="710"/>
      <c r="BN220" s="710">
        <v>3</v>
      </c>
      <c r="BO220" s="710">
        <v>18</v>
      </c>
      <c r="BP220" s="710">
        <v>83</v>
      </c>
      <c r="BQ220" s="710">
        <v>14</v>
      </c>
      <c r="BR220" s="710">
        <v>3</v>
      </c>
      <c r="BS220" s="710">
        <v>4</v>
      </c>
      <c r="BT220" s="710">
        <v>1</v>
      </c>
      <c r="BU220" s="710"/>
      <c r="BV220" s="710"/>
      <c r="BW220" s="710">
        <v>1</v>
      </c>
      <c r="BX220" s="710"/>
      <c r="BY220" s="710"/>
      <c r="BZ220" s="710">
        <v>7</v>
      </c>
      <c r="CA220" s="717">
        <f t="shared" si="24"/>
        <v>195</v>
      </c>
      <c r="CB220" s="717">
        <f t="shared" si="27"/>
        <v>195</v>
      </c>
      <c r="CC220" s="717">
        <f t="shared" si="28"/>
        <v>0</v>
      </c>
      <c r="CD220" s="671">
        <v>85.662000000000006</v>
      </c>
      <c r="CE220" s="632" t="s">
        <v>1377</v>
      </c>
      <c r="CF220" s="632" t="s">
        <v>504</v>
      </c>
      <c r="CG220" s="706">
        <v>6.57</v>
      </c>
      <c r="CH220" s="671">
        <v>1315.643</v>
      </c>
      <c r="CI220" s="733" t="s">
        <v>1378</v>
      </c>
      <c r="CJ220" s="632" t="s">
        <v>500</v>
      </c>
      <c r="CK220" s="632" t="s">
        <v>1379</v>
      </c>
      <c r="CL220" s="632" t="s">
        <v>1380</v>
      </c>
      <c r="CM220" s="710">
        <v>1</v>
      </c>
      <c r="CN220" s="710" t="s">
        <v>504</v>
      </c>
      <c r="CO220" s="710">
        <v>3</v>
      </c>
      <c r="CP220" s="632" t="s">
        <v>504</v>
      </c>
      <c r="CQ220" s="632" t="s">
        <v>504</v>
      </c>
      <c r="CR220" s="710" t="s">
        <v>504</v>
      </c>
      <c r="CS220" s="632" t="s">
        <v>500</v>
      </c>
      <c r="CT220" s="632" t="s">
        <v>1381</v>
      </c>
      <c r="CU220" s="710">
        <v>500</v>
      </c>
      <c r="CV220" s="710" t="s">
        <v>500</v>
      </c>
      <c r="CW220" s="710" t="s">
        <v>1382</v>
      </c>
      <c r="CX220" s="710">
        <v>477</v>
      </c>
      <c r="CY220" s="710" t="s">
        <v>504</v>
      </c>
      <c r="CZ220" s="710" t="s">
        <v>504</v>
      </c>
      <c r="DA220" s="710" t="s">
        <v>504</v>
      </c>
      <c r="DB220" s="632" t="s">
        <v>504</v>
      </c>
      <c r="DC220" s="632" t="s">
        <v>504</v>
      </c>
      <c r="DD220" s="710" t="s">
        <v>504</v>
      </c>
      <c r="DE220" s="632" t="s">
        <v>504</v>
      </c>
      <c r="DF220" s="632" t="s">
        <v>504</v>
      </c>
      <c r="DG220" s="710" t="s">
        <v>504</v>
      </c>
      <c r="DH220" s="632" t="s">
        <v>504</v>
      </c>
      <c r="DI220" s="632" t="s">
        <v>504</v>
      </c>
      <c r="DJ220" s="710" t="s">
        <v>504</v>
      </c>
      <c r="DK220" s="632" t="s">
        <v>504</v>
      </c>
      <c r="DL220" s="632" t="s">
        <v>504</v>
      </c>
      <c r="DM220" s="710" t="s">
        <v>504</v>
      </c>
      <c r="DN220" s="632" t="s">
        <v>504</v>
      </c>
      <c r="DO220" s="632" t="s">
        <v>504</v>
      </c>
      <c r="DP220" s="710" t="s">
        <v>504</v>
      </c>
      <c r="DQ220" s="632" t="s">
        <v>504</v>
      </c>
      <c r="DR220" s="632" t="s">
        <v>504</v>
      </c>
      <c r="DS220" s="710" t="s">
        <v>504</v>
      </c>
      <c r="DT220" s="710" t="s">
        <v>504</v>
      </c>
      <c r="DU220" s="710" t="s">
        <v>504</v>
      </c>
      <c r="DV220" s="710" t="s">
        <v>504</v>
      </c>
      <c r="DW220" s="632" t="s">
        <v>504</v>
      </c>
      <c r="DX220" s="632" t="s">
        <v>504</v>
      </c>
      <c r="DY220" s="710" t="s">
        <v>504</v>
      </c>
      <c r="DZ220" s="632" t="s">
        <v>504</v>
      </c>
      <c r="EA220" s="632" t="s">
        <v>504</v>
      </c>
      <c r="EB220" s="710" t="s">
        <v>504</v>
      </c>
      <c r="EC220" s="632" t="s">
        <v>504</v>
      </c>
      <c r="ED220" s="632" t="s">
        <v>504</v>
      </c>
      <c r="EE220" s="710" t="s">
        <v>504</v>
      </c>
      <c r="EF220" s="710" t="s">
        <v>656</v>
      </c>
      <c r="EG220" s="710" t="s">
        <v>1383</v>
      </c>
      <c r="EH220" s="710">
        <v>15</v>
      </c>
      <c r="EI220" s="632" t="s">
        <v>504</v>
      </c>
      <c r="EJ220" s="632" t="s">
        <v>504</v>
      </c>
      <c r="EK220" s="710" t="s">
        <v>504</v>
      </c>
      <c r="EL220" s="632">
        <v>100</v>
      </c>
      <c r="EM220" s="632" t="s">
        <v>504</v>
      </c>
      <c r="EN220" s="670">
        <v>143</v>
      </c>
      <c r="EO220" s="632" t="s">
        <v>504</v>
      </c>
      <c r="EP220" s="632" t="s">
        <v>504</v>
      </c>
      <c r="EQ220" s="632" t="s">
        <v>1384</v>
      </c>
      <c r="ER220" s="653" t="s">
        <v>1385</v>
      </c>
      <c r="ES220" s="653" t="s">
        <v>1372</v>
      </c>
      <c r="ET220" s="632" t="s">
        <v>1386</v>
      </c>
      <c r="EU220" s="632" t="s">
        <v>1387</v>
      </c>
      <c r="EV220" s="632" t="s">
        <v>1388</v>
      </c>
      <c r="EW220" s="632">
        <v>25</v>
      </c>
      <c r="EX220" s="632">
        <v>464</v>
      </c>
    </row>
    <row r="221" spans="3:154" ht="84.95" customHeight="1" x14ac:dyDescent="0.2">
      <c r="C221" s="1156" t="s">
        <v>5479</v>
      </c>
      <c r="D221" s="1156" t="s">
        <v>5277</v>
      </c>
      <c r="E221" s="738" t="s">
        <v>363</v>
      </c>
      <c r="F221" s="738" t="s">
        <v>448</v>
      </c>
      <c r="G221" s="738"/>
      <c r="H221" s="632" t="s">
        <v>1391</v>
      </c>
      <c r="I221" s="632" t="s">
        <v>1392</v>
      </c>
      <c r="J221" s="637">
        <v>2019</v>
      </c>
      <c r="K221" s="377">
        <v>43801</v>
      </c>
      <c r="L221" s="377">
        <v>44188</v>
      </c>
      <c r="M221" s="1369">
        <f t="shared" si="29"/>
        <v>387</v>
      </c>
      <c r="N221" s="632" t="s">
        <v>1393</v>
      </c>
      <c r="O221" s="632" t="s">
        <v>1394</v>
      </c>
      <c r="P221" s="632" t="s">
        <v>1395</v>
      </c>
      <c r="Q221" s="632"/>
      <c r="R221" s="632"/>
      <c r="S221" s="632"/>
      <c r="T221" s="632"/>
      <c r="U221" s="632"/>
      <c r="V221" s="632"/>
      <c r="W221" s="632"/>
      <c r="X221" s="632"/>
      <c r="Y221" s="632"/>
      <c r="Z221" s="632"/>
      <c r="AA221" s="632" t="s">
        <v>1396</v>
      </c>
      <c r="AB221" s="632" t="s">
        <v>1397</v>
      </c>
      <c r="AC221" s="632" t="s">
        <v>519</v>
      </c>
      <c r="AD221" s="632" t="s">
        <v>1398</v>
      </c>
      <c r="AE221" s="702">
        <v>409.62599999999998</v>
      </c>
      <c r="AF221" s="671">
        <f t="shared" si="25"/>
        <v>409.62639999999999</v>
      </c>
      <c r="AG221" s="671">
        <f t="shared" si="26"/>
        <v>4.0000000001327862E-4</v>
      </c>
      <c r="AH221" s="702">
        <v>11.058400000000001</v>
      </c>
      <c r="AI221" s="683">
        <v>2.69964E-2</v>
      </c>
      <c r="AJ221" s="683"/>
      <c r="AK221" s="702">
        <v>32.127000000000002</v>
      </c>
      <c r="AL221" s="683">
        <v>7.8426059500000006E-2</v>
      </c>
      <c r="AM221" s="683"/>
      <c r="AN221" s="702">
        <v>8.8960000000000008</v>
      </c>
      <c r="AO221" s="683">
        <v>2.1716257999999999E-2</v>
      </c>
      <c r="AP221" s="702"/>
      <c r="AQ221" s="683"/>
      <c r="AR221" s="702">
        <v>357.54500000000002</v>
      </c>
      <c r="AS221" s="683">
        <v>0.87285999999999997</v>
      </c>
      <c r="AT221" s="632" t="s">
        <v>1292</v>
      </c>
      <c r="AU221" s="632" t="s">
        <v>946</v>
      </c>
      <c r="AV221" s="632" t="s">
        <v>1397</v>
      </c>
      <c r="AW221" s="632"/>
      <c r="AX221" s="632"/>
      <c r="AY221" s="632"/>
      <c r="AZ221" s="683"/>
      <c r="BA221" s="702">
        <v>355.22399999999999</v>
      </c>
      <c r="BB221" s="683">
        <v>2.8770500000000001E-2</v>
      </c>
      <c r="BC221" s="710"/>
      <c r="BD221" s="710"/>
      <c r="BE221" s="706"/>
      <c r="BF221" s="710"/>
      <c r="BG221" s="710"/>
      <c r="BH221" s="710"/>
      <c r="BI221" s="710"/>
      <c r="BJ221" s="710"/>
      <c r="BK221" s="710"/>
      <c r="BL221" s="710"/>
      <c r="BM221" s="710"/>
      <c r="BN221" s="710"/>
      <c r="BO221" s="710"/>
      <c r="BP221" s="710"/>
      <c r="BQ221" s="710">
        <v>121</v>
      </c>
      <c r="BR221" s="710"/>
      <c r="BS221" s="710"/>
      <c r="BT221" s="710"/>
      <c r="BU221" s="710"/>
      <c r="BV221" s="710"/>
      <c r="BW221" s="710"/>
      <c r="BX221" s="710"/>
      <c r="BY221" s="710"/>
      <c r="BZ221" s="710"/>
      <c r="CA221" s="717">
        <f t="shared" si="24"/>
        <v>121</v>
      </c>
      <c r="CB221" s="717">
        <f t="shared" si="27"/>
        <v>121</v>
      </c>
      <c r="CC221" s="717">
        <f t="shared" si="28"/>
        <v>0</v>
      </c>
      <c r="CD221" s="671"/>
      <c r="CE221" s="632"/>
      <c r="CF221" s="632"/>
      <c r="CG221" s="683"/>
      <c r="CH221" s="671">
        <v>1315.643</v>
      </c>
      <c r="CI221" s="683" t="s">
        <v>1399</v>
      </c>
      <c r="CJ221" s="632" t="s">
        <v>504</v>
      </c>
      <c r="CK221" s="632"/>
      <c r="CL221" s="632"/>
      <c r="CM221" s="710"/>
      <c r="CN221" s="710"/>
      <c r="CO221" s="710"/>
      <c r="CP221" s="632" t="s">
        <v>500</v>
      </c>
      <c r="CQ221" s="632" t="s">
        <v>1400</v>
      </c>
      <c r="CR221" s="710">
        <v>56083</v>
      </c>
      <c r="CS221" s="632"/>
      <c r="CT221" s="632"/>
      <c r="CU221" s="710"/>
      <c r="CV221" s="710"/>
      <c r="CW221" s="710"/>
      <c r="CX221" s="710"/>
      <c r="CY221" s="710"/>
      <c r="CZ221" s="710"/>
      <c r="DA221" s="710"/>
      <c r="DB221" s="632"/>
      <c r="DC221" s="632"/>
      <c r="DD221" s="710"/>
      <c r="DE221" s="632"/>
      <c r="DF221" s="632"/>
      <c r="DG221" s="710"/>
      <c r="DH221" s="632"/>
      <c r="DI221" s="632"/>
      <c r="DJ221" s="710"/>
      <c r="DK221" s="632"/>
      <c r="DL221" s="632"/>
      <c r="DM221" s="710"/>
      <c r="DN221" s="632"/>
      <c r="DO221" s="632"/>
      <c r="DP221" s="710"/>
      <c r="DQ221" s="632" t="s">
        <v>500</v>
      </c>
      <c r="DR221" s="632" t="s">
        <v>1401</v>
      </c>
      <c r="DS221" s="710">
        <v>56083</v>
      </c>
      <c r="DT221" s="710"/>
      <c r="DU221" s="710"/>
      <c r="DV221" s="710"/>
      <c r="DW221" s="632"/>
      <c r="DX221" s="632"/>
      <c r="DY221" s="710"/>
      <c r="DZ221" s="632"/>
      <c r="EA221" s="632"/>
      <c r="EB221" s="710"/>
      <c r="EC221" s="632"/>
      <c r="ED221" s="632"/>
      <c r="EE221" s="710"/>
      <c r="EF221" s="710"/>
      <c r="EG221" s="710"/>
      <c r="EH221" s="710"/>
      <c r="EI221" s="632"/>
      <c r="EJ221" s="632"/>
      <c r="EK221" s="710"/>
      <c r="EL221" s="632"/>
      <c r="EM221" s="632" t="s">
        <v>1403</v>
      </c>
      <c r="EN221" s="670">
        <v>54</v>
      </c>
      <c r="EO221" s="632" t="s">
        <v>504</v>
      </c>
      <c r="EP221" s="632"/>
      <c r="EQ221" s="632"/>
      <c r="ER221" s="632"/>
      <c r="ES221" s="632"/>
      <c r="ET221" s="632"/>
      <c r="EU221" s="632"/>
      <c r="EV221" s="632"/>
      <c r="EW221" s="632"/>
      <c r="EX221" s="632"/>
    </row>
    <row r="222" spans="3:154" ht="101.1" customHeight="1" x14ac:dyDescent="0.2">
      <c r="C222" s="1156" t="s">
        <v>5478</v>
      </c>
      <c r="D222" s="1156" t="s">
        <v>5277</v>
      </c>
      <c r="E222" s="738" t="s">
        <v>363</v>
      </c>
      <c r="F222" s="738" t="s">
        <v>448</v>
      </c>
      <c r="G222" s="738"/>
      <c r="H222" s="632" t="s">
        <v>1404</v>
      </c>
      <c r="I222" s="632" t="s">
        <v>465</v>
      </c>
      <c r="J222" s="637">
        <v>2014</v>
      </c>
      <c r="K222" s="377">
        <v>43831</v>
      </c>
      <c r="L222" s="377">
        <v>44196</v>
      </c>
      <c r="M222" s="1369">
        <f t="shared" si="29"/>
        <v>365</v>
      </c>
      <c r="N222" s="632" t="s">
        <v>1406</v>
      </c>
      <c r="O222" s="632" t="s">
        <v>1407</v>
      </c>
      <c r="P222" s="748" t="s">
        <v>1408</v>
      </c>
      <c r="Q222" s="632" t="s">
        <v>465</v>
      </c>
      <c r="R222" s="632" t="s">
        <v>465</v>
      </c>
      <c r="S222" s="632" t="s">
        <v>465</v>
      </c>
      <c r="T222" s="632" t="s">
        <v>465</v>
      </c>
      <c r="U222" s="632" t="s">
        <v>465</v>
      </c>
      <c r="V222" s="632" t="s">
        <v>465</v>
      </c>
      <c r="W222" s="632" t="s">
        <v>465</v>
      </c>
      <c r="X222" s="632" t="s">
        <v>465</v>
      </c>
      <c r="Y222" s="632"/>
      <c r="Z222" s="632"/>
      <c r="AA222" s="632" t="s">
        <v>1409</v>
      </c>
      <c r="AB222" s="632" t="s">
        <v>1409</v>
      </c>
      <c r="AC222" s="632" t="s">
        <v>1410</v>
      </c>
      <c r="AD222" s="632" t="s">
        <v>1411</v>
      </c>
      <c r="AE222" s="1444">
        <v>89.677999999999997</v>
      </c>
      <c r="AF222" s="671">
        <f t="shared" si="25"/>
        <v>89.781399999999991</v>
      </c>
      <c r="AG222" s="671">
        <f t="shared" si="26"/>
        <v>0.1033999999999935</v>
      </c>
      <c r="AH222" s="702">
        <v>44.0184</v>
      </c>
      <c r="AI222" s="683">
        <f>AH222/AE222</f>
        <v>0.49084948370837889</v>
      </c>
      <c r="AJ222" s="683" t="s">
        <v>465</v>
      </c>
      <c r="AK222" s="702">
        <v>14.749000000000001</v>
      </c>
      <c r="AL222" s="683">
        <f>AK222/AE222</f>
        <v>0.1644662012979772</v>
      </c>
      <c r="AM222" s="683"/>
      <c r="AN222" s="702">
        <v>5.734</v>
      </c>
      <c r="AO222" s="683">
        <f>AN222/AE222</f>
        <v>6.3939873770601494E-2</v>
      </c>
      <c r="AP222" s="702">
        <v>6.21</v>
      </c>
      <c r="AQ222" s="683">
        <f>AP222/AE222</f>
        <v>6.9247753072102416E-2</v>
      </c>
      <c r="AR222" s="702">
        <v>19.07</v>
      </c>
      <c r="AS222" s="683">
        <f>AR222/AE222</f>
        <v>0.21264970226811483</v>
      </c>
      <c r="AT222" s="632" t="s">
        <v>1412</v>
      </c>
      <c r="AU222" s="632" t="s">
        <v>825</v>
      </c>
      <c r="AV222" s="632" t="s">
        <v>1409</v>
      </c>
      <c r="AW222" s="632" t="s">
        <v>471</v>
      </c>
      <c r="AX222" s="632" t="s">
        <v>1413</v>
      </c>
      <c r="AY222" s="1445">
        <v>12.721</v>
      </c>
      <c r="AZ222" s="683">
        <f>AY222/102.399</f>
        <v>0.12422972880594536</v>
      </c>
      <c r="BA222" s="671">
        <v>55.622</v>
      </c>
      <c r="BB222" s="683" t="s">
        <v>465</v>
      </c>
      <c r="BC222" s="710">
        <v>123</v>
      </c>
      <c r="BD222" s="710">
        <v>58</v>
      </c>
      <c r="BE222" s="706">
        <v>51</v>
      </c>
      <c r="BF222" s="710">
        <v>2</v>
      </c>
      <c r="BG222" s="710">
        <v>7</v>
      </c>
      <c r="BH222" s="710">
        <v>12</v>
      </c>
      <c r="BI222" s="710">
        <v>0</v>
      </c>
      <c r="BJ222" s="710">
        <v>0</v>
      </c>
      <c r="BK222" s="710">
        <v>0</v>
      </c>
      <c r="BL222" s="710">
        <v>0</v>
      </c>
      <c r="BM222" s="710">
        <v>5</v>
      </c>
      <c r="BN222" s="710">
        <v>5</v>
      </c>
      <c r="BO222" s="710">
        <v>0</v>
      </c>
      <c r="BP222" s="710">
        <v>2</v>
      </c>
      <c r="BQ222" s="710">
        <v>17</v>
      </c>
      <c r="BR222" s="710">
        <v>0</v>
      </c>
      <c r="BS222" s="710">
        <v>0</v>
      </c>
      <c r="BT222" s="710">
        <v>0</v>
      </c>
      <c r="BU222" s="710">
        <v>0</v>
      </c>
      <c r="BV222" s="710">
        <v>1</v>
      </c>
      <c r="BW222" s="710">
        <v>0</v>
      </c>
      <c r="BX222" s="710">
        <v>0</v>
      </c>
      <c r="BY222" s="710">
        <v>0</v>
      </c>
      <c r="BZ222" s="710">
        <v>0</v>
      </c>
      <c r="CA222" s="717">
        <f t="shared" si="24"/>
        <v>51</v>
      </c>
      <c r="CB222" s="717">
        <f t="shared" si="27"/>
        <v>51</v>
      </c>
      <c r="CC222" s="717">
        <f t="shared" si="28"/>
        <v>0</v>
      </c>
      <c r="CD222" s="671">
        <v>151.9</v>
      </c>
      <c r="CE222" s="632" t="s">
        <v>1414</v>
      </c>
      <c r="CF222" s="632" t="s">
        <v>465</v>
      </c>
      <c r="CG222" s="683">
        <v>0.11550000000000001</v>
      </c>
      <c r="CH222" s="671">
        <v>1315.643</v>
      </c>
      <c r="CI222" s="683" t="s">
        <v>1399</v>
      </c>
      <c r="CJ222" s="632" t="s">
        <v>465</v>
      </c>
      <c r="CK222" s="632" t="s">
        <v>465</v>
      </c>
      <c r="CL222" s="632" t="s">
        <v>465</v>
      </c>
      <c r="CM222" s="710" t="s">
        <v>465</v>
      </c>
      <c r="CN222" s="710" t="s">
        <v>465</v>
      </c>
      <c r="CO222" s="710" t="s">
        <v>465</v>
      </c>
      <c r="CP222" s="632" t="s">
        <v>471</v>
      </c>
      <c r="CQ222" s="632" t="s">
        <v>1415</v>
      </c>
      <c r="CR222" s="710">
        <v>75442</v>
      </c>
      <c r="CS222" s="632" t="s">
        <v>471</v>
      </c>
      <c r="CT222" s="632" t="s">
        <v>1415</v>
      </c>
      <c r="CU222" s="710">
        <v>73207</v>
      </c>
      <c r="CV222" s="710" t="s">
        <v>479</v>
      </c>
      <c r="CW222" s="710" t="s">
        <v>465</v>
      </c>
      <c r="CX222" s="710" t="s">
        <v>465</v>
      </c>
      <c r="CY222" s="710" t="s">
        <v>479</v>
      </c>
      <c r="CZ222" s="710" t="s">
        <v>465</v>
      </c>
      <c r="DA222" s="710" t="s">
        <v>465</v>
      </c>
      <c r="DB222" s="632" t="s">
        <v>479</v>
      </c>
      <c r="DC222" s="632" t="s">
        <v>465</v>
      </c>
      <c r="DD222" s="710" t="s">
        <v>465</v>
      </c>
      <c r="DE222" s="632" t="s">
        <v>479</v>
      </c>
      <c r="DF222" s="632" t="s">
        <v>465</v>
      </c>
      <c r="DG222" s="710" t="s">
        <v>465</v>
      </c>
      <c r="DH222" s="632" t="s">
        <v>479</v>
      </c>
      <c r="DI222" s="632" t="s">
        <v>465</v>
      </c>
      <c r="DJ222" s="710" t="s">
        <v>465</v>
      </c>
      <c r="DK222" s="632" t="s">
        <v>479</v>
      </c>
      <c r="DL222" s="632" t="s">
        <v>465</v>
      </c>
      <c r="DM222" s="710" t="s">
        <v>465</v>
      </c>
      <c r="DN222" s="632" t="s">
        <v>479</v>
      </c>
      <c r="DO222" s="632" t="s">
        <v>465</v>
      </c>
      <c r="DP222" s="710" t="s">
        <v>465</v>
      </c>
      <c r="DQ222" s="632" t="s">
        <v>471</v>
      </c>
      <c r="DR222" s="632" t="s">
        <v>1415</v>
      </c>
      <c r="DS222" s="710">
        <v>73207</v>
      </c>
      <c r="DT222" s="710" t="s">
        <v>479</v>
      </c>
      <c r="DU222" s="710" t="s">
        <v>465</v>
      </c>
      <c r="DV222" s="710" t="s">
        <v>465</v>
      </c>
      <c r="DW222" s="632" t="s">
        <v>479</v>
      </c>
      <c r="DX222" s="632" t="s">
        <v>465</v>
      </c>
      <c r="DY222" s="710" t="s">
        <v>465</v>
      </c>
      <c r="DZ222" s="632" t="s">
        <v>479</v>
      </c>
      <c r="EA222" s="632" t="s">
        <v>465</v>
      </c>
      <c r="EB222" s="710" t="s">
        <v>465</v>
      </c>
      <c r="EC222" s="632" t="s">
        <v>479</v>
      </c>
      <c r="ED222" s="632" t="s">
        <v>465</v>
      </c>
      <c r="EE222" s="710" t="s">
        <v>465</v>
      </c>
      <c r="EF222" s="710" t="s">
        <v>479</v>
      </c>
      <c r="EG222" s="710" t="s">
        <v>465</v>
      </c>
      <c r="EH222" s="710" t="s">
        <v>465</v>
      </c>
      <c r="EI222" s="632" t="s">
        <v>479</v>
      </c>
      <c r="EJ222" s="632" t="s">
        <v>465</v>
      </c>
      <c r="EK222" s="710" t="s">
        <v>465</v>
      </c>
      <c r="EL222" s="632" t="s">
        <v>1416</v>
      </c>
      <c r="EM222" s="632" t="s">
        <v>1417</v>
      </c>
      <c r="EN222" s="670">
        <v>51</v>
      </c>
      <c r="EO222" s="632" t="s">
        <v>479</v>
      </c>
      <c r="EP222" s="632" t="s">
        <v>465</v>
      </c>
      <c r="EQ222" s="748" t="s">
        <v>1418</v>
      </c>
      <c r="ER222" s="632" t="s">
        <v>1419</v>
      </c>
      <c r="ES222" s="632" t="s">
        <v>465</v>
      </c>
      <c r="ET222" s="632" t="s">
        <v>1420</v>
      </c>
      <c r="EU222" s="632" t="s">
        <v>1421</v>
      </c>
      <c r="EV222" s="632" t="s">
        <v>1422</v>
      </c>
      <c r="EW222" s="632">
        <v>4</v>
      </c>
      <c r="EX222" s="632">
        <v>188</v>
      </c>
    </row>
    <row r="223" spans="3:154" ht="65.099999999999994" customHeight="1" x14ac:dyDescent="0.2">
      <c r="C223" s="1156" t="s">
        <v>1423</v>
      </c>
      <c r="D223" s="1156" t="s">
        <v>5278</v>
      </c>
      <c r="E223" s="1104" t="s">
        <v>363</v>
      </c>
      <c r="F223" s="1104" t="s">
        <v>448</v>
      </c>
      <c r="G223" s="1109" t="s">
        <v>3786</v>
      </c>
      <c r="H223" s="1109" t="s">
        <v>3787</v>
      </c>
      <c r="I223" s="1109" t="s">
        <v>3788</v>
      </c>
      <c r="J223" s="1110">
        <v>2020</v>
      </c>
      <c r="K223" s="1105">
        <v>43983</v>
      </c>
      <c r="L223" s="1105">
        <v>44106</v>
      </c>
      <c r="M223" s="1369">
        <f t="shared" si="29"/>
        <v>123</v>
      </c>
      <c r="N223" s="1105"/>
      <c r="O223" s="1105"/>
      <c r="P223" s="1105"/>
      <c r="Q223" s="1105"/>
      <c r="R223" s="1105"/>
      <c r="S223" s="1105"/>
      <c r="T223" s="1105"/>
      <c r="U223" s="1105"/>
      <c r="V223" s="1105"/>
      <c r="W223" s="1105"/>
      <c r="X223" s="1105"/>
      <c r="Y223" s="1109" t="s">
        <v>3789</v>
      </c>
      <c r="Z223" s="1127" t="s">
        <v>3790</v>
      </c>
      <c r="AA223" s="1109" t="s">
        <v>3791</v>
      </c>
      <c r="AB223" s="1109" t="s">
        <v>3791</v>
      </c>
      <c r="AC223" s="1109" t="s">
        <v>3792</v>
      </c>
      <c r="AD223" s="1109" t="s">
        <v>2364</v>
      </c>
      <c r="AE223" s="1112">
        <v>0.159</v>
      </c>
      <c r="AF223" s="1113">
        <f t="shared" si="25"/>
        <v>0.159</v>
      </c>
      <c r="AG223" s="1113">
        <f t="shared" si="26"/>
        <v>0</v>
      </c>
      <c r="AH223" s="1112"/>
      <c r="AI223" s="1113"/>
      <c r="AJ223" s="1113"/>
      <c r="AK223" s="1112">
        <v>0.114</v>
      </c>
      <c r="AL223" s="1114">
        <f>AK223/AE223</f>
        <v>0.71698113207547176</v>
      </c>
      <c r="AM223" s="1343">
        <v>5.6999999999999996E-6</v>
      </c>
      <c r="AN223" s="1112">
        <v>4.4999999999999998E-2</v>
      </c>
      <c r="AO223" s="1114">
        <f>AN223/AE223</f>
        <v>0.28301886792452829</v>
      </c>
      <c r="AP223" s="1112"/>
      <c r="AQ223" s="1114"/>
      <c r="AR223" s="1112"/>
      <c r="AS223" s="1114"/>
      <c r="AT223" s="1114"/>
      <c r="AU223" s="1114"/>
      <c r="AV223" s="1114"/>
      <c r="AW223" s="1114" t="s">
        <v>504</v>
      </c>
      <c r="AX223" s="1114"/>
      <c r="AY223" s="1114"/>
      <c r="AZ223" s="1114"/>
      <c r="BA223" s="1113">
        <v>0.15</v>
      </c>
      <c r="BB223" s="1114"/>
      <c r="BC223" s="1115">
        <v>1</v>
      </c>
      <c r="BD223" s="1115">
        <v>1</v>
      </c>
      <c r="BE223" s="1116">
        <v>1</v>
      </c>
      <c r="BF223" s="1115"/>
      <c r="BG223" s="1115"/>
      <c r="BH223" s="1115"/>
      <c r="BI223" s="1115"/>
      <c r="BJ223" s="1115"/>
      <c r="BK223" s="1115"/>
      <c r="BL223" s="1115"/>
      <c r="BM223" s="1115"/>
      <c r="BN223" s="1115"/>
      <c r="BO223" s="1115"/>
      <c r="BP223" s="1115">
        <v>1</v>
      </c>
      <c r="BQ223" s="1115"/>
      <c r="BR223" s="1115"/>
      <c r="BS223" s="1115"/>
      <c r="BT223" s="1115"/>
      <c r="BU223" s="1115"/>
      <c r="BV223" s="1115"/>
      <c r="BW223" s="1115"/>
      <c r="BX223" s="1115"/>
      <c r="BY223" s="1115"/>
      <c r="BZ223" s="1115"/>
      <c r="CA223" s="1115">
        <f t="shared" si="24"/>
        <v>1</v>
      </c>
      <c r="CB223" s="1117">
        <f t="shared" si="27"/>
        <v>1</v>
      </c>
      <c r="CC223" s="1117">
        <f t="shared" si="28"/>
        <v>0</v>
      </c>
      <c r="CD223" s="1113">
        <v>0.442</v>
      </c>
      <c r="CE223" s="1109"/>
      <c r="CF223" s="1109"/>
      <c r="CG223" s="1109">
        <v>1.1000000000000001</v>
      </c>
      <c r="CH223" s="1113">
        <v>38.912999999999997</v>
      </c>
      <c r="CI223" s="1114" t="s">
        <v>1399</v>
      </c>
      <c r="CJ223" s="1109" t="s">
        <v>504</v>
      </c>
      <c r="CK223" s="1109"/>
      <c r="CL223" s="1109"/>
      <c r="CM223" s="1115"/>
      <c r="CN223" s="1115"/>
      <c r="CO223" s="1115"/>
      <c r="CP223" s="1109" t="s">
        <v>504</v>
      </c>
      <c r="CQ223" s="1109"/>
      <c r="CR223" s="1115"/>
      <c r="CS223" s="1109" t="s">
        <v>500</v>
      </c>
      <c r="CT223" s="1115" t="s">
        <v>3793</v>
      </c>
      <c r="CU223" s="1115">
        <v>32</v>
      </c>
      <c r="CV223" s="1115" t="s">
        <v>500</v>
      </c>
      <c r="CW223" s="1115" t="s">
        <v>3794</v>
      </c>
      <c r="CX223" s="1115">
        <v>16</v>
      </c>
      <c r="CY223" s="1115" t="s">
        <v>504</v>
      </c>
      <c r="CZ223" s="1115"/>
      <c r="DA223" s="1115"/>
      <c r="DB223" s="1109" t="s">
        <v>504</v>
      </c>
      <c r="DC223" s="1109"/>
      <c r="DD223" s="1115"/>
      <c r="DE223" s="1109" t="s">
        <v>504</v>
      </c>
      <c r="DF223" s="1109"/>
      <c r="DG223" s="1115"/>
      <c r="DH223" s="1109" t="s">
        <v>504</v>
      </c>
      <c r="DI223" s="1109"/>
      <c r="DJ223" s="1115"/>
      <c r="DK223" s="1109"/>
      <c r="DL223" s="1109"/>
      <c r="DM223" s="1115"/>
      <c r="DN223" s="1109" t="s">
        <v>504</v>
      </c>
      <c r="DO223" s="1109"/>
      <c r="DP223" s="1115">
        <v>1</v>
      </c>
      <c r="DQ223" s="1109" t="s">
        <v>504</v>
      </c>
      <c r="DR223" s="1109"/>
      <c r="DS223" s="1115"/>
      <c r="DT223" s="1115" t="s">
        <v>500</v>
      </c>
      <c r="DU223" s="1115" t="s">
        <v>3794</v>
      </c>
      <c r="DV223" s="1115">
        <v>15</v>
      </c>
      <c r="DW223" s="1109" t="s">
        <v>504</v>
      </c>
      <c r="DX223" s="1109"/>
      <c r="DY223" s="1115"/>
      <c r="DZ223" s="1109"/>
      <c r="EA223" s="1109"/>
      <c r="EB223" s="1115"/>
      <c r="EC223" s="1109" t="s">
        <v>500</v>
      </c>
      <c r="ED223" s="1127" t="s">
        <v>3795</v>
      </c>
      <c r="EE223" s="1115">
        <v>7</v>
      </c>
      <c r="EF223" s="1115"/>
      <c r="EG223" s="1115"/>
      <c r="EH223" s="1115"/>
      <c r="EI223" s="1109"/>
      <c r="EJ223" s="1109"/>
      <c r="EK223" s="1115"/>
      <c r="EL223" s="1115"/>
      <c r="EM223" s="1115"/>
      <c r="EN223" s="1115"/>
      <c r="EO223" s="1109" t="s">
        <v>500</v>
      </c>
      <c r="EP223" s="1109" t="s">
        <v>3796</v>
      </c>
      <c r="EQ223" s="1109" t="s">
        <v>3797</v>
      </c>
      <c r="ER223" s="1109" t="s">
        <v>3798</v>
      </c>
      <c r="ES223" s="1109"/>
      <c r="ET223" s="1109"/>
      <c r="EU223" s="1109"/>
      <c r="EV223" s="1109" t="s">
        <v>3799</v>
      </c>
      <c r="EW223" s="1109">
        <v>3</v>
      </c>
      <c r="EX223" s="1109">
        <v>21</v>
      </c>
    </row>
    <row r="224" spans="3:154" ht="63.95" customHeight="1" x14ac:dyDescent="0.2">
      <c r="C224" s="1156" t="s">
        <v>5482</v>
      </c>
      <c r="D224" s="1156" t="s">
        <v>5278</v>
      </c>
      <c r="E224" s="1104" t="s">
        <v>363</v>
      </c>
      <c r="F224" s="1104" t="s">
        <v>448</v>
      </c>
      <c r="G224" s="1109" t="s">
        <v>3800</v>
      </c>
      <c r="H224" s="1109" t="s">
        <v>3801</v>
      </c>
      <c r="I224" s="1109" t="s">
        <v>219</v>
      </c>
      <c r="J224" s="1109">
        <v>2016</v>
      </c>
      <c r="K224" s="1105">
        <v>43972</v>
      </c>
      <c r="L224" s="1105">
        <v>43985</v>
      </c>
      <c r="M224" s="1369">
        <f t="shared" si="29"/>
        <v>13</v>
      </c>
      <c r="N224" s="1105"/>
      <c r="O224" s="1105"/>
      <c r="P224" s="1105"/>
      <c r="Q224" s="1105"/>
      <c r="R224" s="1105"/>
      <c r="S224" s="1105"/>
      <c r="T224" s="1105"/>
      <c r="U224" s="1105"/>
      <c r="V224" s="1105"/>
      <c r="W224" s="1105"/>
      <c r="X224" s="1105"/>
      <c r="Y224" s="1109" t="s">
        <v>3802</v>
      </c>
      <c r="Z224" s="1109" t="s">
        <v>3803</v>
      </c>
      <c r="AA224" s="1109" t="s">
        <v>3804</v>
      </c>
      <c r="AB224" s="1109" t="s">
        <v>3804</v>
      </c>
      <c r="AC224" s="1109" t="s">
        <v>2135</v>
      </c>
      <c r="AD224" s="1109" t="s">
        <v>3805</v>
      </c>
      <c r="AE224" s="1112">
        <v>0.4</v>
      </c>
      <c r="AF224" s="1113">
        <f t="shared" si="25"/>
        <v>0.4</v>
      </c>
      <c r="AG224" s="1113">
        <f t="shared" si="26"/>
        <v>0</v>
      </c>
      <c r="AH224" s="1112"/>
      <c r="AI224" s="1113"/>
      <c r="AJ224" s="1113"/>
      <c r="AK224" s="1112">
        <v>0.4</v>
      </c>
      <c r="AL224" s="1114">
        <v>1</v>
      </c>
      <c r="AM224" s="1114">
        <v>9.0000000000000006E-5</v>
      </c>
      <c r="AN224" s="1112"/>
      <c r="AO224" s="1114"/>
      <c r="AP224" s="1112"/>
      <c r="AQ224" s="1114"/>
      <c r="AR224" s="1112"/>
      <c r="AS224" s="1114"/>
      <c r="AT224" s="1114"/>
      <c r="AU224" s="1114"/>
      <c r="AV224" s="1114"/>
      <c r="AW224" s="1114" t="s">
        <v>500</v>
      </c>
      <c r="AX224" s="1114" t="s">
        <v>838</v>
      </c>
      <c r="AY224" s="1113">
        <v>0.20899999999999999</v>
      </c>
      <c r="AZ224" s="1114"/>
      <c r="BA224" s="1113">
        <v>0.2</v>
      </c>
      <c r="BB224" s="1114">
        <v>1E-4</v>
      </c>
      <c r="BC224" s="1115">
        <v>5</v>
      </c>
      <c r="BD224" s="1115">
        <v>5</v>
      </c>
      <c r="BE224" s="1116">
        <v>4</v>
      </c>
      <c r="BF224" s="1115"/>
      <c r="BG224" s="1115"/>
      <c r="BH224" s="1115"/>
      <c r="BI224" s="1115"/>
      <c r="BJ224" s="1115"/>
      <c r="BK224" s="1115"/>
      <c r="BL224" s="1115"/>
      <c r="BM224" s="1115"/>
      <c r="BN224" s="1115"/>
      <c r="BO224" s="1115">
        <v>3</v>
      </c>
      <c r="BP224" s="1115"/>
      <c r="BQ224" s="1115"/>
      <c r="BR224" s="1115"/>
      <c r="BS224" s="1115"/>
      <c r="BT224" s="1115"/>
      <c r="BU224" s="1115">
        <v>1</v>
      </c>
      <c r="BV224" s="1115"/>
      <c r="BW224" s="1115"/>
      <c r="BX224" s="1115"/>
      <c r="BY224" s="1115"/>
      <c r="BZ224" s="1115"/>
      <c r="CA224" s="1117">
        <f t="shared" si="24"/>
        <v>4</v>
      </c>
      <c r="CB224" s="1117">
        <f t="shared" si="27"/>
        <v>4</v>
      </c>
      <c r="CC224" s="1117">
        <f t="shared" si="28"/>
        <v>0</v>
      </c>
      <c r="CD224" s="1113">
        <v>0.34399999999999997</v>
      </c>
      <c r="CE224" s="1109"/>
      <c r="CF224" s="1109"/>
      <c r="CG224" s="1109">
        <v>1.446</v>
      </c>
      <c r="CH224" s="1113">
        <v>23.776</v>
      </c>
      <c r="CI224" s="1114" t="s">
        <v>2859</v>
      </c>
      <c r="CJ224" s="1109" t="s">
        <v>504</v>
      </c>
      <c r="CK224" s="1109"/>
      <c r="CL224" s="1109"/>
      <c r="CM224" s="1115"/>
      <c r="CN224" s="1115"/>
      <c r="CO224" s="1115"/>
      <c r="CP224" s="1109" t="s">
        <v>504</v>
      </c>
      <c r="CQ224" s="1109"/>
      <c r="CR224" s="1115"/>
      <c r="CS224" s="1109" t="s">
        <v>504</v>
      </c>
      <c r="CT224" s="1109"/>
      <c r="CU224" s="1115"/>
      <c r="CV224" s="1115" t="s">
        <v>500</v>
      </c>
      <c r="CW224" s="1115" t="s">
        <v>935</v>
      </c>
      <c r="CX224" s="1115">
        <v>41</v>
      </c>
      <c r="CY224" s="1115" t="s">
        <v>504</v>
      </c>
      <c r="CZ224" s="1115"/>
      <c r="DA224" s="1115"/>
      <c r="DB224" s="1109" t="s">
        <v>504</v>
      </c>
      <c r="DC224" s="1109"/>
      <c r="DD224" s="1115"/>
      <c r="DE224" s="1109" t="s">
        <v>504</v>
      </c>
      <c r="DF224" s="1109"/>
      <c r="DG224" s="1115"/>
      <c r="DH224" s="1109" t="s">
        <v>504</v>
      </c>
      <c r="DI224" s="1109"/>
      <c r="DJ224" s="1115"/>
      <c r="DK224" s="1109" t="s">
        <v>504</v>
      </c>
      <c r="DL224" s="1109"/>
      <c r="DM224" s="1115"/>
      <c r="DN224" s="1109" t="s">
        <v>504</v>
      </c>
      <c r="DO224" s="1109"/>
      <c r="DP224" s="1115"/>
      <c r="DQ224" s="1109" t="s">
        <v>504</v>
      </c>
      <c r="DR224" s="1109"/>
      <c r="DS224" s="1115"/>
      <c r="DT224" s="1115" t="s">
        <v>504</v>
      </c>
      <c r="DU224" s="1115"/>
      <c r="DV224" s="1115"/>
      <c r="DW224" s="1109" t="s">
        <v>504</v>
      </c>
      <c r="DX224" s="1109"/>
      <c r="DY224" s="1115"/>
      <c r="DZ224" s="1109" t="s">
        <v>504</v>
      </c>
      <c r="EA224" s="1109"/>
      <c r="EB224" s="1115"/>
      <c r="EC224" s="1109" t="s">
        <v>500</v>
      </c>
      <c r="ED224" s="1109" t="s">
        <v>935</v>
      </c>
      <c r="EE224" s="1115">
        <v>7</v>
      </c>
      <c r="EF224" s="1115" t="s">
        <v>504</v>
      </c>
      <c r="EG224" s="1115"/>
      <c r="EH224" s="1115"/>
      <c r="EI224" s="1109" t="s">
        <v>504</v>
      </c>
      <c r="EJ224" s="1109"/>
      <c r="EK224" s="1115"/>
      <c r="EL224" s="1115"/>
      <c r="EM224" s="1115"/>
      <c r="EN224" s="1115"/>
      <c r="EO224" s="1109" t="s">
        <v>504</v>
      </c>
      <c r="EP224" s="1109"/>
      <c r="EQ224" s="1109" t="s">
        <v>3806</v>
      </c>
      <c r="ER224" s="1109"/>
      <c r="ES224" s="1109"/>
      <c r="ET224" s="1109"/>
      <c r="EU224" s="1109"/>
      <c r="EV224" s="1109"/>
      <c r="EW224" s="1109"/>
      <c r="EX224" s="1109"/>
    </row>
    <row r="225" spans="3:154" x14ac:dyDescent="0.2">
      <c r="C225" s="1156"/>
      <c r="D225" s="1156"/>
      <c r="E225" s="1454" t="s">
        <v>364</v>
      </c>
      <c r="F225" s="1454" t="s">
        <v>449</v>
      </c>
      <c r="G225" s="1454"/>
      <c r="H225" s="1460"/>
      <c r="I225" s="1460"/>
      <c r="J225" s="1460"/>
      <c r="K225" s="1460"/>
      <c r="L225" s="1460"/>
      <c r="M225" s="1369">
        <f t="shared" si="29"/>
        <v>0</v>
      </c>
      <c r="N225" s="1460"/>
      <c r="O225" s="1460"/>
      <c r="P225" s="1460"/>
      <c r="Q225" s="1460"/>
      <c r="R225" s="1460"/>
      <c r="S225" s="1460"/>
      <c r="T225" s="1460"/>
      <c r="U225" s="1460"/>
      <c r="V225" s="1460"/>
      <c r="W225" s="1460"/>
      <c r="X225" s="1460"/>
      <c r="Y225" s="1460"/>
      <c r="Z225" s="1460"/>
      <c r="AA225" s="1460"/>
      <c r="AB225" s="1460"/>
      <c r="AC225" s="1460"/>
      <c r="AD225" s="1460"/>
      <c r="AE225" s="1461"/>
      <c r="AF225" s="1462">
        <f t="shared" si="25"/>
        <v>0</v>
      </c>
      <c r="AG225" s="1462">
        <f t="shared" si="26"/>
        <v>0</v>
      </c>
      <c r="AH225" s="1461"/>
      <c r="AI225" s="1460"/>
      <c r="AJ225" s="1460"/>
      <c r="AK225" s="1461"/>
      <c r="AL225" s="1460"/>
      <c r="AM225" s="1460"/>
      <c r="AN225" s="1461"/>
      <c r="AO225" s="1460"/>
      <c r="AP225" s="1461"/>
      <c r="AQ225" s="1460"/>
      <c r="AR225" s="1461"/>
      <c r="AS225" s="1460"/>
      <c r="AT225" s="1460"/>
      <c r="AU225" s="1460"/>
      <c r="AV225" s="1460"/>
      <c r="AW225" s="1460"/>
      <c r="AX225" s="1460"/>
      <c r="AY225" s="1460"/>
      <c r="AZ225" s="1460"/>
      <c r="BA225" s="1460"/>
      <c r="BB225" s="1460"/>
      <c r="BC225" s="1460"/>
      <c r="BD225" s="1460"/>
      <c r="BE225" s="1463"/>
      <c r="BF225" s="1460"/>
      <c r="BG225" s="1460"/>
      <c r="BH225" s="1460"/>
      <c r="BI225" s="1460"/>
      <c r="BJ225" s="1460"/>
      <c r="BK225" s="1460"/>
      <c r="BL225" s="1460"/>
      <c r="BM225" s="1460"/>
      <c r="BN225" s="1460"/>
      <c r="BO225" s="1460"/>
      <c r="BP225" s="1460"/>
      <c r="BQ225" s="1460"/>
      <c r="BR225" s="1460"/>
      <c r="BS225" s="1460"/>
      <c r="BT225" s="1460"/>
      <c r="BU225" s="1460"/>
      <c r="BV225" s="1460"/>
      <c r="BW225" s="1460"/>
      <c r="BX225" s="1460"/>
      <c r="BY225" s="1460"/>
      <c r="BZ225" s="1460"/>
      <c r="CA225" s="1460"/>
      <c r="CB225" s="1464">
        <f t="shared" si="27"/>
        <v>0</v>
      </c>
      <c r="CC225" s="1464">
        <f t="shared" si="28"/>
        <v>0</v>
      </c>
      <c r="CD225" s="1460"/>
      <c r="CE225" s="1460"/>
      <c r="CF225" s="1460"/>
      <c r="CG225" s="1460"/>
      <c r="CH225" s="1460"/>
      <c r="CI225" s="1460"/>
      <c r="CJ225" s="1460"/>
      <c r="CK225" s="1460"/>
      <c r="CL225" s="1460"/>
      <c r="CM225" s="1460"/>
      <c r="CN225" s="1460"/>
      <c r="CO225" s="1460"/>
      <c r="CP225" s="1460"/>
      <c r="CQ225" s="1460"/>
      <c r="CR225" s="1460"/>
      <c r="CS225" s="1460"/>
      <c r="CT225" s="1460"/>
      <c r="CU225" s="1460"/>
      <c r="CV225" s="1460"/>
      <c r="CW225" s="1460"/>
      <c r="CX225" s="1460"/>
      <c r="CY225" s="1460"/>
      <c r="CZ225" s="1460"/>
      <c r="DA225" s="1460"/>
      <c r="DB225" s="1460"/>
      <c r="DC225" s="1460"/>
      <c r="DD225" s="1460"/>
      <c r="DE225" s="1460"/>
      <c r="DF225" s="1460"/>
      <c r="DG225" s="1460"/>
      <c r="DH225" s="1460"/>
      <c r="DI225" s="1460"/>
      <c r="DJ225" s="1460"/>
      <c r="DK225" s="1460"/>
      <c r="DL225" s="1460"/>
      <c r="DM225" s="1460"/>
      <c r="DN225" s="1460"/>
      <c r="DO225" s="1460"/>
      <c r="DP225" s="1460"/>
      <c r="DQ225" s="1460"/>
      <c r="DR225" s="1460"/>
      <c r="DS225" s="1460"/>
      <c r="DT225" s="1460"/>
      <c r="DU225" s="1460"/>
      <c r="DV225" s="1460"/>
      <c r="DW225" s="1460"/>
      <c r="DX225" s="1460"/>
      <c r="DY225" s="1460"/>
      <c r="DZ225" s="1460"/>
      <c r="EA225" s="1460"/>
      <c r="EB225" s="1460"/>
      <c r="EC225" s="1460"/>
      <c r="ED225" s="1460"/>
      <c r="EE225" s="1460"/>
      <c r="EF225" s="1460"/>
      <c r="EG225" s="1460"/>
      <c r="EH225" s="1460"/>
      <c r="EI225" s="1460"/>
      <c r="EJ225" s="1460"/>
      <c r="EK225" s="1460"/>
      <c r="EL225" s="1460"/>
      <c r="EM225" s="1460"/>
      <c r="EN225" s="1460"/>
      <c r="EO225" s="1460"/>
      <c r="EP225" s="1460"/>
      <c r="EQ225" s="1460"/>
      <c r="ER225" s="1460"/>
      <c r="ES225" s="1460"/>
      <c r="ET225" s="1460"/>
      <c r="EU225" s="1460"/>
      <c r="EV225" s="1460"/>
      <c r="EW225" s="1460"/>
      <c r="EX225" s="1460"/>
    </row>
    <row r="226" spans="3:154" ht="63.95" customHeight="1" x14ac:dyDescent="0.2">
      <c r="C226" s="1156" t="s">
        <v>5480</v>
      </c>
      <c r="D226" s="1156" t="s">
        <v>5277</v>
      </c>
      <c r="E226" s="738" t="s">
        <v>365</v>
      </c>
      <c r="F226" s="738" t="s">
        <v>450</v>
      </c>
      <c r="G226" s="738"/>
      <c r="H226" s="632" t="s">
        <v>800</v>
      </c>
      <c r="I226" s="632" t="s">
        <v>702</v>
      </c>
      <c r="J226" s="637">
        <v>2019</v>
      </c>
      <c r="K226" s="377">
        <v>43727</v>
      </c>
      <c r="L226" s="377">
        <v>44196</v>
      </c>
      <c r="M226" s="1369">
        <f t="shared" si="29"/>
        <v>469</v>
      </c>
      <c r="N226" s="632" t="s">
        <v>801</v>
      </c>
      <c r="O226" s="632" t="s">
        <v>802</v>
      </c>
      <c r="P226" s="653" t="s">
        <v>803</v>
      </c>
      <c r="Q226" s="632" t="s">
        <v>504</v>
      </c>
      <c r="R226" s="632"/>
      <c r="S226" s="632" t="s">
        <v>504</v>
      </c>
      <c r="T226" s="632"/>
      <c r="U226" s="632" t="s">
        <v>504</v>
      </c>
      <c r="V226" s="632"/>
      <c r="W226" s="632" t="s">
        <v>504</v>
      </c>
      <c r="X226" s="632"/>
      <c r="Y226" s="632"/>
      <c r="Z226" s="632"/>
      <c r="AA226" s="632" t="s">
        <v>804</v>
      </c>
      <c r="AB226" s="632" t="s">
        <v>804</v>
      </c>
      <c r="AC226" s="632" t="s">
        <v>519</v>
      </c>
      <c r="AD226" s="632" t="s">
        <v>805</v>
      </c>
      <c r="AE226" s="702">
        <v>19.940799999999999</v>
      </c>
      <c r="AF226" s="671">
        <f t="shared" si="25"/>
        <v>19.9435</v>
      </c>
      <c r="AG226" s="671">
        <f t="shared" si="26"/>
        <v>2.7000000000008129E-3</v>
      </c>
      <c r="AH226" s="702">
        <v>19.744</v>
      </c>
      <c r="AI226" s="683">
        <v>0.99</v>
      </c>
      <c r="AJ226" s="683">
        <v>9.0000000000000006E-5</v>
      </c>
      <c r="AK226" s="702">
        <v>0.19950000000000001</v>
      </c>
      <c r="AL226" s="683">
        <v>0.01</v>
      </c>
      <c r="AM226" s="683"/>
      <c r="AN226" s="702"/>
      <c r="AO226" s="683" t="s">
        <v>702</v>
      </c>
      <c r="AP226" s="702"/>
      <c r="AQ226" s="683" t="s">
        <v>701</v>
      </c>
      <c r="AR226" s="702"/>
      <c r="AS226" s="683" t="s">
        <v>701</v>
      </c>
      <c r="AT226" s="632" t="s">
        <v>701</v>
      </c>
      <c r="AU226" s="632" t="s">
        <v>701</v>
      </c>
      <c r="AV226" s="632" t="s">
        <v>701</v>
      </c>
      <c r="AW226" s="632" t="s">
        <v>504</v>
      </c>
      <c r="AX226" s="632" t="s">
        <v>504</v>
      </c>
      <c r="AY226" s="632" t="s">
        <v>504</v>
      </c>
      <c r="AZ226" s="683" t="s">
        <v>504</v>
      </c>
      <c r="BA226" s="683" t="s">
        <v>806</v>
      </c>
      <c r="BB226" s="683" t="s">
        <v>701</v>
      </c>
      <c r="BC226" s="710">
        <v>36</v>
      </c>
      <c r="BD226" s="710">
        <v>36</v>
      </c>
      <c r="BE226" s="706">
        <v>29</v>
      </c>
      <c r="BF226" s="710"/>
      <c r="BG226" s="710"/>
      <c r="BH226" s="710"/>
      <c r="BI226" s="710"/>
      <c r="BJ226" s="710"/>
      <c r="BK226" s="710">
        <v>18</v>
      </c>
      <c r="BL226" s="710"/>
      <c r="BM226" s="710"/>
      <c r="BN226" s="710"/>
      <c r="BO226" s="710"/>
      <c r="BP226" s="710"/>
      <c r="BQ226" s="710">
        <v>11</v>
      </c>
      <c r="BR226" s="710"/>
      <c r="BS226" s="710"/>
      <c r="BT226" s="710"/>
      <c r="BU226" s="710"/>
      <c r="BV226" s="710"/>
      <c r="BW226" s="710"/>
      <c r="BX226" s="710"/>
      <c r="BY226" s="710"/>
      <c r="BZ226" s="710"/>
      <c r="CA226" s="717">
        <f>SUM(BF226:BZ226)</f>
        <v>29</v>
      </c>
      <c r="CB226" s="717">
        <f t="shared" si="27"/>
        <v>29</v>
      </c>
      <c r="CC226" s="717">
        <f t="shared" si="28"/>
        <v>0</v>
      </c>
      <c r="CD226" s="671">
        <v>406543</v>
      </c>
      <c r="CE226" s="632" t="s">
        <v>807</v>
      </c>
      <c r="CF226" s="632" t="s">
        <v>504</v>
      </c>
      <c r="CG226" s="683">
        <f>CD226/CH226</f>
        <v>0.24275919640575253</v>
      </c>
      <c r="CH226" s="671">
        <v>1674676</v>
      </c>
      <c r="CI226" s="683" t="s">
        <v>504</v>
      </c>
      <c r="CJ226" s="632" t="s">
        <v>504</v>
      </c>
      <c r="CK226" s="632"/>
      <c r="CL226" s="632"/>
      <c r="CM226" s="710"/>
      <c r="CN226" s="710"/>
      <c r="CO226" s="710"/>
      <c r="CP226" s="632"/>
      <c r="CQ226" s="632"/>
      <c r="CR226" s="710"/>
      <c r="CS226" s="632" t="s">
        <v>500</v>
      </c>
      <c r="CT226" s="632" t="s">
        <v>808</v>
      </c>
      <c r="CU226" s="710">
        <v>346</v>
      </c>
      <c r="CV226" s="710"/>
      <c r="CW226" s="710"/>
      <c r="CX226" s="710"/>
      <c r="CY226" s="710"/>
      <c r="CZ226" s="710"/>
      <c r="DA226" s="710"/>
      <c r="DB226" s="632" t="s">
        <v>500</v>
      </c>
      <c r="DC226" s="632" t="s">
        <v>809</v>
      </c>
      <c r="DD226" s="710">
        <v>0</v>
      </c>
      <c r="DE226" s="632" t="s">
        <v>500</v>
      </c>
      <c r="DF226" s="632" t="s">
        <v>809</v>
      </c>
      <c r="DG226" s="710" t="s">
        <v>806</v>
      </c>
      <c r="DH226" s="632"/>
      <c r="DI226" s="632"/>
      <c r="DJ226" s="710"/>
      <c r="DK226" s="632"/>
      <c r="DL226" s="632"/>
      <c r="DM226" s="710"/>
      <c r="DN226" s="632"/>
      <c r="DO226" s="632"/>
      <c r="DP226" s="710"/>
      <c r="DQ226" s="632" t="s">
        <v>500</v>
      </c>
      <c r="DR226" s="632" t="s">
        <v>796</v>
      </c>
      <c r="DS226" s="710">
        <v>346</v>
      </c>
      <c r="DT226" s="710"/>
      <c r="DU226" s="710"/>
      <c r="DV226" s="710"/>
      <c r="DW226" s="632"/>
      <c r="DX226" s="632"/>
      <c r="DY226" s="710"/>
      <c r="DZ226" s="632"/>
      <c r="EA226" s="632"/>
      <c r="EB226" s="710"/>
      <c r="EC226" s="632"/>
      <c r="ED226" s="632"/>
      <c r="EE226" s="710"/>
      <c r="EF226" s="710"/>
      <c r="EG226" s="710"/>
      <c r="EH226" s="710"/>
      <c r="EI226" s="632"/>
      <c r="EJ226" s="632"/>
      <c r="EK226" s="710"/>
      <c r="EL226" s="632" t="s">
        <v>810</v>
      </c>
      <c r="EM226" s="632" t="s">
        <v>811</v>
      </c>
      <c r="EN226" s="670">
        <v>9</v>
      </c>
      <c r="EO226" s="632" t="s">
        <v>504</v>
      </c>
      <c r="EP226" s="632" t="s">
        <v>701</v>
      </c>
      <c r="EQ226" s="632" t="s">
        <v>812</v>
      </c>
      <c r="ER226" s="632" t="s">
        <v>806</v>
      </c>
      <c r="ES226" s="653" t="s">
        <v>813</v>
      </c>
      <c r="ET226" s="632" t="s">
        <v>814</v>
      </c>
      <c r="EU226" s="632" t="s">
        <v>815</v>
      </c>
      <c r="EV226" s="632" t="s">
        <v>816</v>
      </c>
      <c r="EW226" s="632" t="s">
        <v>817</v>
      </c>
      <c r="EX226" s="632" t="s">
        <v>701</v>
      </c>
    </row>
    <row r="227" spans="3:154" ht="63.95" customHeight="1" x14ac:dyDescent="0.2">
      <c r="C227" s="1156" t="s">
        <v>693</v>
      </c>
      <c r="D227" s="1156" t="s">
        <v>5278</v>
      </c>
      <c r="E227" s="1104" t="s">
        <v>365</v>
      </c>
      <c r="F227" s="1104" t="s">
        <v>450</v>
      </c>
      <c r="G227" s="1319" t="s">
        <v>3807</v>
      </c>
      <c r="H227" s="1319" t="s">
        <v>3808</v>
      </c>
      <c r="I227" s="1319" t="s">
        <v>3808</v>
      </c>
      <c r="J227" s="1320">
        <v>2020</v>
      </c>
      <c r="K227" s="1133">
        <v>44055</v>
      </c>
      <c r="L227" s="1134">
        <v>44166</v>
      </c>
      <c r="M227" s="1369">
        <f t="shared" si="29"/>
        <v>111</v>
      </c>
      <c r="N227" s="1134"/>
      <c r="O227" s="1134"/>
      <c r="P227" s="1134"/>
      <c r="Q227" s="1134"/>
      <c r="R227" s="1134"/>
      <c r="S227" s="1134"/>
      <c r="T227" s="1134"/>
      <c r="U227" s="1134"/>
      <c r="V227" s="1134"/>
      <c r="W227" s="1134"/>
      <c r="X227" s="1134"/>
      <c r="Y227" s="1319" t="s">
        <v>3811</v>
      </c>
      <c r="Z227" s="1344" t="s">
        <v>3812</v>
      </c>
      <c r="AA227" s="1319" t="s">
        <v>3813</v>
      </c>
      <c r="AB227" s="1319" t="s">
        <v>3814</v>
      </c>
      <c r="AC227" s="1319" t="s">
        <v>671</v>
      </c>
      <c r="AD227" s="1319" t="s">
        <v>3814</v>
      </c>
      <c r="AE227" s="1321">
        <f>559.3/1000</f>
        <v>0.55929999999999991</v>
      </c>
      <c r="AF227" s="1113">
        <f t="shared" si="25"/>
        <v>0.55929999999999991</v>
      </c>
      <c r="AG227" s="1113">
        <f t="shared" si="26"/>
        <v>0</v>
      </c>
      <c r="AH227" s="1321"/>
      <c r="AI227" s="1322"/>
      <c r="AJ227" s="1322"/>
      <c r="AK227" s="1321">
        <f>559.3/1000</f>
        <v>0.55929999999999991</v>
      </c>
      <c r="AL227" s="1323">
        <f>AK227/AE227</f>
        <v>1</v>
      </c>
      <c r="AM227" s="1323">
        <f>AE227/3650.273</f>
        <v>1.532214165899372E-4</v>
      </c>
      <c r="AN227" s="1321"/>
      <c r="AO227" s="1323"/>
      <c r="AP227" s="1321"/>
      <c r="AQ227" s="1323"/>
      <c r="AR227" s="1321"/>
      <c r="AS227" s="1323"/>
      <c r="AT227" s="1323"/>
      <c r="AU227" s="1323"/>
      <c r="AV227" s="1323"/>
      <c r="AW227" s="1323" t="s">
        <v>500</v>
      </c>
      <c r="AX227" s="1323" t="s">
        <v>3815</v>
      </c>
      <c r="AY227" s="1323"/>
      <c r="AZ227" s="1323"/>
      <c r="BA227" s="1345"/>
      <c r="BB227" s="1323"/>
      <c r="BC227" s="1324">
        <v>7</v>
      </c>
      <c r="BD227" s="1324">
        <v>3</v>
      </c>
      <c r="BE227" s="1325">
        <v>2</v>
      </c>
      <c r="BF227" s="1324"/>
      <c r="BG227" s="1324">
        <v>1</v>
      </c>
      <c r="BH227" s="1324"/>
      <c r="BI227" s="1324"/>
      <c r="BJ227" s="1324"/>
      <c r="BK227" s="1324"/>
      <c r="BL227" s="1324"/>
      <c r="BM227" s="1324"/>
      <c r="BN227" s="1324"/>
      <c r="BO227" s="1324"/>
      <c r="BP227" s="1324"/>
      <c r="BQ227" s="1324">
        <v>1</v>
      </c>
      <c r="BR227" s="1324"/>
      <c r="BS227" s="1324"/>
      <c r="BT227" s="1324"/>
      <c r="BU227" s="1324"/>
      <c r="BV227" s="1324"/>
      <c r="BW227" s="1324"/>
      <c r="BX227" s="1324"/>
      <c r="BY227" s="1324"/>
      <c r="BZ227" s="1324"/>
      <c r="CA227" s="1326">
        <f>SUM(BF227:BZ227)</f>
        <v>2</v>
      </c>
      <c r="CB227" s="1117">
        <f t="shared" si="27"/>
        <v>2</v>
      </c>
      <c r="CC227" s="1117">
        <f t="shared" si="28"/>
        <v>0</v>
      </c>
      <c r="CD227" s="1322">
        <v>28.401</v>
      </c>
      <c r="CE227" s="1319" t="s">
        <v>504</v>
      </c>
      <c r="CF227" s="1319" t="s">
        <v>504</v>
      </c>
      <c r="CG227" s="1319">
        <v>100</v>
      </c>
      <c r="CH227" s="1322">
        <v>28.401</v>
      </c>
      <c r="CI227" s="1346" t="s">
        <v>3816</v>
      </c>
      <c r="CJ227" s="1319" t="s">
        <v>3817</v>
      </c>
      <c r="CK227" s="1319" t="s">
        <v>504</v>
      </c>
      <c r="CL227" s="1319" t="s">
        <v>504</v>
      </c>
      <c r="CM227" s="1324" t="s">
        <v>504</v>
      </c>
      <c r="CN227" s="1324" t="s">
        <v>504</v>
      </c>
      <c r="CO227" s="1324">
        <v>1</v>
      </c>
      <c r="CP227" s="1319" t="s">
        <v>500</v>
      </c>
      <c r="CQ227" s="1319" t="s">
        <v>3384</v>
      </c>
      <c r="CR227" s="1324">
        <v>30</v>
      </c>
      <c r="CS227" s="1319" t="s">
        <v>500</v>
      </c>
      <c r="CT227" s="1319" t="s">
        <v>935</v>
      </c>
      <c r="CU227" s="1324">
        <v>10</v>
      </c>
      <c r="CV227" s="1324" t="s">
        <v>504</v>
      </c>
      <c r="CW227" s="1324" t="s">
        <v>504</v>
      </c>
      <c r="CX227" s="1324">
        <v>0</v>
      </c>
      <c r="CY227" s="1324" t="s">
        <v>504</v>
      </c>
      <c r="CZ227" s="1324" t="s">
        <v>504</v>
      </c>
      <c r="DA227" s="1324">
        <v>0</v>
      </c>
      <c r="DB227" s="1319" t="s">
        <v>504</v>
      </c>
      <c r="DC227" s="1319" t="s">
        <v>504</v>
      </c>
      <c r="DD227" s="1324">
        <v>0</v>
      </c>
      <c r="DE227" s="1319" t="s">
        <v>500</v>
      </c>
      <c r="DF227" s="1344" t="s">
        <v>3812</v>
      </c>
      <c r="DG227" s="1324">
        <v>7</v>
      </c>
      <c r="DH227" s="1319" t="s">
        <v>504</v>
      </c>
      <c r="DI227" s="1319" t="s">
        <v>504</v>
      </c>
      <c r="DJ227" s="1324"/>
      <c r="DK227" s="1319" t="s">
        <v>500</v>
      </c>
      <c r="DL227" s="1319" t="s">
        <v>2761</v>
      </c>
      <c r="DM227" s="1324">
        <v>30</v>
      </c>
      <c r="DN227" s="1319" t="s">
        <v>500</v>
      </c>
      <c r="DO227" s="1344" t="s">
        <v>3812</v>
      </c>
      <c r="DP227" s="1324">
        <v>150</v>
      </c>
      <c r="DQ227" s="1319" t="s">
        <v>504</v>
      </c>
      <c r="DR227" s="1319" t="s">
        <v>504</v>
      </c>
      <c r="DS227" s="1324"/>
      <c r="DT227" s="1324" t="s">
        <v>504</v>
      </c>
      <c r="DU227" s="1324" t="s">
        <v>504</v>
      </c>
      <c r="DV227" s="1324"/>
      <c r="DW227" s="1319" t="s">
        <v>504</v>
      </c>
      <c r="DX227" s="1319" t="s">
        <v>504</v>
      </c>
      <c r="DY227" s="1324"/>
      <c r="DZ227" s="1319" t="s">
        <v>504</v>
      </c>
      <c r="EA227" s="1319" t="s">
        <v>504</v>
      </c>
      <c r="EB227" s="1324"/>
      <c r="EC227" s="1319" t="s">
        <v>504</v>
      </c>
      <c r="ED227" s="1347" t="s">
        <v>504</v>
      </c>
      <c r="EE227" s="1324"/>
      <c r="EF227" s="1324" t="s">
        <v>500</v>
      </c>
      <c r="EG227" s="1324" t="s">
        <v>3818</v>
      </c>
      <c r="EH227" s="1324">
        <v>12</v>
      </c>
      <c r="EI227" s="1319" t="s">
        <v>504</v>
      </c>
      <c r="EJ227" s="1319" t="s">
        <v>504</v>
      </c>
      <c r="EK227" s="1324"/>
      <c r="EL227" s="1324"/>
      <c r="EM227" s="1324"/>
      <c r="EN227" s="1324"/>
      <c r="EO227" s="1319" t="s">
        <v>504</v>
      </c>
      <c r="EP227" s="1319" t="s">
        <v>3819</v>
      </c>
      <c r="EQ227" s="1344" t="s">
        <v>3812</v>
      </c>
      <c r="ER227" s="1319" t="s">
        <v>504</v>
      </c>
      <c r="ES227" s="1319" t="s">
        <v>504</v>
      </c>
      <c r="ET227" s="1319" t="s">
        <v>3820</v>
      </c>
      <c r="EU227" s="1344" t="s">
        <v>3821</v>
      </c>
      <c r="EV227" s="1319" t="s">
        <v>3822</v>
      </c>
      <c r="EW227" s="1319">
        <v>1</v>
      </c>
      <c r="EX227" s="1319">
        <v>49</v>
      </c>
    </row>
    <row r="228" spans="3:154" ht="63.95" customHeight="1" x14ac:dyDescent="0.2">
      <c r="C228" s="1156" t="s">
        <v>693</v>
      </c>
      <c r="D228" s="1156" t="s">
        <v>5278</v>
      </c>
      <c r="E228" s="1104" t="s">
        <v>365</v>
      </c>
      <c r="F228" s="1104" t="s">
        <v>450</v>
      </c>
      <c r="G228" s="1109" t="s">
        <v>3823</v>
      </c>
      <c r="H228" s="1104" t="s">
        <v>1035</v>
      </c>
      <c r="I228" s="1104" t="s">
        <v>3824</v>
      </c>
      <c r="J228" s="1110">
        <v>2018</v>
      </c>
      <c r="K228" s="1105">
        <v>43979</v>
      </c>
      <c r="L228" s="1105">
        <v>44073</v>
      </c>
      <c r="M228" s="1369">
        <f t="shared" si="29"/>
        <v>94</v>
      </c>
      <c r="N228" s="1105"/>
      <c r="O228" s="1105"/>
      <c r="P228" s="1105"/>
      <c r="Q228" s="1105"/>
      <c r="R228" s="1105"/>
      <c r="S228" s="1105"/>
      <c r="T228" s="1105"/>
      <c r="U228" s="1105"/>
      <c r="V228" s="1105"/>
      <c r="W228" s="1105"/>
      <c r="X228" s="1105"/>
      <c r="Y228" s="1109" t="s">
        <v>3827</v>
      </c>
      <c r="Z228" s="1127" t="s">
        <v>3828</v>
      </c>
      <c r="AA228" s="1104" t="s">
        <v>3829</v>
      </c>
      <c r="AB228" s="1104" t="s">
        <v>3830</v>
      </c>
      <c r="AC228" s="1104" t="s">
        <v>3831</v>
      </c>
      <c r="AD228" s="1109" t="s">
        <v>3832</v>
      </c>
      <c r="AE228" s="1112">
        <v>1.423</v>
      </c>
      <c r="AF228" s="1113">
        <f t="shared" si="25"/>
        <v>1.423</v>
      </c>
      <c r="AG228" s="1113">
        <f t="shared" si="26"/>
        <v>0</v>
      </c>
      <c r="AH228" s="1112"/>
      <c r="AI228" s="1113"/>
      <c r="AJ228" s="1113"/>
      <c r="AK228" s="1112">
        <v>0.5</v>
      </c>
      <c r="AL228" s="1114">
        <v>0.54200000000000004</v>
      </c>
      <c r="AM228" s="1114">
        <v>2.8000000000000001E-2</v>
      </c>
      <c r="AN228" s="1112">
        <v>0.92300000000000004</v>
      </c>
      <c r="AO228" s="1114">
        <v>0.01</v>
      </c>
      <c r="AP228" s="1112"/>
      <c r="AQ228" s="1114"/>
      <c r="AR228" s="1112"/>
      <c r="AS228" s="1114"/>
      <c r="AT228" s="1114"/>
      <c r="AU228" s="1114"/>
      <c r="AV228" s="1114"/>
      <c r="AW228" s="1114" t="s">
        <v>500</v>
      </c>
      <c r="AX228" s="1114" t="s">
        <v>3833</v>
      </c>
      <c r="AY228" s="1109"/>
      <c r="AZ228" s="1114"/>
      <c r="BA228" s="1113">
        <v>0.55000000000000004</v>
      </c>
      <c r="BB228" s="1250">
        <v>3.0000000000000001E-5</v>
      </c>
      <c r="BC228" s="1115">
        <v>1</v>
      </c>
      <c r="BD228" s="1115">
        <v>1</v>
      </c>
      <c r="BE228" s="1116">
        <v>1</v>
      </c>
      <c r="BF228" s="1115"/>
      <c r="BG228" s="1115"/>
      <c r="BH228" s="1115"/>
      <c r="BI228" s="1115"/>
      <c r="BJ228" s="1115"/>
      <c r="BK228" s="1115"/>
      <c r="BL228" s="1115"/>
      <c r="BM228" s="1115"/>
      <c r="BN228" s="1115"/>
      <c r="BO228" s="1115"/>
      <c r="BP228" s="1115">
        <v>1</v>
      </c>
      <c r="BQ228" s="1115"/>
      <c r="BR228" s="1115"/>
      <c r="BS228" s="1115"/>
      <c r="BT228" s="1115"/>
      <c r="BU228" s="1115"/>
      <c r="BV228" s="1115"/>
      <c r="BW228" s="1115"/>
      <c r="BX228" s="1115"/>
      <c r="BY228" s="1115"/>
      <c r="BZ228" s="1115"/>
      <c r="CA228" s="1117">
        <v>1</v>
      </c>
      <c r="CB228" s="1117">
        <f t="shared" si="27"/>
        <v>1</v>
      </c>
      <c r="CC228" s="1117">
        <f t="shared" si="28"/>
        <v>0</v>
      </c>
      <c r="CD228" s="1113">
        <v>0.108</v>
      </c>
      <c r="CE228" s="1109" t="s">
        <v>3834</v>
      </c>
      <c r="CF228" s="1109"/>
      <c r="CG228" s="1109">
        <v>1.6E-2</v>
      </c>
      <c r="CH228" s="1113">
        <v>7.2930000000000001</v>
      </c>
      <c r="CI228" s="1139" t="s">
        <v>3835</v>
      </c>
      <c r="CJ228" s="1104" t="s">
        <v>500</v>
      </c>
      <c r="CK228" s="1104" t="s">
        <v>3836</v>
      </c>
      <c r="CL228" s="1104" t="s">
        <v>2842</v>
      </c>
      <c r="CM228" s="1115">
        <v>1</v>
      </c>
      <c r="CN228" s="1115">
        <v>0</v>
      </c>
      <c r="CO228" s="1115">
        <v>1</v>
      </c>
      <c r="CP228" s="1109" t="s">
        <v>504</v>
      </c>
      <c r="CQ228" s="1109"/>
      <c r="CR228" s="1115"/>
      <c r="CS228" s="1109" t="s">
        <v>500</v>
      </c>
      <c r="CT228" s="1109" t="s">
        <v>935</v>
      </c>
      <c r="CU228" s="1115">
        <v>30</v>
      </c>
      <c r="CV228" s="1115" t="s">
        <v>504</v>
      </c>
      <c r="CW228" s="1115"/>
      <c r="CX228" s="1115"/>
      <c r="CY228" s="1115" t="s">
        <v>504</v>
      </c>
      <c r="CZ228" s="1115"/>
      <c r="DA228" s="1115"/>
      <c r="DB228" s="1109" t="s">
        <v>504</v>
      </c>
      <c r="DC228" s="1109"/>
      <c r="DD228" s="1115"/>
      <c r="DE228" s="1109" t="s">
        <v>504</v>
      </c>
      <c r="DF228" s="1109"/>
      <c r="DG228" s="1115"/>
      <c r="DH228" s="1109" t="s">
        <v>504</v>
      </c>
      <c r="DI228" s="1109"/>
      <c r="DJ228" s="1115"/>
      <c r="DK228" s="1109"/>
      <c r="DL228" s="1109"/>
      <c r="DM228" s="1115"/>
      <c r="DN228" s="1109" t="s">
        <v>504</v>
      </c>
      <c r="DO228" s="1109"/>
      <c r="DP228" s="1115"/>
      <c r="DQ228" s="1109" t="s">
        <v>504</v>
      </c>
      <c r="DR228" s="1109"/>
      <c r="DS228" s="1115"/>
      <c r="DT228" s="1115" t="s">
        <v>504</v>
      </c>
      <c r="DU228" s="1115"/>
      <c r="DV228" s="1115"/>
      <c r="DW228" s="1109" t="s">
        <v>504</v>
      </c>
      <c r="DX228" s="1109"/>
      <c r="DY228" s="1115"/>
      <c r="DZ228" s="1109" t="s">
        <v>504</v>
      </c>
      <c r="EA228" s="1109"/>
      <c r="EB228" s="1115"/>
      <c r="EC228" s="1109" t="s">
        <v>504</v>
      </c>
      <c r="ED228" s="1109"/>
      <c r="EE228" s="1115"/>
      <c r="EF228" s="1115" t="s">
        <v>500</v>
      </c>
      <c r="EG228" s="1115" t="s">
        <v>935</v>
      </c>
      <c r="EH228" s="1115">
        <v>5</v>
      </c>
      <c r="EI228" s="1109"/>
      <c r="EJ228" s="1109"/>
      <c r="EK228" s="1115"/>
      <c r="EL228" s="1115"/>
      <c r="EM228" s="1115"/>
      <c r="EN228" s="1115"/>
      <c r="EO228" s="1109" t="s">
        <v>504</v>
      </c>
      <c r="EP228" s="1109"/>
      <c r="EQ228" s="1127" t="s">
        <v>3837</v>
      </c>
      <c r="ER228" s="1109"/>
      <c r="ES228" s="1109"/>
      <c r="ET228" s="1109" t="s">
        <v>3838</v>
      </c>
      <c r="EU228" s="1109" t="s">
        <v>3839</v>
      </c>
      <c r="EV228" s="1109" t="s">
        <v>504</v>
      </c>
      <c r="EW228" s="1109"/>
      <c r="EX228" s="1109"/>
    </row>
    <row r="229" spans="3:154" ht="63.95" customHeight="1" x14ac:dyDescent="0.2">
      <c r="C229" s="1156" t="s">
        <v>693</v>
      </c>
      <c r="D229" s="1156" t="s">
        <v>5278</v>
      </c>
      <c r="E229" s="1104" t="s">
        <v>365</v>
      </c>
      <c r="F229" s="1104" t="s">
        <v>450</v>
      </c>
      <c r="G229" s="1109" t="s">
        <v>3840</v>
      </c>
      <c r="H229" s="1109" t="s">
        <v>3841</v>
      </c>
      <c r="I229" s="1109" t="s">
        <v>3842</v>
      </c>
      <c r="J229" s="1110">
        <v>2011</v>
      </c>
      <c r="K229" s="1105">
        <v>43902</v>
      </c>
      <c r="L229" s="1105">
        <v>44196</v>
      </c>
      <c r="M229" s="1369">
        <f t="shared" si="29"/>
        <v>294</v>
      </c>
      <c r="N229" s="1105"/>
      <c r="O229" s="1105"/>
      <c r="P229" s="1105"/>
      <c r="Q229" s="1105"/>
      <c r="R229" s="1105"/>
      <c r="S229" s="1105"/>
      <c r="T229" s="1105"/>
      <c r="U229" s="1105"/>
      <c r="V229" s="1105"/>
      <c r="W229" s="1105"/>
      <c r="X229" s="1105"/>
      <c r="Y229" s="1131" t="s">
        <v>3843</v>
      </c>
      <c r="Z229" s="1131" t="s">
        <v>3844</v>
      </c>
      <c r="AA229" s="1109" t="s">
        <v>3845</v>
      </c>
      <c r="AB229" s="1109" t="s">
        <v>3846</v>
      </c>
      <c r="AC229" s="1109" t="s">
        <v>3847</v>
      </c>
      <c r="AD229" s="1109" t="s">
        <v>3848</v>
      </c>
      <c r="AE229" s="1112">
        <f>AK229+AP229</f>
        <v>60.168347570000002</v>
      </c>
      <c r="AF229" s="1113">
        <f t="shared" si="25"/>
        <v>60.168347570000002</v>
      </c>
      <c r="AG229" s="1113">
        <f t="shared" si="26"/>
        <v>0</v>
      </c>
      <c r="AH229" s="1112"/>
      <c r="AI229" s="1113"/>
      <c r="AJ229" s="1113"/>
      <c r="AK229" s="1112">
        <v>3.1239475699999999</v>
      </c>
      <c r="AL229" s="1114">
        <f>AK229/AE229</f>
        <v>5.1920115744671091E-2</v>
      </c>
      <c r="AM229" s="1114">
        <f>AK229/3751.7956</f>
        <v>8.326539883995813E-4</v>
      </c>
      <c r="AN229" s="1112"/>
      <c r="AO229" s="1114"/>
      <c r="AP229" s="1112">
        <v>57.044400000000003</v>
      </c>
      <c r="AQ229" s="1114">
        <f>AP229/AE229</f>
        <v>0.94807988425532896</v>
      </c>
      <c r="AR229" s="1112"/>
      <c r="AS229" s="1114"/>
      <c r="AT229" s="1114"/>
      <c r="AU229" s="1114"/>
      <c r="AV229" s="1114"/>
      <c r="AW229" s="1114" t="s">
        <v>500</v>
      </c>
      <c r="AX229" s="1114" t="s">
        <v>3849</v>
      </c>
      <c r="AY229" s="1114" t="s">
        <v>997</v>
      </c>
      <c r="AZ229" s="1114" t="s">
        <v>2976</v>
      </c>
      <c r="BA229" s="1113">
        <v>6.35</v>
      </c>
      <c r="BB229" s="1114">
        <f>BA229/3290.86917586</f>
        <v>1.9295814147156306E-3</v>
      </c>
      <c r="BC229" s="1115">
        <v>18</v>
      </c>
      <c r="BD229" s="1115">
        <v>8</v>
      </c>
      <c r="BE229" s="1116">
        <v>8</v>
      </c>
      <c r="BF229" s="1115"/>
      <c r="BG229" s="1115">
        <v>1</v>
      </c>
      <c r="BH229" s="1115"/>
      <c r="BI229" s="1115"/>
      <c r="BJ229" s="1115"/>
      <c r="BK229" s="1115"/>
      <c r="BL229" s="1115"/>
      <c r="BM229" s="1115">
        <v>3</v>
      </c>
      <c r="BN229" s="1115"/>
      <c r="BO229" s="1115"/>
      <c r="BP229" s="1115"/>
      <c r="BQ229" s="1115">
        <v>3</v>
      </c>
      <c r="BR229" s="1115"/>
      <c r="BS229" s="1115"/>
      <c r="BT229" s="1115"/>
      <c r="BU229" s="1115"/>
      <c r="BV229" s="1115"/>
      <c r="BW229" s="1115"/>
      <c r="BX229" s="1115"/>
      <c r="BY229" s="1115"/>
      <c r="BZ229" s="1115">
        <v>1</v>
      </c>
      <c r="CA229" s="1117">
        <f t="shared" ref="CA229:CA252" si="30">SUM(BF229:BZ229)</f>
        <v>8</v>
      </c>
      <c r="CB229" s="1117">
        <f t="shared" si="27"/>
        <v>8</v>
      </c>
      <c r="CC229" s="1117">
        <f t="shared" si="28"/>
        <v>0</v>
      </c>
      <c r="CD229" s="1137">
        <v>40.536999999999999</v>
      </c>
      <c r="CE229" s="1109"/>
      <c r="CF229" s="1109"/>
      <c r="CG229" s="1109">
        <v>100</v>
      </c>
      <c r="CH229" s="1113">
        <v>40.536999999999999</v>
      </c>
      <c r="CI229" s="1348" t="s">
        <v>3835</v>
      </c>
      <c r="CJ229" s="1109" t="s">
        <v>504</v>
      </c>
      <c r="CK229" s="1109"/>
      <c r="CL229" s="1109"/>
      <c r="CM229" s="1115"/>
      <c r="CN229" s="1115"/>
      <c r="CO229" s="1115">
        <v>1</v>
      </c>
      <c r="CP229" s="1109" t="s">
        <v>500</v>
      </c>
      <c r="CQ229" s="1109" t="s">
        <v>3850</v>
      </c>
      <c r="CR229" s="1115">
        <v>5960</v>
      </c>
      <c r="CS229" s="1109" t="s">
        <v>500</v>
      </c>
      <c r="CT229" s="1109" t="s">
        <v>935</v>
      </c>
      <c r="CU229" s="1115">
        <v>111</v>
      </c>
      <c r="CV229" s="1115" t="s">
        <v>504</v>
      </c>
      <c r="CW229" s="1115"/>
      <c r="CX229" s="1115"/>
      <c r="CY229" s="1115" t="s">
        <v>504</v>
      </c>
      <c r="CZ229" s="1115"/>
      <c r="DA229" s="1115"/>
      <c r="DB229" s="1109" t="s">
        <v>500</v>
      </c>
      <c r="DC229" s="1109" t="s">
        <v>3851</v>
      </c>
      <c r="DD229" s="1115">
        <v>1680</v>
      </c>
      <c r="DE229" s="1109" t="s">
        <v>500</v>
      </c>
      <c r="DF229" s="1109" t="s">
        <v>3852</v>
      </c>
      <c r="DG229" s="1115">
        <v>4280</v>
      </c>
      <c r="DH229" s="1109" t="s">
        <v>504</v>
      </c>
      <c r="DI229" s="1109"/>
      <c r="DJ229" s="1115"/>
      <c r="DK229" s="1109"/>
      <c r="DL229" s="1109"/>
      <c r="DM229" s="1115"/>
      <c r="DN229" s="1109" t="s">
        <v>504</v>
      </c>
      <c r="DO229" s="1109"/>
      <c r="DP229" s="1115"/>
      <c r="DQ229" s="1109" t="s">
        <v>500</v>
      </c>
      <c r="DR229" s="1109" t="s">
        <v>935</v>
      </c>
      <c r="DS229" s="1115">
        <v>111</v>
      </c>
      <c r="DT229" s="1115" t="s">
        <v>504</v>
      </c>
      <c r="DU229" s="1115"/>
      <c r="DV229" s="1115"/>
      <c r="DW229" s="1109" t="s">
        <v>504</v>
      </c>
      <c r="DX229" s="1109"/>
      <c r="DY229" s="1115"/>
      <c r="DZ229" s="1109" t="s">
        <v>504</v>
      </c>
      <c r="EA229" s="1109"/>
      <c r="EB229" s="1115"/>
      <c r="EC229" s="1109" t="s">
        <v>500</v>
      </c>
      <c r="ED229" s="1109" t="s">
        <v>3853</v>
      </c>
      <c r="EE229" s="1115"/>
      <c r="EF229" s="1115" t="s">
        <v>500</v>
      </c>
      <c r="EG229" s="1115" t="s">
        <v>3854</v>
      </c>
      <c r="EH229" s="1115">
        <v>24</v>
      </c>
      <c r="EI229" s="1109" t="s">
        <v>504</v>
      </c>
      <c r="EJ229" s="1109"/>
      <c r="EK229" s="1115"/>
      <c r="EL229" s="1115"/>
      <c r="EM229" s="1115"/>
      <c r="EN229" s="1115"/>
      <c r="EO229" s="1109" t="s">
        <v>656</v>
      </c>
      <c r="EP229" s="1109" t="s">
        <v>3855</v>
      </c>
      <c r="EQ229" s="1131" t="s">
        <v>3856</v>
      </c>
      <c r="ER229" s="1131" t="s">
        <v>3857</v>
      </c>
      <c r="ES229" s="1131" t="s">
        <v>3858</v>
      </c>
      <c r="ET229" s="1109" t="s">
        <v>3859</v>
      </c>
      <c r="EU229" s="1131" t="s">
        <v>3860</v>
      </c>
      <c r="EV229" s="1109" t="s">
        <v>3861</v>
      </c>
      <c r="EW229" s="1109">
        <v>4</v>
      </c>
      <c r="EX229" s="1109">
        <v>36</v>
      </c>
    </row>
    <row r="230" spans="3:154" ht="63.95" customHeight="1" x14ac:dyDescent="0.2">
      <c r="C230" s="1156" t="s">
        <v>693</v>
      </c>
      <c r="D230" s="1156" t="s">
        <v>5278</v>
      </c>
      <c r="E230" s="1104" t="s">
        <v>365</v>
      </c>
      <c r="F230" s="1104" t="s">
        <v>450</v>
      </c>
      <c r="G230" s="1104" t="s">
        <v>3862</v>
      </c>
      <c r="H230" s="1104" t="s">
        <v>3863</v>
      </c>
      <c r="I230" s="1109" t="s">
        <v>3864</v>
      </c>
      <c r="J230" s="1110">
        <v>2018</v>
      </c>
      <c r="K230" s="1105">
        <v>43780</v>
      </c>
      <c r="L230" s="1105">
        <v>44196</v>
      </c>
      <c r="M230" s="1369">
        <f t="shared" si="29"/>
        <v>416</v>
      </c>
      <c r="N230" s="1105"/>
      <c r="O230" s="1105"/>
      <c r="P230" s="1105"/>
      <c r="Q230" s="1105"/>
      <c r="R230" s="1105"/>
      <c r="S230" s="1105"/>
      <c r="T230" s="1105"/>
      <c r="U230" s="1105"/>
      <c r="V230" s="1105"/>
      <c r="W230" s="1105"/>
      <c r="X230" s="1105"/>
      <c r="Y230" s="1109" t="s">
        <v>3866</v>
      </c>
      <c r="Z230" s="1127" t="s">
        <v>3867</v>
      </c>
      <c r="AA230" s="1109" t="s">
        <v>3868</v>
      </c>
      <c r="AB230" s="1109" t="s">
        <v>3869</v>
      </c>
      <c r="AC230" s="1109" t="s">
        <v>3870</v>
      </c>
      <c r="AD230" s="1109" t="s">
        <v>3871</v>
      </c>
      <c r="AE230" s="1112">
        <v>3.9289999999999998</v>
      </c>
      <c r="AF230" s="1113">
        <f t="shared" si="25"/>
        <v>3.9289999999999998</v>
      </c>
      <c r="AG230" s="1113">
        <f t="shared" si="26"/>
        <v>0</v>
      </c>
      <c r="AH230" s="1112"/>
      <c r="AI230" s="1138"/>
      <c r="AJ230" s="1138"/>
      <c r="AK230" s="1112">
        <v>3.851</v>
      </c>
      <c r="AL230" s="1126">
        <v>0.98</v>
      </c>
      <c r="AM230" s="1147">
        <v>2E-3</v>
      </c>
      <c r="AN230" s="1112">
        <v>7.8E-2</v>
      </c>
      <c r="AO230" s="1126">
        <v>0.02</v>
      </c>
      <c r="AP230" s="1112"/>
      <c r="AQ230" s="1114"/>
      <c r="AR230" s="1112"/>
      <c r="AS230" s="1114"/>
      <c r="AT230" s="1114"/>
      <c r="AU230" s="1114"/>
      <c r="AV230" s="1114"/>
      <c r="AW230" s="1114" t="s">
        <v>500</v>
      </c>
      <c r="AX230" s="1114" t="s">
        <v>3872</v>
      </c>
      <c r="AY230" s="1112">
        <v>0.92701</v>
      </c>
      <c r="AZ230" s="1114">
        <v>0.19089999999999999</v>
      </c>
      <c r="BA230" s="1113">
        <v>5</v>
      </c>
      <c r="BB230" s="1114">
        <v>3.6000000000000002E-4</v>
      </c>
      <c r="BC230" s="1115">
        <v>9</v>
      </c>
      <c r="BD230" s="1115">
        <v>9</v>
      </c>
      <c r="BE230" s="1116">
        <v>7</v>
      </c>
      <c r="BF230" s="1115"/>
      <c r="BG230" s="1115"/>
      <c r="BH230" s="1115"/>
      <c r="BI230" s="1115"/>
      <c r="BJ230" s="1115"/>
      <c r="BK230" s="1115">
        <v>1</v>
      </c>
      <c r="BL230" s="1115"/>
      <c r="BM230" s="1115"/>
      <c r="BN230" s="1115"/>
      <c r="BO230" s="1115"/>
      <c r="BP230" s="1115"/>
      <c r="BQ230" s="1115"/>
      <c r="BR230" s="1115"/>
      <c r="BS230" s="1115"/>
      <c r="BT230" s="1115"/>
      <c r="BU230" s="1115">
        <v>2</v>
      </c>
      <c r="BV230" s="1115"/>
      <c r="BW230" s="1115"/>
      <c r="BX230" s="1115"/>
      <c r="BY230" s="1115"/>
      <c r="BZ230" s="1115">
        <v>4</v>
      </c>
      <c r="CA230" s="1117">
        <f t="shared" si="30"/>
        <v>7</v>
      </c>
      <c r="CB230" s="1117">
        <f t="shared" si="27"/>
        <v>7</v>
      </c>
      <c r="CC230" s="1117">
        <f t="shared" si="28"/>
        <v>0</v>
      </c>
      <c r="CD230" s="1113">
        <v>35.801000000000002</v>
      </c>
      <c r="CE230" s="1109" t="s">
        <v>3873</v>
      </c>
      <c r="CF230" s="1113" t="s">
        <v>504</v>
      </c>
      <c r="CG230" s="1114">
        <v>0.2848</v>
      </c>
      <c r="CH230" s="1113">
        <v>125.70699999999999</v>
      </c>
      <c r="CI230" s="1139" t="s">
        <v>3874</v>
      </c>
      <c r="CJ230" s="1109" t="s">
        <v>504</v>
      </c>
      <c r="CK230" s="1109" t="s">
        <v>504</v>
      </c>
      <c r="CL230" s="1109" t="s">
        <v>504</v>
      </c>
      <c r="CM230" s="1109" t="s">
        <v>504</v>
      </c>
      <c r="CN230" s="1109" t="s">
        <v>504</v>
      </c>
      <c r="CO230" s="1115">
        <v>2</v>
      </c>
      <c r="CP230" s="1109" t="s">
        <v>504</v>
      </c>
      <c r="CQ230" s="1109"/>
      <c r="CR230" s="1115"/>
      <c r="CS230" s="1109" t="s">
        <v>500</v>
      </c>
      <c r="CT230" s="1109" t="s">
        <v>2008</v>
      </c>
      <c r="CU230" s="1115"/>
      <c r="CV230" s="1115" t="s">
        <v>504</v>
      </c>
      <c r="CW230" s="1115"/>
      <c r="CX230" s="1115"/>
      <c r="CY230" s="1115" t="s">
        <v>504</v>
      </c>
      <c r="CZ230" s="1115"/>
      <c r="DA230" s="1115"/>
      <c r="DB230" s="1109" t="s">
        <v>504</v>
      </c>
      <c r="DC230" s="1109"/>
      <c r="DD230" s="1115"/>
      <c r="DE230" s="1109" t="s">
        <v>504</v>
      </c>
      <c r="DF230" s="1109"/>
      <c r="DG230" s="1115"/>
      <c r="DH230" s="1109" t="s">
        <v>504</v>
      </c>
      <c r="DI230" s="1109"/>
      <c r="DJ230" s="1115"/>
      <c r="DK230" s="1109" t="s">
        <v>504</v>
      </c>
      <c r="DL230" s="1109"/>
      <c r="DM230" s="1115"/>
      <c r="DN230" s="1109" t="s">
        <v>500</v>
      </c>
      <c r="DO230" s="1127" t="s">
        <v>3875</v>
      </c>
      <c r="DP230" s="1115">
        <v>37052</v>
      </c>
      <c r="DQ230" s="1109" t="s">
        <v>504</v>
      </c>
      <c r="DR230" s="1109"/>
      <c r="DS230" s="1115"/>
      <c r="DT230" s="1115" t="s">
        <v>504</v>
      </c>
      <c r="DU230" s="1115"/>
      <c r="DV230" s="1115"/>
      <c r="DW230" s="1109" t="s">
        <v>504</v>
      </c>
      <c r="DX230" s="1109"/>
      <c r="DY230" s="1115"/>
      <c r="DZ230" s="1109" t="s">
        <v>504</v>
      </c>
      <c r="EA230" s="1109"/>
      <c r="EB230" s="1115"/>
      <c r="EC230" s="1109" t="s">
        <v>504</v>
      </c>
      <c r="ED230" s="1109"/>
      <c r="EE230" s="1115"/>
      <c r="EF230" s="1115" t="s">
        <v>500</v>
      </c>
      <c r="EG230" s="1115" t="s">
        <v>3876</v>
      </c>
      <c r="EH230" s="1115">
        <v>49</v>
      </c>
      <c r="EI230" s="1109" t="s">
        <v>504</v>
      </c>
      <c r="EJ230" s="1109"/>
      <c r="EK230" s="1115"/>
      <c r="EL230" s="1115"/>
      <c r="EM230" s="1115"/>
      <c r="EN230" s="1115"/>
      <c r="EO230" s="1109" t="s">
        <v>500</v>
      </c>
      <c r="EP230" s="1109" t="s">
        <v>3877</v>
      </c>
      <c r="EQ230" s="1127" t="s">
        <v>3878</v>
      </c>
      <c r="ER230" s="1127" t="s">
        <v>3879</v>
      </c>
      <c r="ES230" s="1109" t="s">
        <v>504</v>
      </c>
      <c r="ET230" s="1109" t="s">
        <v>3880</v>
      </c>
      <c r="EU230" s="1109" t="s">
        <v>3881</v>
      </c>
      <c r="EV230" s="1109" t="s">
        <v>500</v>
      </c>
      <c r="EW230" s="1109">
        <v>1</v>
      </c>
      <c r="EX230" s="1109">
        <v>24</v>
      </c>
    </row>
    <row r="231" spans="3:154" ht="63.95" customHeight="1" x14ac:dyDescent="0.2">
      <c r="C231" s="1156" t="s">
        <v>693</v>
      </c>
      <c r="D231" s="1156" t="s">
        <v>5278</v>
      </c>
      <c r="E231" s="1104" t="s">
        <v>365</v>
      </c>
      <c r="F231" s="1104" t="s">
        <v>450</v>
      </c>
      <c r="G231" s="1109" t="s">
        <v>3882</v>
      </c>
      <c r="H231" s="1109" t="s">
        <v>3883</v>
      </c>
      <c r="I231" s="1109" t="s">
        <v>3884</v>
      </c>
      <c r="J231" s="1110">
        <v>2017</v>
      </c>
      <c r="K231" s="1105">
        <v>43628</v>
      </c>
      <c r="L231" s="1105">
        <v>44196</v>
      </c>
      <c r="M231" s="1369">
        <f t="shared" si="29"/>
        <v>568</v>
      </c>
      <c r="N231" s="1105"/>
      <c r="O231" s="1105"/>
      <c r="P231" s="1105"/>
      <c r="Q231" s="1105"/>
      <c r="R231" s="1105"/>
      <c r="S231" s="1105"/>
      <c r="T231" s="1105"/>
      <c r="U231" s="1105"/>
      <c r="V231" s="1105"/>
      <c r="W231" s="1105"/>
      <c r="X231" s="1105"/>
      <c r="Y231" s="1109" t="s">
        <v>3885</v>
      </c>
      <c r="Z231" s="1127" t="s">
        <v>3886</v>
      </c>
      <c r="AA231" s="1109" t="s">
        <v>3887</v>
      </c>
      <c r="AB231" s="1109" t="s">
        <v>3888</v>
      </c>
      <c r="AC231" s="1109" t="s">
        <v>3889</v>
      </c>
      <c r="AD231" s="1109" t="s">
        <v>3890</v>
      </c>
      <c r="AE231" s="1112">
        <v>23.561</v>
      </c>
      <c r="AF231" s="1113">
        <f t="shared" si="25"/>
        <v>23.561</v>
      </c>
      <c r="AG231" s="1113">
        <f t="shared" si="26"/>
        <v>0</v>
      </c>
      <c r="AH231" s="1112"/>
      <c r="AI231" s="1113"/>
      <c r="AJ231" s="1113"/>
      <c r="AK231" s="1112">
        <f>23.561-AN231</f>
        <v>23.530999999999999</v>
      </c>
      <c r="AL231" s="1114">
        <f>AK231/AE231</f>
        <v>0.9987267093926403</v>
      </c>
      <c r="AM231" s="1114">
        <v>8.0000000000000004E-4</v>
      </c>
      <c r="AN231" s="1112">
        <v>0.03</v>
      </c>
      <c r="AO231" s="1114">
        <f>AN231/AE231</f>
        <v>1.2732906073596197E-3</v>
      </c>
      <c r="AP231" s="1112"/>
      <c r="AQ231" s="1114"/>
      <c r="AR231" s="1112"/>
      <c r="AS231" s="1114"/>
      <c r="AT231" s="1114"/>
      <c r="AU231" s="1114"/>
      <c r="AV231" s="1114"/>
      <c r="AW231" s="1114" t="s">
        <v>500</v>
      </c>
      <c r="AX231" s="1114" t="s">
        <v>3891</v>
      </c>
      <c r="AY231" s="1116">
        <v>0.32400000000000001</v>
      </c>
      <c r="AZ231" s="1114">
        <f>AY231/AE231</f>
        <v>1.3751538559483894E-2</v>
      </c>
      <c r="BA231" s="1113">
        <v>25</v>
      </c>
      <c r="BB231" s="1114">
        <v>8.0000000000000004E-4</v>
      </c>
      <c r="BC231" s="1115">
        <v>47</v>
      </c>
      <c r="BD231" s="1115">
        <v>44</v>
      </c>
      <c r="BE231" s="1116">
        <v>7</v>
      </c>
      <c r="BF231" s="1115"/>
      <c r="BG231" s="1115"/>
      <c r="BH231" s="1115"/>
      <c r="BI231" s="1115"/>
      <c r="BJ231" s="1115"/>
      <c r="BK231" s="1115"/>
      <c r="BL231" s="1115"/>
      <c r="BM231" s="1115"/>
      <c r="BN231" s="1115">
        <v>4</v>
      </c>
      <c r="BO231" s="1115"/>
      <c r="BP231" s="1115"/>
      <c r="BQ231" s="1115">
        <v>1</v>
      </c>
      <c r="BR231" s="1115"/>
      <c r="BS231" s="1115"/>
      <c r="BT231" s="1115"/>
      <c r="BU231" s="1115"/>
      <c r="BV231" s="1115"/>
      <c r="BW231" s="1115">
        <v>1</v>
      </c>
      <c r="BX231" s="1115"/>
      <c r="BY231" s="1115"/>
      <c r="BZ231" s="1115">
        <v>1</v>
      </c>
      <c r="CA231" s="1117">
        <f t="shared" si="30"/>
        <v>7</v>
      </c>
      <c r="CB231" s="1117">
        <f t="shared" si="27"/>
        <v>7</v>
      </c>
      <c r="CC231" s="1117">
        <f t="shared" si="28"/>
        <v>0</v>
      </c>
      <c r="CD231" s="1113">
        <v>380.63200000000001</v>
      </c>
      <c r="CE231" s="1109" t="s">
        <v>3892</v>
      </c>
      <c r="CF231" s="1127" t="s">
        <v>3893</v>
      </c>
      <c r="CG231" s="1109">
        <v>100</v>
      </c>
      <c r="CH231" s="1113">
        <v>380.63200000000001</v>
      </c>
      <c r="CI231" s="1127" t="s">
        <v>3893</v>
      </c>
      <c r="CJ231" s="1109" t="s">
        <v>504</v>
      </c>
      <c r="CK231" s="1109" t="s">
        <v>465</v>
      </c>
      <c r="CL231" s="1109" t="s">
        <v>465</v>
      </c>
      <c r="CM231" s="1115" t="s">
        <v>465</v>
      </c>
      <c r="CN231" s="1115">
        <v>0</v>
      </c>
      <c r="CO231" s="1115">
        <v>2</v>
      </c>
      <c r="CP231" s="1109" t="s">
        <v>504</v>
      </c>
      <c r="CQ231" s="1109" t="s">
        <v>465</v>
      </c>
      <c r="CR231" s="1115" t="s">
        <v>465</v>
      </c>
      <c r="CS231" s="1109" t="s">
        <v>504</v>
      </c>
      <c r="CT231" s="1109" t="s">
        <v>465</v>
      </c>
      <c r="CU231" s="1115"/>
      <c r="CV231" s="1115" t="s">
        <v>504</v>
      </c>
      <c r="CW231" s="1115" t="s">
        <v>465</v>
      </c>
      <c r="CX231" s="1115" t="s">
        <v>465</v>
      </c>
      <c r="CY231" s="1115" t="s">
        <v>504</v>
      </c>
      <c r="CZ231" s="1115" t="s">
        <v>465</v>
      </c>
      <c r="DA231" s="1115" t="s">
        <v>465</v>
      </c>
      <c r="DB231" s="1109" t="s">
        <v>504</v>
      </c>
      <c r="DC231" s="1109" t="s">
        <v>465</v>
      </c>
      <c r="DD231" s="1115" t="s">
        <v>465</v>
      </c>
      <c r="DE231" s="1109" t="s">
        <v>500</v>
      </c>
      <c r="DF231" s="1109" t="s">
        <v>3894</v>
      </c>
      <c r="DG231" s="1115">
        <v>38</v>
      </c>
      <c r="DH231" s="1109"/>
      <c r="DI231" s="1109"/>
      <c r="DJ231" s="1115"/>
      <c r="DK231" s="1109" t="s">
        <v>500</v>
      </c>
      <c r="DL231" s="1109" t="s">
        <v>3895</v>
      </c>
      <c r="DM231" s="1115">
        <v>9</v>
      </c>
      <c r="DN231" s="1109" t="s">
        <v>500</v>
      </c>
      <c r="DO231" s="1109" t="s">
        <v>3896</v>
      </c>
      <c r="DP231" s="1115">
        <v>25013</v>
      </c>
      <c r="DQ231" s="1109" t="s">
        <v>504</v>
      </c>
      <c r="DR231" s="1109" t="s">
        <v>465</v>
      </c>
      <c r="DS231" s="1115" t="s">
        <v>465</v>
      </c>
      <c r="DT231" s="1115" t="s">
        <v>504</v>
      </c>
      <c r="DU231" s="1115"/>
      <c r="DV231" s="1115"/>
      <c r="DW231" s="1109" t="s">
        <v>504</v>
      </c>
      <c r="DX231" s="1109"/>
      <c r="DY231" s="1115"/>
      <c r="DZ231" s="1109" t="s">
        <v>504</v>
      </c>
      <c r="EA231" s="1109" t="s">
        <v>465</v>
      </c>
      <c r="EB231" s="1115" t="s">
        <v>465</v>
      </c>
      <c r="EC231" s="1109" t="s">
        <v>504</v>
      </c>
      <c r="ED231" s="1109" t="s">
        <v>465</v>
      </c>
      <c r="EE231" s="1115" t="s">
        <v>465</v>
      </c>
      <c r="EF231" s="1115" t="s">
        <v>500</v>
      </c>
      <c r="EG231" s="1115" t="s">
        <v>3897</v>
      </c>
      <c r="EH231" s="1115">
        <v>16</v>
      </c>
      <c r="EI231" s="1109" t="s">
        <v>504</v>
      </c>
      <c r="EJ231" s="1109" t="s">
        <v>465</v>
      </c>
      <c r="EK231" s="1115" t="s">
        <v>465</v>
      </c>
      <c r="EL231" s="1115"/>
      <c r="EM231" s="1115"/>
      <c r="EN231" s="1115"/>
      <c r="EO231" s="1109" t="s">
        <v>500</v>
      </c>
      <c r="EP231" s="1109" t="s">
        <v>3898</v>
      </c>
      <c r="EQ231" s="1109" t="s">
        <v>3899</v>
      </c>
      <c r="ER231" s="1109" t="s">
        <v>3900</v>
      </c>
      <c r="ES231" s="1127" t="s">
        <v>3901</v>
      </c>
      <c r="ET231" s="1109" t="s">
        <v>3902</v>
      </c>
      <c r="EU231" s="1109" t="s">
        <v>3903</v>
      </c>
      <c r="EV231" s="1109" t="s">
        <v>3904</v>
      </c>
      <c r="EW231" s="1109">
        <v>8</v>
      </c>
      <c r="EX231" s="1109">
        <v>24</v>
      </c>
    </row>
    <row r="232" spans="3:154" ht="63.95" customHeight="1" x14ac:dyDescent="0.2">
      <c r="C232" s="1156" t="s">
        <v>693</v>
      </c>
      <c r="D232" s="1156" t="s">
        <v>5278</v>
      </c>
      <c r="E232" s="1104" t="s">
        <v>365</v>
      </c>
      <c r="F232" s="1104" t="s">
        <v>450</v>
      </c>
      <c r="G232" s="1109" t="s">
        <v>3905</v>
      </c>
      <c r="H232" s="1109" t="s">
        <v>3906</v>
      </c>
      <c r="I232" s="1109" t="s">
        <v>3907</v>
      </c>
      <c r="J232" s="1110" t="s">
        <v>3908</v>
      </c>
      <c r="K232" s="1105">
        <v>43815</v>
      </c>
      <c r="L232" s="1105">
        <v>44196</v>
      </c>
      <c r="M232" s="1369">
        <f t="shared" si="29"/>
        <v>381</v>
      </c>
      <c r="N232" s="1105"/>
      <c r="O232" s="1105"/>
      <c r="P232" s="1105"/>
      <c r="Q232" s="1105"/>
      <c r="R232" s="1105"/>
      <c r="S232" s="1105"/>
      <c r="T232" s="1105"/>
      <c r="U232" s="1105"/>
      <c r="V232" s="1105"/>
      <c r="W232" s="1105"/>
      <c r="X232" s="1105"/>
      <c r="Y232" s="1109" t="s">
        <v>3909</v>
      </c>
      <c r="Z232" s="1131" t="s">
        <v>3910</v>
      </c>
      <c r="AA232" s="1109" t="s">
        <v>3911</v>
      </c>
      <c r="AB232" s="1109" t="s">
        <v>3912</v>
      </c>
      <c r="AC232" s="1135" t="s">
        <v>2897</v>
      </c>
      <c r="AD232" s="1109" t="s">
        <v>3913</v>
      </c>
      <c r="AE232" s="1112">
        <v>8.2859999999999996</v>
      </c>
      <c r="AF232" s="1113">
        <f t="shared" si="25"/>
        <v>8.2873999999999999</v>
      </c>
      <c r="AG232" s="1113">
        <f t="shared" si="26"/>
        <v>1.4000000000002899E-3</v>
      </c>
      <c r="AH232" s="1112"/>
      <c r="AI232" s="1116"/>
      <c r="AJ232" s="1116"/>
      <c r="AK232" s="1112">
        <v>6.97</v>
      </c>
      <c r="AL232" s="1116">
        <f>(AK232/AE232)*100</f>
        <v>84.117789041757192</v>
      </c>
      <c r="AM232" s="1116">
        <f>AE232/3169.4*100</f>
        <v>0.26143749605603583</v>
      </c>
      <c r="AN232" s="1112">
        <v>0.76600000000000001</v>
      </c>
      <c r="AO232" s="1116">
        <v>9.2899999999999991</v>
      </c>
      <c r="AP232" s="1112">
        <v>0.5514</v>
      </c>
      <c r="AQ232" s="1116">
        <f>(AP232/AE232)*100</f>
        <v>6.6545981173062998</v>
      </c>
      <c r="AR232" s="1112"/>
      <c r="AS232" s="1116"/>
      <c r="AT232" s="1116"/>
      <c r="AU232" s="1116"/>
      <c r="AV232" s="1116"/>
      <c r="AW232" s="1114" t="s">
        <v>500</v>
      </c>
      <c r="AX232" s="1114" t="s">
        <v>3914</v>
      </c>
      <c r="AY232" s="1205">
        <v>0.42505045000000002</v>
      </c>
      <c r="AZ232" s="1116">
        <f>(AY232/AE232)*100</f>
        <v>5.129742336471157</v>
      </c>
      <c r="BA232" s="1205">
        <v>5</v>
      </c>
      <c r="BB232" s="1116">
        <f>BA232/3160.79*100</f>
        <v>0.15818830102600931</v>
      </c>
      <c r="BC232" s="1115">
        <v>8</v>
      </c>
      <c r="BD232" s="1115">
        <v>8</v>
      </c>
      <c r="BE232" s="1116">
        <v>8</v>
      </c>
      <c r="BF232" s="1115"/>
      <c r="BG232" s="1115"/>
      <c r="BH232" s="1115"/>
      <c r="BI232" s="1115"/>
      <c r="BJ232" s="1115"/>
      <c r="BK232" s="1115"/>
      <c r="BL232" s="1115">
        <v>8</v>
      </c>
      <c r="BM232" s="1115"/>
      <c r="BN232" s="1115"/>
      <c r="BO232" s="1115"/>
      <c r="BP232" s="1115"/>
      <c r="BQ232" s="1115"/>
      <c r="BR232" s="1115"/>
      <c r="BS232" s="1115"/>
      <c r="BT232" s="1115"/>
      <c r="BU232" s="1115"/>
      <c r="BV232" s="1115"/>
      <c r="BW232" s="1115"/>
      <c r="BX232" s="1115"/>
      <c r="BY232" s="1115"/>
      <c r="BZ232" s="1115"/>
      <c r="CA232" s="1117">
        <f t="shared" si="30"/>
        <v>8</v>
      </c>
      <c r="CB232" s="1117">
        <f t="shared" si="27"/>
        <v>8</v>
      </c>
      <c r="CC232" s="1117">
        <f t="shared" si="28"/>
        <v>0</v>
      </c>
      <c r="CD232" s="1138">
        <v>4.66</v>
      </c>
      <c r="CE232" s="1109"/>
      <c r="CF232" s="1109"/>
      <c r="CG232" s="1116">
        <f>CD232/CH232</f>
        <v>0.10639269406392696</v>
      </c>
      <c r="CH232" s="1113">
        <v>43.8</v>
      </c>
      <c r="CI232" s="1149" t="s">
        <v>3915</v>
      </c>
      <c r="CJ232" s="1109" t="s">
        <v>504</v>
      </c>
      <c r="CK232" s="1109"/>
      <c r="CL232" s="1109"/>
      <c r="CM232" s="1115"/>
      <c r="CN232" s="1115"/>
      <c r="CO232" s="1115">
        <v>2</v>
      </c>
      <c r="CP232" s="1109" t="s">
        <v>500</v>
      </c>
      <c r="CQ232" s="1109" t="s">
        <v>3916</v>
      </c>
      <c r="CR232" s="1115">
        <v>4.8</v>
      </c>
      <c r="CS232" s="1109" t="s">
        <v>500</v>
      </c>
      <c r="CT232" s="1109"/>
      <c r="CU232" s="1109">
        <v>218</v>
      </c>
      <c r="CV232" s="1115" t="s">
        <v>504</v>
      </c>
      <c r="CW232" s="1115"/>
      <c r="CX232" s="1115"/>
      <c r="CY232" s="1115" t="s">
        <v>504</v>
      </c>
      <c r="CZ232" s="1115"/>
      <c r="DA232" s="1115"/>
      <c r="DB232" s="1109" t="s">
        <v>504</v>
      </c>
      <c r="DC232" s="1109"/>
      <c r="DD232" s="1115"/>
      <c r="DE232" s="1109" t="s">
        <v>504</v>
      </c>
      <c r="DF232" s="1109"/>
      <c r="DG232" s="1115"/>
      <c r="DH232" s="1109" t="s">
        <v>504</v>
      </c>
      <c r="DI232" s="1109"/>
      <c r="DJ232" s="1115"/>
      <c r="DK232" s="1109" t="s">
        <v>504</v>
      </c>
      <c r="DL232" s="1109"/>
      <c r="DM232" s="1115"/>
      <c r="DN232" s="1109" t="s">
        <v>500</v>
      </c>
      <c r="DO232" s="1109" t="s">
        <v>3917</v>
      </c>
      <c r="DP232" s="1115">
        <v>421</v>
      </c>
      <c r="DQ232" s="1109" t="s">
        <v>500</v>
      </c>
      <c r="DR232" s="1109" t="s">
        <v>3918</v>
      </c>
      <c r="DS232" s="1115">
        <v>852</v>
      </c>
      <c r="DT232" s="1115" t="s">
        <v>504</v>
      </c>
      <c r="DU232" s="1115"/>
      <c r="DV232" s="1115"/>
      <c r="DW232" s="1109" t="s">
        <v>504</v>
      </c>
      <c r="DX232" s="1109"/>
      <c r="DY232" s="1115"/>
      <c r="DZ232" s="1109" t="s">
        <v>504</v>
      </c>
      <c r="EA232" s="1109"/>
      <c r="EB232" s="1115"/>
      <c r="EC232" s="1109" t="s">
        <v>504</v>
      </c>
      <c r="ED232" s="1109"/>
      <c r="EE232" s="1115"/>
      <c r="EF232" s="1115" t="s">
        <v>504</v>
      </c>
      <c r="EG232" s="1115"/>
      <c r="EH232" s="1115"/>
      <c r="EI232" s="1109" t="s">
        <v>504</v>
      </c>
      <c r="EJ232" s="1109"/>
      <c r="EK232" s="1115"/>
      <c r="EL232" s="1115"/>
      <c r="EM232" s="1115"/>
      <c r="EN232" s="1115"/>
      <c r="EO232" s="1109" t="s">
        <v>504</v>
      </c>
      <c r="EP232" s="1109"/>
      <c r="EQ232" s="1109" t="s">
        <v>3919</v>
      </c>
      <c r="ER232" s="1109"/>
      <c r="ES232" s="1109"/>
      <c r="ET232" s="1131" t="s">
        <v>3920</v>
      </c>
      <c r="EU232" s="1109"/>
      <c r="EV232" s="1109" t="s">
        <v>3921</v>
      </c>
      <c r="EW232" s="1109">
        <v>1</v>
      </c>
      <c r="EX232" s="1109">
        <v>50</v>
      </c>
    </row>
    <row r="233" spans="3:154" ht="63.95" customHeight="1" x14ac:dyDescent="0.2">
      <c r="C233" s="1156" t="s">
        <v>693</v>
      </c>
      <c r="D233" s="1156" t="s">
        <v>5278</v>
      </c>
      <c r="E233" s="1104" t="s">
        <v>365</v>
      </c>
      <c r="F233" s="1104" t="s">
        <v>450</v>
      </c>
      <c r="G233" s="1109" t="s">
        <v>3216</v>
      </c>
      <c r="H233" s="1135" t="s">
        <v>3922</v>
      </c>
      <c r="I233" s="1109" t="s">
        <v>504</v>
      </c>
      <c r="J233" s="1110">
        <v>2018</v>
      </c>
      <c r="K233" s="1105">
        <v>43805</v>
      </c>
      <c r="L233" s="1105">
        <v>43888</v>
      </c>
      <c r="M233" s="1369">
        <f t="shared" si="29"/>
        <v>83</v>
      </c>
      <c r="N233" s="1105"/>
      <c r="O233" s="1105"/>
      <c r="P233" s="1105"/>
      <c r="Q233" s="1105"/>
      <c r="R233" s="1105"/>
      <c r="S233" s="1105"/>
      <c r="T233" s="1105"/>
      <c r="U233" s="1105"/>
      <c r="V233" s="1105"/>
      <c r="W233" s="1105"/>
      <c r="X233" s="1105"/>
      <c r="Y233" s="1135" t="s">
        <v>3923</v>
      </c>
      <c r="Z233" s="1127" t="s">
        <v>3924</v>
      </c>
      <c r="AA233" s="1135" t="s">
        <v>3925</v>
      </c>
      <c r="AB233" s="1135" t="s">
        <v>3926</v>
      </c>
      <c r="AC233" s="1135" t="s">
        <v>3927</v>
      </c>
      <c r="AD233" s="1135" t="s">
        <v>3928</v>
      </c>
      <c r="AE233" s="1136">
        <v>11.175000000000001</v>
      </c>
      <c r="AF233" s="1113">
        <f t="shared" si="25"/>
        <v>11.1754</v>
      </c>
      <c r="AG233" s="1113">
        <f t="shared" si="26"/>
        <v>3.9999999999906777E-4</v>
      </c>
      <c r="AH233" s="1136"/>
      <c r="AI233" s="1137"/>
      <c r="AJ233" s="1137"/>
      <c r="AK233" s="1136">
        <v>10.31</v>
      </c>
      <c r="AL233" s="1137">
        <v>61</v>
      </c>
      <c r="AM233" s="1137">
        <v>0.22</v>
      </c>
      <c r="AN233" s="1136">
        <v>0.6</v>
      </c>
      <c r="AO233" s="1137">
        <v>3.6</v>
      </c>
      <c r="AP233" s="1136">
        <v>0.26540000000000002</v>
      </c>
      <c r="AQ233" s="1137">
        <v>1.58</v>
      </c>
      <c r="AR233" s="1136"/>
      <c r="AS233" s="1137"/>
      <c r="AT233" s="1137"/>
      <c r="AU233" s="1137"/>
      <c r="AV233" s="1137"/>
      <c r="AW233" s="1137" t="s">
        <v>471</v>
      </c>
      <c r="AX233" s="1135" t="s">
        <v>3929</v>
      </c>
      <c r="AY233" s="1137">
        <v>5.58</v>
      </c>
      <c r="AZ233" s="1137">
        <v>33.299999999999997</v>
      </c>
      <c r="BA233" s="1138">
        <v>5</v>
      </c>
      <c r="BB233" s="1137">
        <v>0.1</v>
      </c>
      <c r="BC233" s="1115">
        <v>5</v>
      </c>
      <c r="BD233" s="1115">
        <v>4</v>
      </c>
      <c r="BE233" s="1116">
        <v>4</v>
      </c>
      <c r="BF233" s="1115"/>
      <c r="BG233" s="1115"/>
      <c r="BH233" s="1115"/>
      <c r="BI233" s="1115"/>
      <c r="BJ233" s="1115"/>
      <c r="BK233" s="1115"/>
      <c r="BL233" s="1115"/>
      <c r="BM233" s="1115"/>
      <c r="BN233" s="1115"/>
      <c r="BO233" s="1115"/>
      <c r="BP233" s="1115"/>
      <c r="BQ233" s="1115">
        <v>4</v>
      </c>
      <c r="BR233" s="1115"/>
      <c r="BS233" s="1115"/>
      <c r="BT233" s="1115"/>
      <c r="BU233" s="1115"/>
      <c r="BV233" s="1115"/>
      <c r="BW233" s="1115"/>
      <c r="BX233" s="1115"/>
      <c r="BY233" s="1115"/>
      <c r="BZ233" s="1115"/>
      <c r="CA233" s="1117">
        <f t="shared" si="30"/>
        <v>4</v>
      </c>
      <c r="CB233" s="1117">
        <f t="shared" si="27"/>
        <v>4</v>
      </c>
      <c r="CC233" s="1117">
        <f t="shared" si="28"/>
        <v>0</v>
      </c>
      <c r="CD233" s="1113">
        <v>6.09</v>
      </c>
      <c r="CE233" s="1109" t="s">
        <v>3930</v>
      </c>
      <c r="CF233" s="1109" t="s">
        <v>504</v>
      </c>
      <c r="CG233" s="1109">
        <v>21.7</v>
      </c>
      <c r="CH233" s="1109">
        <v>28.190999999999999</v>
      </c>
      <c r="CI233" s="1127" t="s">
        <v>3835</v>
      </c>
      <c r="CJ233" s="1109" t="s">
        <v>504</v>
      </c>
      <c r="CK233" s="1109"/>
      <c r="CL233" s="1109"/>
      <c r="CM233" s="1115"/>
      <c r="CN233" s="1115"/>
      <c r="CO233" s="1115">
        <v>1</v>
      </c>
      <c r="CP233" s="1109" t="s">
        <v>500</v>
      </c>
      <c r="CQ233" s="1109" t="s">
        <v>3931</v>
      </c>
      <c r="CR233" s="1115">
        <v>1314</v>
      </c>
      <c r="CS233" s="1109" t="s">
        <v>500</v>
      </c>
      <c r="CT233" s="1109" t="s">
        <v>3932</v>
      </c>
      <c r="CU233" s="1115">
        <v>1020</v>
      </c>
      <c r="CV233" s="1115" t="s">
        <v>500</v>
      </c>
      <c r="CW233" s="1115" t="s">
        <v>3932</v>
      </c>
      <c r="CX233" s="1115">
        <v>107</v>
      </c>
      <c r="CY233" s="1115" t="s">
        <v>504</v>
      </c>
      <c r="CZ233" s="1115"/>
      <c r="DA233" s="1115"/>
      <c r="DB233" s="1109" t="s">
        <v>504</v>
      </c>
      <c r="DC233" s="1109"/>
      <c r="DD233" s="1115"/>
      <c r="DE233" s="1109" t="s">
        <v>504</v>
      </c>
      <c r="DF233" s="1109"/>
      <c r="DG233" s="1115"/>
      <c r="DH233" s="1109" t="s">
        <v>504</v>
      </c>
      <c r="DI233" s="1109"/>
      <c r="DJ233" s="1115"/>
      <c r="DK233" s="1109" t="s">
        <v>504</v>
      </c>
      <c r="DL233" s="1109"/>
      <c r="DM233" s="1115"/>
      <c r="DN233" s="1109" t="s">
        <v>504</v>
      </c>
      <c r="DO233" s="1109"/>
      <c r="DP233" s="1115"/>
      <c r="DQ233" s="1109" t="s">
        <v>504</v>
      </c>
      <c r="DR233" s="1109"/>
      <c r="DS233" s="1115"/>
      <c r="DT233" s="1115" t="s">
        <v>504</v>
      </c>
      <c r="DU233" s="1115"/>
      <c r="DV233" s="1115"/>
      <c r="DW233" s="1109" t="s">
        <v>504</v>
      </c>
      <c r="DX233" s="1109"/>
      <c r="DY233" s="1115"/>
      <c r="DZ233" s="1109" t="s">
        <v>504</v>
      </c>
      <c r="EA233" s="1109"/>
      <c r="EB233" s="1115"/>
      <c r="EC233" s="1109" t="s">
        <v>504</v>
      </c>
      <c r="ED233" s="1109"/>
      <c r="EE233" s="1115"/>
      <c r="EF233" s="1115" t="s">
        <v>500</v>
      </c>
      <c r="EG233" s="1115" t="s">
        <v>3933</v>
      </c>
      <c r="EH233" s="1115">
        <v>21</v>
      </c>
      <c r="EI233" s="1109"/>
      <c r="EJ233" s="1109"/>
      <c r="EK233" s="1115"/>
      <c r="EL233" s="1115"/>
      <c r="EM233" s="1115"/>
      <c r="EN233" s="1115"/>
      <c r="EO233" s="1109" t="s">
        <v>504</v>
      </c>
      <c r="EP233" s="1109"/>
      <c r="EQ233" s="1127" t="s">
        <v>3934</v>
      </c>
      <c r="ER233" s="1109" t="s">
        <v>3935</v>
      </c>
      <c r="ES233" s="1109" t="s">
        <v>504</v>
      </c>
      <c r="ET233" s="1109" t="s">
        <v>3936</v>
      </c>
      <c r="EU233" s="1109" t="s">
        <v>3937</v>
      </c>
      <c r="EV233" s="1109" t="s">
        <v>3938</v>
      </c>
      <c r="EW233" s="1109">
        <v>17</v>
      </c>
      <c r="EX233" s="1109">
        <v>153</v>
      </c>
    </row>
    <row r="234" spans="3:154" ht="63.95" customHeight="1" x14ac:dyDescent="0.2">
      <c r="C234" s="1156" t="s">
        <v>693</v>
      </c>
      <c r="D234" s="1156" t="s">
        <v>5278</v>
      </c>
      <c r="E234" s="1104" t="s">
        <v>365</v>
      </c>
      <c r="F234" s="1104" t="s">
        <v>450</v>
      </c>
      <c r="G234" s="1109" t="s">
        <v>3939</v>
      </c>
      <c r="H234" s="1109" t="s">
        <v>3940</v>
      </c>
      <c r="I234" s="1104" t="s">
        <v>3941</v>
      </c>
      <c r="J234" s="1109" t="s">
        <v>3908</v>
      </c>
      <c r="K234" s="1108">
        <v>43930</v>
      </c>
      <c r="L234" s="1108">
        <v>44196</v>
      </c>
      <c r="M234" s="1369">
        <f t="shared" si="29"/>
        <v>266</v>
      </c>
      <c r="N234" s="1108"/>
      <c r="O234" s="1108"/>
      <c r="P234" s="1108"/>
      <c r="Q234" s="1108"/>
      <c r="R234" s="1108"/>
      <c r="S234" s="1108"/>
      <c r="T234" s="1108"/>
      <c r="U234" s="1108"/>
      <c r="V234" s="1108"/>
      <c r="W234" s="1108"/>
      <c r="X234" s="1108"/>
      <c r="Y234" s="1104" t="s">
        <v>3942</v>
      </c>
      <c r="Z234" s="1127" t="s">
        <v>3943</v>
      </c>
      <c r="AA234" s="1109" t="s">
        <v>3944</v>
      </c>
      <c r="AB234" s="1109" t="s">
        <v>3944</v>
      </c>
      <c r="AC234" s="1109" t="s">
        <v>622</v>
      </c>
      <c r="AD234" s="1109" t="s">
        <v>3944</v>
      </c>
      <c r="AE234" s="1349">
        <v>9.25</v>
      </c>
      <c r="AF234" s="1113">
        <f t="shared" si="25"/>
        <v>9.25</v>
      </c>
      <c r="AG234" s="1113">
        <f t="shared" si="26"/>
        <v>0</v>
      </c>
      <c r="AH234" s="1349"/>
      <c r="AI234" s="1350"/>
      <c r="AJ234" s="1350"/>
      <c r="AK234" s="1349">
        <v>9</v>
      </c>
      <c r="AL234" s="1110">
        <v>97.29</v>
      </c>
      <c r="AM234" s="1109">
        <v>0.17</v>
      </c>
      <c r="AN234" s="1349">
        <v>0.25</v>
      </c>
      <c r="AO234" s="1110">
        <v>3</v>
      </c>
      <c r="AP234" s="1112"/>
      <c r="AQ234" s="1114"/>
      <c r="AR234" s="1112"/>
      <c r="AS234" s="1114"/>
      <c r="AT234" s="1114"/>
      <c r="AU234" s="1114"/>
      <c r="AV234" s="1114"/>
      <c r="AW234" s="1114" t="s">
        <v>500</v>
      </c>
      <c r="AX234" s="1109" t="s">
        <v>3945</v>
      </c>
      <c r="AY234" s="1114"/>
      <c r="AZ234" s="1114"/>
      <c r="BA234" s="1350">
        <v>5</v>
      </c>
      <c r="BB234" s="1116">
        <v>0.13</v>
      </c>
      <c r="BC234" s="1115">
        <v>3</v>
      </c>
      <c r="BD234" s="1115">
        <v>3</v>
      </c>
      <c r="BE234" s="1116">
        <v>2</v>
      </c>
      <c r="BF234" s="1115"/>
      <c r="BG234" s="1115"/>
      <c r="BH234" s="1115"/>
      <c r="BI234" s="1115"/>
      <c r="BJ234" s="1115"/>
      <c r="BK234" s="1115"/>
      <c r="BL234" s="1115"/>
      <c r="BM234" s="1115"/>
      <c r="BN234" s="1115"/>
      <c r="BO234" s="1115">
        <v>1</v>
      </c>
      <c r="BP234" s="1115"/>
      <c r="BQ234" s="1115">
        <v>1</v>
      </c>
      <c r="BR234" s="1115"/>
      <c r="BS234" s="1115"/>
      <c r="BT234" s="1115"/>
      <c r="BU234" s="1115"/>
      <c r="BV234" s="1115"/>
      <c r="BW234" s="1115"/>
      <c r="BX234" s="1115"/>
      <c r="BY234" s="1115"/>
      <c r="BZ234" s="1115"/>
      <c r="CA234" s="1117">
        <f t="shared" si="30"/>
        <v>2</v>
      </c>
      <c r="CB234" s="1117">
        <f t="shared" si="27"/>
        <v>2</v>
      </c>
      <c r="CC234" s="1117">
        <f t="shared" si="28"/>
        <v>0</v>
      </c>
      <c r="CD234" s="1113" t="s">
        <v>701</v>
      </c>
      <c r="CE234" s="1109" t="s">
        <v>702</v>
      </c>
      <c r="CF234" s="1109"/>
      <c r="CG234" s="1109">
        <v>100</v>
      </c>
      <c r="CH234" s="1113">
        <v>39.57</v>
      </c>
      <c r="CI234" s="1127" t="s">
        <v>3835</v>
      </c>
      <c r="CJ234" s="1109" t="s">
        <v>504</v>
      </c>
      <c r="CK234" s="1109"/>
      <c r="CL234" s="1109"/>
      <c r="CM234" s="1115"/>
      <c r="CN234" s="1115"/>
      <c r="CO234" s="1115">
        <v>14</v>
      </c>
      <c r="CP234" s="1109" t="s">
        <v>500</v>
      </c>
      <c r="CQ234" s="1109" t="s">
        <v>3946</v>
      </c>
      <c r="CR234" s="1115">
        <v>223</v>
      </c>
      <c r="CS234" s="1109" t="s">
        <v>500</v>
      </c>
      <c r="CT234" s="1109" t="s">
        <v>2724</v>
      </c>
      <c r="CU234" s="1109">
        <v>3</v>
      </c>
      <c r="CV234" s="1109" t="s">
        <v>504</v>
      </c>
      <c r="CW234" s="1115"/>
      <c r="CX234" s="1115"/>
      <c r="CY234" s="1109" t="s">
        <v>504</v>
      </c>
      <c r="CZ234" s="1115"/>
      <c r="DA234" s="1115"/>
      <c r="DB234" s="1109" t="s">
        <v>504</v>
      </c>
      <c r="DC234" s="1109"/>
      <c r="DD234" s="1115"/>
      <c r="DE234" s="1109" t="s">
        <v>504</v>
      </c>
      <c r="DF234" s="1109"/>
      <c r="DG234" s="1115"/>
      <c r="DH234" s="1109" t="s">
        <v>504</v>
      </c>
      <c r="DI234" s="1109"/>
      <c r="DJ234" s="1115"/>
      <c r="DK234" s="1109" t="s">
        <v>504</v>
      </c>
      <c r="DL234" s="1109"/>
      <c r="DM234" s="1115"/>
      <c r="DN234" s="1109" t="s">
        <v>500</v>
      </c>
      <c r="DO234" s="1109" t="s">
        <v>3947</v>
      </c>
      <c r="DP234" s="1109">
        <v>1673</v>
      </c>
      <c r="DQ234" s="1109" t="s">
        <v>504</v>
      </c>
      <c r="DR234" s="1109"/>
      <c r="DS234" s="1115"/>
      <c r="DT234" s="1109" t="s">
        <v>504</v>
      </c>
      <c r="DU234" s="1115"/>
      <c r="DV234" s="1115"/>
      <c r="DW234" s="1109" t="s">
        <v>504</v>
      </c>
      <c r="DX234" s="1109"/>
      <c r="DY234" s="1115"/>
      <c r="DZ234" s="1109" t="s">
        <v>504</v>
      </c>
      <c r="EA234" s="1109"/>
      <c r="EB234" s="1115"/>
      <c r="EC234" s="1109" t="s">
        <v>504</v>
      </c>
      <c r="ED234" s="1109"/>
      <c r="EE234" s="1115"/>
      <c r="EF234" s="1109" t="s">
        <v>504</v>
      </c>
      <c r="EG234" s="1115"/>
      <c r="EH234" s="1115"/>
      <c r="EI234" s="1109" t="s">
        <v>504</v>
      </c>
      <c r="EJ234" s="1109"/>
      <c r="EK234" s="1115"/>
      <c r="EL234" s="1115"/>
      <c r="EM234" s="1115"/>
      <c r="EN234" s="1115"/>
      <c r="EO234" s="1109" t="s">
        <v>504</v>
      </c>
      <c r="EP234" s="1109"/>
      <c r="EQ234" s="1127" t="s">
        <v>3948</v>
      </c>
      <c r="ER234" s="1109" t="s">
        <v>3949</v>
      </c>
      <c r="ES234" s="1109" t="s">
        <v>504</v>
      </c>
      <c r="ET234" s="1109" t="s">
        <v>3950</v>
      </c>
      <c r="EU234" s="1109" t="s">
        <v>504</v>
      </c>
      <c r="EV234" s="1109" t="s">
        <v>504</v>
      </c>
      <c r="EW234" s="1109"/>
      <c r="EX234" s="1109"/>
    </row>
    <row r="235" spans="3:154" ht="63.95" customHeight="1" x14ac:dyDescent="0.2">
      <c r="C235" s="1156" t="s">
        <v>693</v>
      </c>
      <c r="D235" s="1156" t="s">
        <v>5278</v>
      </c>
      <c r="E235" s="1104" t="s">
        <v>365</v>
      </c>
      <c r="F235" s="1104" t="s">
        <v>450</v>
      </c>
      <c r="G235" s="1109" t="s">
        <v>3951</v>
      </c>
      <c r="H235" s="1109" t="s">
        <v>3952</v>
      </c>
      <c r="I235" s="1109" t="s">
        <v>3952</v>
      </c>
      <c r="J235" s="1110">
        <v>2018</v>
      </c>
      <c r="K235" s="1105">
        <v>43831</v>
      </c>
      <c r="L235" s="1105">
        <v>43861</v>
      </c>
      <c r="M235" s="1369">
        <f t="shared" si="29"/>
        <v>30</v>
      </c>
      <c r="N235" s="1105"/>
      <c r="O235" s="1105"/>
      <c r="P235" s="1105"/>
      <c r="Q235" s="1105"/>
      <c r="R235" s="1105"/>
      <c r="S235" s="1105"/>
      <c r="T235" s="1105"/>
      <c r="U235" s="1105"/>
      <c r="V235" s="1105"/>
      <c r="W235" s="1105"/>
      <c r="X235" s="1105"/>
      <c r="Y235" s="1109" t="s">
        <v>3953</v>
      </c>
      <c r="Z235" s="1127" t="s">
        <v>3954</v>
      </c>
      <c r="AA235" s="1109" t="s">
        <v>3955</v>
      </c>
      <c r="AB235" s="1109" t="s">
        <v>3956</v>
      </c>
      <c r="AC235" s="1109" t="s">
        <v>3957</v>
      </c>
      <c r="AD235" s="1109" t="s">
        <v>3958</v>
      </c>
      <c r="AE235" s="1112">
        <v>15</v>
      </c>
      <c r="AF235" s="1113">
        <f t="shared" si="25"/>
        <v>15</v>
      </c>
      <c r="AG235" s="1113">
        <f t="shared" si="26"/>
        <v>0</v>
      </c>
      <c r="AH235" s="1112"/>
      <c r="AI235" s="1205"/>
      <c r="AJ235" s="1205"/>
      <c r="AK235" s="1112">
        <v>6.4</v>
      </c>
      <c r="AL235" s="1147">
        <f>AK235/AE235</f>
        <v>0.42666666666666669</v>
      </c>
      <c r="AM235" s="1114">
        <f>14.95/11657.9</f>
        <v>1.2823921975655993E-3</v>
      </c>
      <c r="AN235" s="1112">
        <v>8.6</v>
      </c>
      <c r="AO235" s="1147">
        <f>AN235/AE235</f>
        <v>0.57333333333333336</v>
      </c>
      <c r="AP235" s="1112"/>
      <c r="AQ235" s="1114"/>
      <c r="AR235" s="1112"/>
      <c r="AS235" s="1114"/>
      <c r="AT235" s="1114"/>
      <c r="AU235" s="1114"/>
      <c r="AV235" s="1114"/>
      <c r="AW235" s="1114" t="s">
        <v>504</v>
      </c>
      <c r="AX235" s="1114"/>
      <c r="AY235" s="1114"/>
      <c r="AZ235" s="1114"/>
      <c r="BA235" s="1113">
        <v>10</v>
      </c>
      <c r="BB235" s="1114">
        <f>BA235/9746.6</f>
        <v>1.0259988098413806E-3</v>
      </c>
      <c r="BC235" s="1115">
        <v>23</v>
      </c>
      <c r="BD235" s="1115">
        <v>23</v>
      </c>
      <c r="BE235" s="1116">
        <v>12</v>
      </c>
      <c r="BF235" s="1115"/>
      <c r="BG235" s="1115"/>
      <c r="BH235" s="1115"/>
      <c r="BI235" s="1115"/>
      <c r="BJ235" s="1115"/>
      <c r="BK235" s="1115"/>
      <c r="BL235" s="1115"/>
      <c r="BM235" s="1115"/>
      <c r="BN235" s="1115"/>
      <c r="BO235" s="1115">
        <v>2</v>
      </c>
      <c r="BP235" s="1115"/>
      <c r="BQ235" s="1115">
        <v>1</v>
      </c>
      <c r="BR235" s="1115"/>
      <c r="BS235" s="1115"/>
      <c r="BT235" s="1115"/>
      <c r="BU235" s="1115"/>
      <c r="BV235" s="1115"/>
      <c r="BW235" s="1115"/>
      <c r="BX235" s="1115"/>
      <c r="BY235" s="1115"/>
      <c r="BZ235" s="1115"/>
      <c r="CA235" s="1117">
        <f t="shared" si="30"/>
        <v>3</v>
      </c>
      <c r="CB235" s="1117">
        <f t="shared" si="27"/>
        <v>3</v>
      </c>
      <c r="CC235" s="1117">
        <f t="shared" si="28"/>
        <v>0</v>
      </c>
      <c r="CD235" s="1113">
        <v>10</v>
      </c>
      <c r="CE235" s="1109"/>
      <c r="CF235" s="1109"/>
      <c r="CG235" s="1109"/>
      <c r="CH235" s="1113">
        <v>101.46599999999999</v>
      </c>
      <c r="CI235" s="1139" t="s">
        <v>3835</v>
      </c>
      <c r="CJ235" s="1109" t="s">
        <v>504</v>
      </c>
      <c r="CK235" s="1109"/>
      <c r="CL235" s="1109"/>
      <c r="CM235" s="1115"/>
      <c r="CN235" s="1115"/>
      <c r="CO235" s="1115">
        <v>2</v>
      </c>
      <c r="CP235" s="1109" t="s">
        <v>504</v>
      </c>
      <c r="CQ235" s="1109"/>
      <c r="CR235" s="1115"/>
      <c r="CS235" s="1109" t="s">
        <v>504</v>
      </c>
      <c r="CT235" s="1109"/>
      <c r="CU235" s="1115"/>
      <c r="CV235" s="1115" t="s">
        <v>504</v>
      </c>
      <c r="CW235" s="1115"/>
      <c r="CX235" s="1115"/>
      <c r="CY235" s="1115" t="s">
        <v>504</v>
      </c>
      <c r="CZ235" s="1115"/>
      <c r="DA235" s="1115"/>
      <c r="DB235" s="1109" t="s">
        <v>504</v>
      </c>
      <c r="DC235" s="1109"/>
      <c r="DD235" s="1115"/>
      <c r="DE235" s="1109" t="s">
        <v>504</v>
      </c>
      <c r="DF235" s="1109"/>
      <c r="DG235" s="1115"/>
      <c r="DH235" s="1109" t="s">
        <v>504</v>
      </c>
      <c r="DI235" s="1109"/>
      <c r="DJ235" s="1115"/>
      <c r="DK235" s="1109" t="s">
        <v>3959</v>
      </c>
      <c r="DL235" s="1109"/>
      <c r="DM235" s="1115">
        <v>23</v>
      </c>
      <c r="DN235" s="1109" t="s">
        <v>504</v>
      </c>
      <c r="DO235" s="1109"/>
      <c r="DP235" s="1115"/>
      <c r="DQ235" s="1109" t="s">
        <v>504</v>
      </c>
      <c r="DR235" s="1109"/>
      <c r="DS235" s="1115"/>
      <c r="DT235" s="1115" t="s">
        <v>504</v>
      </c>
      <c r="DU235" s="1115"/>
      <c r="DV235" s="1115"/>
      <c r="DW235" s="1109" t="s">
        <v>504</v>
      </c>
      <c r="DX235" s="1109"/>
      <c r="DY235" s="1115"/>
      <c r="DZ235" s="1109" t="s">
        <v>504</v>
      </c>
      <c r="EA235" s="1109"/>
      <c r="EB235" s="1115"/>
      <c r="EC235" s="1109" t="s">
        <v>504</v>
      </c>
      <c r="ED235" s="1109"/>
      <c r="EE235" s="1115"/>
      <c r="EF235" s="1115" t="s">
        <v>500</v>
      </c>
      <c r="EG235" s="1219" t="s">
        <v>3960</v>
      </c>
      <c r="EH235" s="1115">
        <v>12</v>
      </c>
      <c r="EI235" s="1109" t="s">
        <v>504</v>
      </c>
      <c r="EJ235" s="1109"/>
      <c r="EK235" s="1115"/>
      <c r="EL235" s="1115"/>
      <c r="EM235" s="1115"/>
      <c r="EN235" s="1115"/>
      <c r="EO235" s="1109" t="s">
        <v>500</v>
      </c>
      <c r="EP235" s="1109" t="s">
        <v>3961</v>
      </c>
      <c r="EQ235" s="1127" t="s">
        <v>3962</v>
      </c>
      <c r="ER235" s="1127" t="s">
        <v>3963</v>
      </c>
      <c r="ES235" s="1109"/>
      <c r="ET235" s="1109"/>
      <c r="EU235" s="1109"/>
      <c r="EV235" s="1109" t="s">
        <v>504</v>
      </c>
      <c r="EW235" s="1109"/>
      <c r="EX235" s="1109"/>
    </row>
    <row r="236" spans="3:154" ht="63.95" customHeight="1" x14ac:dyDescent="0.2">
      <c r="C236" s="1156" t="s">
        <v>693</v>
      </c>
      <c r="D236" s="1156" t="s">
        <v>5278</v>
      </c>
      <c r="E236" s="1104" t="s">
        <v>365</v>
      </c>
      <c r="F236" s="1104" t="s">
        <v>450</v>
      </c>
      <c r="G236" s="1109" t="s">
        <v>3964</v>
      </c>
      <c r="H236" s="1109" t="s">
        <v>3965</v>
      </c>
      <c r="I236" s="1109" t="s">
        <v>1035</v>
      </c>
      <c r="J236" s="1110">
        <v>2018</v>
      </c>
      <c r="K236" s="1105">
        <v>43905</v>
      </c>
      <c r="L236" s="1105">
        <v>44175</v>
      </c>
      <c r="M236" s="1369">
        <f t="shared" si="29"/>
        <v>270</v>
      </c>
      <c r="N236" s="1105"/>
      <c r="O236" s="1105"/>
      <c r="P236" s="1105"/>
      <c r="Q236" s="1105"/>
      <c r="R236" s="1105"/>
      <c r="S236" s="1105"/>
      <c r="T236" s="1105"/>
      <c r="U236" s="1105"/>
      <c r="V236" s="1105"/>
      <c r="W236" s="1105"/>
      <c r="X236" s="1105"/>
      <c r="Y236" s="1109" t="s">
        <v>3966</v>
      </c>
      <c r="Z236" s="1127" t="s">
        <v>3967</v>
      </c>
      <c r="AA236" s="1109" t="s">
        <v>3968</v>
      </c>
      <c r="AB236" s="1109" t="s">
        <v>3969</v>
      </c>
      <c r="AC236" s="1109" t="s">
        <v>2135</v>
      </c>
      <c r="AD236" s="1109" t="s">
        <v>3970</v>
      </c>
      <c r="AE236" s="1112">
        <v>23.056000000000001</v>
      </c>
      <c r="AF236" s="1113">
        <f t="shared" si="25"/>
        <v>23.056440000000002</v>
      </c>
      <c r="AG236" s="1113">
        <f t="shared" si="26"/>
        <v>4.4000000000110617E-4</v>
      </c>
      <c r="AH236" s="1112"/>
      <c r="AI236" s="1113"/>
      <c r="AJ236" s="1113"/>
      <c r="AK236" s="1112">
        <v>21.681000000000001</v>
      </c>
      <c r="AL236" s="1114">
        <v>0.97719999999999996</v>
      </c>
      <c r="AM236" s="1114">
        <v>3.8E-3</v>
      </c>
      <c r="AN236" s="1136">
        <v>0.29399999999999998</v>
      </c>
      <c r="AO236" s="1114">
        <v>1.32E-2</v>
      </c>
      <c r="AP236" s="1112">
        <v>1.08144</v>
      </c>
      <c r="AQ236" s="1114">
        <v>0.95</v>
      </c>
      <c r="AR236" s="1112"/>
      <c r="AS236" s="1114"/>
      <c r="AT236" s="1114"/>
      <c r="AU236" s="1114"/>
      <c r="AV236" s="1114"/>
      <c r="AW236" s="1114" t="s">
        <v>500</v>
      </c>
      <c r="AX236" s="1114" t="s">
        <v>3971</v>
      </c>
      <c r="AY236" s="1114" t="s">
        <v>997</v>
      </c>
      <c r="AZ236" s="1114"/>
      <c r="BA236" s="1113"/>
      <c r="BB236" s="1114"/>
      <c r="BC236" s="1115">
        <v>15</v>
      </c>
      <c r="BD236" s="1115">
        <v>15</v>
      </c>
      <c r="BE236" s="1116">
        <v>11</v>
      </c>
      <c r="BF236" s="1115"/>
      <c r="BG236" s="1115">
        <v>1</v>
      </c>
      <c r="BH236" s="1115"/>
      <c r="BI236" s="1115"/>
      <c r="BJ236" s="1115"/>
      <c r="BK236" s="1115">
        <v>1</v>
      </c>
      <c r="BL236" s="1115"/>
      <c r="BM236" s="1115"/>
      <c r="BN236" s="1115"/>
      <c r="BO236" s="1115">
        <v>1</v>
      </c>
      <c r="BP236" s="1115">
        <v>1</v>
      </c>
      <c r="BQ236" s="1115">
        <v>5</v>
      </c>
      <c r="BR236" s="1115">
        <v>2</v>
      </c>
      <c r="BS236" s="1115"/>
      <c r="BT236" s="1115"/>
      <c r="BU236" s="1115"/>
      <c r="BV236" s="1115"/>
      <c r="BW236" s="1115"/>
      <c r="BX236" s="1115"/>
      <c r="BY236" s="1115"/>
      <c r="BZ236" s="1115"/>
      <c r="CA236" s="1117">
        <f t="shared" si="30"/>
        <v>11</v>
      </c>
      <c r="CB236" s="1117">
        <f t="shared" si="27"/>
        <v>11</v>
      </c>
      <c r="CC236" s="1117">
        <f t="shared" si="28"/>
        <v>0</v>
      </c>
      <c r="CD236" s="1113">
        <v>9.1530000000000005</v>
      </c>
      <c r="CE236" s="1109"/>
      <c r="CF236" s="1109"/>
      <c r="CG236" s="1109">
        <v>46</v>
      </c>
      <c r="CH236" s="1113" t="s">
        <v>3972</v>
      </c>
      <c r="CI236" s="1139" t="s">
        <v>3973</v>
      </c>
      <c r="CJ236" s="1109" t="s">
        <v>504</v>
      </c>
      <c r="CK236" s="1109"/>
      <c r="CL236" s="1109"/>
      <c r="CM236" s="1115"/>
      <c r="CN236" s="1115"/>
      <c r="CO236" s="1115"/>
      <c r="CP236" s="1109" t="s">
        <v>500</v>
      </c>
      <c r="CQ236" s="1109" t="s">
        <v>1586</v>
      </c>
      <c r="CR236" s="1115">
        <v>907</v>
      </c>
      <c r="CS236" s="1109" t="s">
        <v>500</v>
      </c>
      <c r="CT236" s="1109" t="s">
        <v>935</v>
      </c>
      <c r="CU236" s="1115">
        <v>179</v>
      </c>
      <c r="CV236" s="1115" t="s">
        <v>504</v>
      </c>
      <c r="CW236" s="1115"/>
      <c r="CX236" s="1115">
        <v>0</v>
      </c>
      <c r="CY236" s="1115" t="s">
        <v>504</v>
      </c>
      <c r="CZ236" s="1115"/>
      <c r="DA236" s="1115">
        <v>0</v>
      </c>
      <c r="DB236" s="1109" t="s">
        <v>504</v>
      </c>
      <c r="DC236" s="1109"/>
      <c r="DD236" s="1115"/>
      <c r="DE236" s="1109" t="s">
        <v>504</v>
      </c>
      <c r="DF236" s="1109"/>
      <c r="DG236" s="1115">
        <v>0</v>
      </c>
      <c r="DH236" s="1109" t="s">
        <v>504</v>
      </c>
      <c r="DI236" s="1109"/>
      <c r="DJ236" s="1115">
        <v>0</v>
      </c>
      <c r="DK236" s="1109" t="s">
        <v>504</v>
      </c>
      <c r="DL236" s="1109"/>
      <c r="DM236" s="1115"/>
      <c r="DN236" s="1109" t="s">
        <v>504</v>
      </c>
      <c r="DO236" s="1109"/>
      <c r="DP236" s="1115">
        <v>0</v>
      </c>
      <c r="DQ236" s="1109" t="s">
        <v>500</v>
      </c>
      <c r="DR236" s="1109"/>
      <c r="DS236" s="1115">
        <v>179</v>
      </c>
      <c r="DT236" s="1115">
        <v>0</v>
      </c>
      <c r="DU236" s="1115"/>
      <c r="DV236" s="1115" t="s">
        <v>504</v>
      </c>
      <c r="DW236" s="1109" t="s">
        <v>504</v>
      </c>
      <c r="DX236" s="1109"/>
      <c r="DY236" s="1115">
        <v>0</v>
      </c>
      <c r="DZ236" s="1109" t="s">
        <v>504</v>
      </c>
      <c r="EA236" s="1109"/>
      <c r="EB236" s="1115">
        <v>0</v>
      </c>
      <c r="EC236" s="1109" t="s">
        <v>504</v>
      </c>
      <c r="ED236" s="1109"/>
      <c r="EE236" s="1115"/>
      <c r="EF236" s="1115" t="s">
        <v>500</v>
      </c>
      <c r="EG236" s="1115" t="s">
        <v>935</v>
      </c>
      <c r="EH236" s="1115">
        <v>20</v>
      </c>
      <c r="EI236" s="1109">
        <v>0</v>
      </c>
      <c r="EJ236" s="1109"/>
      <c r="EK236" s="1115">
        <v>0</v>
      </c>
      <c r="EL236" s="1115"/>
      <c r="EM236" s="1115"/>
      <c r="EN236" s="1115"/>
      <c r="EO236" s="1109" t="s">
        <v>504</v>
      </c>
      <c r="EP236" s="1109"/>
      <c r="EQ236" s="1109" t="s">
        <v>3974</v>
      </c>
      <c r="ER236" s="1109" t="s">
        <v>3975</v>
      </c>
      <c r="ES236" s="1109" t="s">
        <v>504</v>
      </c>
      <c r="ET236" s="1109" t="s">
        <v>3976</v>
      </c>
      <c r="EU236" s="1109" t="s">
        <v>3977</v>
      </c>
      <c r="EV236" s="1109">
        <v>0</v>
      </c>
      <c r="EW236" s="1109">
        <v>0</v>
      </c>
      <c r="EX236" s="1109">
        <v>0</v>
      </c>
    </row>
    <row r="237" spans="3:154" ht="39.950000000000003" customHeight="1" x14ac:dyDescent="0.2">
      <c r="C237" s="1156" t="s">
        <v>693</v>
      </c>
      <c r="D237" s="1156" t="s">
        <v>5278</v>
      </c>
      <c r="E237" s="1104" t="s">
        <v>365</v>
      </c>
      <c r="F237" s="1104" t="s">
        <v>450</v>
      </c>
      <c r="G237" s="1104" t="s">
        <v>3978</v>
      </c>
      <c r="H237" s="1104" t="s">
        <v>3979</v>
      </c>
      <c r="I237" s="1104" t="s">
        <v>3980</v>
      </c>
      <c r="J237" s="1122">
        <v>2018</v>
      </c>
      <c r="K237" s="1125">
        <v>43831</v>
      </c>
      <c r="L237" s="1125">
        <v>44196</v>
      </c>
      <c r="M237" s="1369">
        <f t="shared" si="29"/>
        <v>365</v>
      </c>
      <c r="N237" s="1125"/>
      <c r="O237" s="1125"/>
      <c r="P237" s="1125"/>
      <c r="Q237" s="1125"/>
      <c r="R237" s="1125"/>
      <c r="S237" s="1125"/>
      <c r="T237" s="1125"/>
      <c r="U237" s="1125"/>
      <c r="V237" s="1125"/>
      <c r="W237" s="1125"/>
      <c r="X237" s="1125"/>
      <c r="Y237" s="1104" t="s">
        <v>3981</v>
      </c>
      <c r="Z237" s="1127" t="s">
        <v>3982</v>
      </c>
      <c r="AA237" s="1104" t="s">
        <v>3983</v>
      </c>
      <c r="AB237" s="1104" t="s">
        <v>3984</v>
      </c>
      <c r="AC237" s="1104" t="s">
        <v>519</v>
      </c>
      <c r="AD237" s="1104" t="s">
        <v>3985</v>
      </c>
      <c r="AE237" s="1112">
        <v>18.295000000000002</v>
      </c>
      <c r="AF237" s="1113">
        <f t="shared" si="25"/>
        <v>18.295000000000002</v>
      </c>
      <c r="AG237" s="1113">
        <f t="shared" si="26"/>
        <v>0</v>
      </c>
      <c r="AH237" s="1112"/>
      <c r="AI237" s="1113"/>
      <c r="AJ237" s="1113"/>
      <c r="AK237" s="1112">
        <v>16.803000000000001</v>
      </c>
      <c r="AL237" s="1114">
        <v>0.91800000000000004</v>
      </c>
      <c r="AM237" s="1114">
        <v>6.9999999999999999E-4</v>
      </c>
      <c r="AN237" s="1112">
        <v>1.492</v>
      </c>
      <c r="AO237" s="1114">
        <v>8.2000000000000003E-2</v>
      </c>
      <c r="AP237" s="1112"/>
      <c r="AQ237" s="1114"/>
      <c r="AR237" s="1112"/>
      <c r="AS237" s="1114"/>
      <c r="AT237" s="1114"/>
      <c r="AU237" s="1114"/>
      <c r="AV237" s="1114"/>
      <c r="AW237" s="1114" t="s">
        <v>504</v>
      </c>
      <c r="AX237" s="1114"/>
      <c r="AY237" s="1114"/>
      <c r="AZ237" s="1114"/>
      <c r="BA237" s="1113">
        <v>30</v>
      </c>
      <c r="BB237" s="1114">
        <v>1.4E-3</v>
      </c>
      <c r="BC237" s="1115">
        <v>49</v>
      </c>
      <c r="BD237" s="1115">
        <v>39</v>
      </c>
      <c r="BE237" s="1116">
        <v>12</v>
      </c>
      <c r="BF237" s="1115"/>
      <c r="BG237" s="1115"/>
      <c r="BH237" s="1115"/>
      <c r="BI237" s="1115"/>
      <c r="BJ237" s="1115"/>
      <c r="BK237" s="1115"/>
      <c r="BL237" s="1115">
        <v>9</v>
      </c>
      <c r="BM237" s="1115"/>
      <c r="BN237" s="1115">
        <v>2</v>
      </c>
      <c r="BO237" s="1115"/>
      <c r="BP237" s="1115"/>
      <c r="BQ237" s="1115">
        <v>1</v>
      </c>
      <c r="BR237" s="1115"/>
      <c r="BS237" s="1115"/>
      <c r="BT237" s="1115"/>
      <c r="BU237" s="1115"/>
      <c r="BV237" s="1115"/>
      <c r="BW237" s="1115"/>
      <c r="BX237" s="1115"/>
      <c r="BY237" s="1115"/>
      <c r="BZ237" s="1115"/>
      <c r="CA237" s="1117">
        <f t="shared" si="30"/>
        <v>12</v>
      </c>
      <c r="CB237" s="1117">
        <f t="shared" si="27"/>
        <v>12</v>
      </c>
      <c r="CC237" s="1117">
        <f t="shared" si="28"/>
        <v>0</v>
      </c>
      <c r="CD237" s="1113">
        <v>35</v>
      </c>
      <c r="CE237" s="1109" t="s">
        <v>465</v>
      </c>
      <c r="CF237" s="1109"/>
      <c r="CG237" s="1109">
        <v>0.12</v>
      </c>
      <c r="CH237" s="1113">
        <v>277.66800000000001</v>
      </c>
      <c r="CI237" s="1139" t="s">
        <v>3986</v>
      </c>
      <c r="CJ237" s="1109" t="s">
        <v>465</v>
      </c>
      <c r="CK237" s="1109"/>
      <c r="CL237" s="1109"/>
      <c r="CM237" s="1115"/>
      <c r="CN237" s="1115"/>
      <c r="CO237" s="1115">
        <v>2</v>
      </c>
      <c r="CP237" s="1109"/>
      <c r="CQ237" s="1109"/>
      <c r="CR237" s="1115"/>
      <c r="CS237" s="1109" t="s">
        <v>465</v>
      </c>
      <c r="CT237" s="1109" t="s">
        <v>465</v>
      </c>
      <c r="CU237" s="1115" t="s">
        <v>465</v>
      </c>
      <c r="CV237" s="1115"/>
      <c r="CW237" s="1115"/>
      <c r="CX237" s="1115"/>
      <c r="CY237" s="1115"/>
      <c r="CZ237" s="1115"/>
      <c r="DA237" s="1115"/>
      <c r="DB237" s="1109"/>
      <c r="DC237" s="1109"/>
      <c r="DD237" s="1115"/>
      <c r="DE237" s="1109"/>
      <c r="DF237" s="1109"/>
      <c r="DG237" s="1115" t="s">
        <v>465</v>
      </c>
      <c r="DH237" s="1109"/>
      <c r="DI237" s="1109"/>
      <c r="DJ237" s="1115"/>
      <c r="DK237" s="1109" t="s">
        <v>500</v>
      </c>
      <c r="DL237" s="1109" t="s">
        <v>3987</v>
      </c>
      <c r="DM237" s="1115">
        <v>49</v>
      </c>
      <c r="DN237" s="1109" t="s">
        <v>500</v>
      </c>
      <c r="DO237" s="1127" t="s">
        <v>5610</v>
      </c>
      <c r="DP237" s="1115">
        <v>11237</v>
      </c>
      <c r="DQ237" s="1109"/>
      <c r="DR237" s="1109"/>
      <c r="DS237" s="1115"/>
      <c r="DT237" s="1115"/>
      <c r="DU237" s="1115"/>
      <c r="DV237" s="1115"/>
      <c r="DW237" s="1109"/>
      <c r="DX237" s="1109"/>
      <c r="DY237" s="1115"/>
      <c r="DZ237" s="1109"/>
      <c r="EA237" s="1109"/>
      <c r="EB237" s="1115" t="s">
        <v>465</v>
      </c>
      <c r="EC237" s="1109" t="s">
        <v>465</v>
      </c>
      <c r="ED237" s="1104" t="s">
        <v>465</v>
      </c>
      <c r="EE237" s="1115" t="s">
        <v>465</v>
      </c>
      <c r="EF237" s="1109" t="s">
        <v>500</v>
      </c>
      <c r="EG237" s="1104" t="s">
        <v>3988</v>
      </c>
      <c r="EH237" s="1115">
        <v>12</v>
      </c>
      <c r="EI237" s="1109" t="s">
        <v>465</v>
      </c>
      <c r="EJ237" s="1109" t="s">
        <v>465</v>
      </c>
      <c r="EK237" s="1115" t="s">
        <v>465</v>
      </c>
      <c r="EL237" s="1115"/>
      <c r="EM237" s="1115"/>
      <c r="EN237" s="1115"/>
      <c r="EO237" s="1109" t="s">
        <v>500</v>
      </c>
      <c r="EP237" s="1104" t="s">
        <v>3989</v>
      </c>
      <c r="EQ237" s="1109" t="s">
        <v>3990</v>
      </c>
      <c r="ER237" s="1109" t="s">
        <v>3991</v>
      </c>
      <c r="ES237" s="1109" t="s">
        <v>465</v>
      </c>
      <c r="ET237" s="1104" t="s">
        <v>3992</v>
      </c>
      <c r="EU237" s="1109" t="s">
        <v>3993</v>
      </c>
      <c r="EV237" s="1109" t="s">
        <v>465</v>
      </c>
      <c r="EW237" s="1109" t="s">
        <v>465</v>
      </c>
      <c r="EX237" s="1109" t="s">
        <v>465</v>
      </c>
    </row>
    <row r="238" spans="3:154" customFormat="1" ht="39.950000000000003" customHeight="1" x14ac:dyDescent="0.25">
      <c r="C238" s="1156" t="s">
        <v>693</v>
      </c>
      <c r="D238" s="1156" t="s">
        <v>5278</v>
      </c>
      <c r="E238" s="1104" t="s">
        <v>365</v>
      </c>
      <c r="F238" s="1104" t="s">
        <v>450</v>
      </c>
      <c r="G238" s="1109" t="s">
        <v>3994</v>
      </c>
      <c r="H238" s="1109" t="s">
        <v>3995</v>
      </c>
      <c r="I238" s="1109"/>
      <c r="J238" s="1110">
        <v>2020</v>
      </c>
      <c r="K238" s="1105">
        <v>43916</v>
      </c>
      <c r="L238" s="1105">
        <v>44154</v>
      </c>
      <c r="M238" s="1369">
        <f t="shared" si="29"/>
        <v>238</v>
      </c>
      <c r="N238" s="1105"/>
      <c r="O238" s="1105"/>
      <c r="P238" s="1105"/>
      <c r="Q238" s="1105"/>
      <c r="R238" s="1105"/>
      <c r="S238" s="1105"/>
      <c r="T238" s="1105"/>
      <c r="U238" s="1105"/>
      <c r="V238" s="1105"/>
      <c r="W238" s="1105"/>
      <c r="X238" s="1105"/>
      <c r="Y238" s="1109" t="s">
        <v>3996</v>
      </c>
      <c r="Z238" s="1188" t="s">
        <v>3997</v>
      </c>
      <c r="AA238" s="1109" t="s">
        <v>3998</v>
      </c>
      <c r="AB238" s="1109" t="s">
        <v>3999</v>
      </c>
      <c r="AC238" s="1109" t="s">
        <v>4000</v>
      </c>
      <c r="AD238" s="1109" t="s">
        <v>4001</v>
      </c>
      <c r="AE238" s="1112">
        <v>0.59</v>
      </c>
      <c r="AF238" s="1113">
        <f t="shared" si="25"/>
        <v>0.59</v>
      </c>
      <c r="AG238" s="1113">
        <f t="shared" si="26"/>
        <v>0</v>
      </c>
      <c r="AH238" s="1112"/>
      <c r="AI238" s="1113"/>
      <c r="AJ238" s="1113"/>
      <c r="AK238" s="1112">
        <v>0.5</v>
      </c>
      <c r="AL238" s="1114">
        <v>0.84750000000000003</v>
      </c>
      <c r="AM238" s="1114">
        <v>2.9999999999999997E-4</v>
      </c>
      <c r="AN238" s="1112">
        <v>0.09</v>
      </c>
      <c r="AO238" s="1114">
        <v>0.1525</v>
      </c>
      <c r="AP238" s="1112">
        <v>0</v>
      </c>
      <c r="AQ238" s="1114">
        <v>0</v>
      </c>
      <c r="AR238" s="1112"/>
      <c r="AS238" s="1114"/>
      <c r="AT238" s="1114"/>
      <c r="AU238" s="1114"/>
      <c r="AV238" s="1114"/>
      <c r="AW238" s="1114" t="s">
        <v>504</v>
      </c>
      <c r="AX238" s="1114"/>
      <c r="AY238" s="1114"/>
      <c r="AZ238" s="1114"/>
      <c r="BA238" s="1113">
        <v>0.6</v>
      </c>
      <c r="BB238" s="1114">
        <v>4.0000000000000002E-4</v>
      </c>
      <c r="BC238" s="1115">
        <v>2</v>
      </c>
      <c r="BD238" s="1115">
        <v>2</v>
      </c>
      <c r="BE238" s="1116">
        <v>0</v>
      </c>
      <c r="BF238" s="1115"/>
      <c r="BG238" s="1115"/>
      <c r="BH238" s="1115"/>
      <c r="BI238" s="1115"/>
      <c r="BJ238" s="1115"/>
      <c r="BK238" s="1115"/>
      <c r="BL238" s="1115"/>
      <c r="BM238" s="1115"/>
      <c r="BN238" s="1115"/>
      <c r="BO238" s="1115"/>
      <c r="BP238" s="1115"/>
      <c r="BQ238" s="1115"/>
      <c r="BR238" s="1115"/>
      <c r="BS238" s="1115"/>
      <c r="BT238" s="1115"/>
      <c r="BU238" s="1115"/>
      <c r="BV238" s="1115"/>
      <c r="BW238" s="1115"/>
      <c r="BX238" s="1115"/>
      <c r="BY238" s="1115"/>
      <c r="BZ238" s="1115">
        <v>1</v>
      </c>
      <c r="CA238" s="1117">
        <f t="shared" si="30"/>
        <v>1</v>
      </c>
      <c r="CB238" s="1117">
        <f t="shared" si="27"/>
        <v>1</v>
      </c>
      <c r="CC238" s="1117">
        <f t="shared" si="28"/>
        <v>0</v>
      </c>
      <c r="CD238" s="1113">
        <v>3</v>
      </c>
      <c r="CE238" s="1109" t="s">
        <v>504</v>
      </c>
      <c r="CF238" s="1109"/>
      <c r="CG238" s="1116">
        <v>16.53</v>
      </c>
      <c r="CH238" s="1113">
        <v>18.145</v>
      </c>
      <c r="CI238" s="1114" t="s">
        <v>4002</v>
      </c>
      <c r="CJ238" s="1109" t="s">
        <v>504</v>
      </c>
      <c r="CK238" s="1109"/>
      <c r="CL238" s="1109"/>
      <c r="CM238" s="1115"/>
      <c r="CN238" s="1115"/>
      <c r="CO238" s="1115">
        <v>1</v>
      </c>
      <c r="CP238" s="1109" t="s">
        <v>504</v>
      </c>
      <c r="CQ238" s="1188"/>
      <c r="CR238" s="1115"/>
      <c r="CS238" s="1109" t="s">
        <v>504</v>
      </c>
      <c r="CT238" s="1109"/>
      <c r="CU238" s="1115"/>
      <c r="CV238" s="1115" t="s">
        <v>504</v>
      </c>
      <c r="CW238" s="1115"/>
      <c r="CX238" s="1115"/>
      <c r="CY238" s="1115" t="s">
        <v>504</v>
      </c>
      <c r="CZ238" s="1115"/>
      <c r="DA238" s="1115"/>
      <c r="DB238" s="1109" t="s">
        <v>504</v>
      </c>
      <c r="DC238" s="1109"/>
      <c r="DD238" s="1115"/>
      <c r="DE238" s="1109" t="s">
        <v>504</v>
      </c>
      <c r="DF238" s="1109"/>
      <c r="DG238" s="1115"/>
      <c r="DH238" s="1109" t="s">
        <v>504</v>
      </c>
      <c r="DI238" s="1109"/>
      <c r="DJ238" s="1115"/>
      <c r="DK238" s="1109" t="s">
        <v>504</v>
      </c>
      <c r="DL238" s="1109"/>
      <c r="DM238" s="1115"/>
      <c r="DN238" s="1109" t="s">
        <v>500</v>
      </c>
      <c r="DO238" s="1188" t="s">
        <v>4003</v>
      </c>
      <c r="DP238" s="1115">
        <v>38</v>
      </c>
      <c r="DQ238" s="1109" t="s">
        <v>504</v>
      </c>
      <c r="DR238" s="1109"/>
      <c r="DS238" s="1115"/>
      <c r="DT238" s="1115" t="s">
        <v>504</v>
      </c>
      <c r="DU238" s="1115"/>
      <c r="DV238" s="1115"/>
      <c r="DW238" s="1109" t="s">
        <v>504</v>
      </c>
      <c r="DX238" s="1109"/>
      <c r="DY238" s="1115"/>
      <c r="DZ238" s="1109" t="s">
        <v>504</v>
      </c>
      <c r="EA238" s="1109"/>
      <c r="EB238" s="1115"/>
      <c r="EC238" s="1109" t="s">
        <v>504</v>
      </c>
      <c r="ED238" s="1109"/>
      <c r="EE238" s="1115"/>
      <c r="EF238" s="1115" t="s">
        <v>500</v>
      </c>
      <c r="EG238" s="1351" t="s">
        <v>4004</v>
      </c>
      <c r="EH238" s="1115">
        <v>7</v>
      </c>
      <c r="EI238" s="1109"/>
      <c r="EJ238" s="1109"/>
      <c r="EK238" s="1115"/>
      <c r="EL238" s="1115"/>
      <c r="EM238" s="1115"/>
      <c r="EN238" s="1115"/>
      <c r="EO238" s="1109" t="s">
        <v>504</v>
      </c>
      <c r="EP238" s="1109"/>
      <c r="EQ238" s="1188" t="s">
        <v>4005</v>
      </c>
      <c r="ER238" s="1109"/>
      <c r="ES238" s="1109"/>
      <c r="ET238" s="1109"/>
      <c r="EU238" s="1109"/>
      <c r="EV238" s="1109"/>
      <c r="EW238" s="1109">
        <v>0</v>
      </c>
      <c r="EX238" s="1109">
        <v>0</v>
      </c>
    </row>
    <row r="239" spans="3:154" ht="39.950000000000003" customHeight="1" x14ac:dyDescent="0.2">
      <c r="C239" s="1156" t="s">
        <v>693</v>
      </c>
      <c r="D239" s="1156" t="s">
        <v>5278</v>
      </c>
      <c r="E239" s="1104" t="s">
        <v>365</v>
      </c>
      <c r="F239" s="1104" t="s">
        <v>450</v>
      </c>
      <c r="G239" s="1109" t="s">
        <v>4006</v>
      </c>
      <c r="H239" s="1109" t="s">
        <v>4007</v>
      </c>
      <c r="I239" s="1109"/>
      <c r="J239" s="1110">
        <v>2020</v>
      </c>
      <c r="K239" s="1105">
        <v>43864</v>
      </c>
      <c r="L239" s="1105">
        <v>44180</v>
      </c>
      <c r="M239" s="1369">
        <f t="shared" si="29"/>
        <v>316</v>
      </c>
      <c r="N239" s="1105"/>
      <c r="O239" s="1105"/>
      <c r="P239" s="1105"/>
      <c r="Q239" s="1105"/>
      <c r="R239" s="1105"/>
      <c r="S239" s="1105"/>
      <c r="T239" s="1105"/>
      <c r="U239" s="1105"/>
      <c r="V239" s="1105"/>
      <c r="W239" s="1105"/>
      <c r="X239" s="1105"/>
      <c r="Y239" s="1109" t="s">
        <v>4008</v>
      </c>
      <c r="Z239" s="1109" t="s">
        <v>4009</v>
      </c>
      <c r="AA239" s="1109" t="s">
        <v>4010</v>
      </c>
      <c r="AB239" s="1109" t="s">
        <v>4011</v>
      </c>
      <c r="AC239" s="1109" t="s">
        <v>4012</v>
      </c>
      <c r="AD239" s="1109" t="s">
        <v>4013</v>
      </c>
      <c r="AE239" s="1112">
        <v>6.5750000000000002</v>
      </c>
      <c r="AF239" s="1113">
        <f t="shared" si="25"/>
        <v>6.5754000000000001</v>
      </c>
      <c r="AG239" s="1113">
        <f t="shared" si="26"/>
        <v>3.9999999999995595E-4</v>
      </c>
      <c r="AH239" s="1112"/>
      <c r="AI239" s="1113"/>
      <c r="AJ239" s="1113"/>
      <c r="AK239" s="1112">
        <v>5.6630000000000003</v>
      </c>
      <c r="AL239" s="1114">
        <v>0.86129999999999995</v>
      </c>
      <c r="AM239" s="1114">
        <v>8.9999999999999998E-4</v>
      </c>
      <c r="AN239" s="1112">
        <v>0.75700000000000001</v>
      </c>
      <c r="AO239" s="1114">
        <v>0.11509999999999999</v>
      </c>
      <c r="AP239" s="1112">
        <v>0.15540000000000001</v>
      </c>
      <c r="AQ239" s="1114">
        <v>2.3599999999999999E-2</v>
      </c>
      <c r="AR239" s="1112"/>
      <c r="AS239" s="1114"/>
      <c r="AT239" s="1114"/>
      <c r="AU239" s="1114"/>
      <c r="AV239" s="1114"/>
      <c r="AW239" s="1114" t="s">
        <v>504</v>
      </c>
      <c r="AX239" s="1114"/>
      <c r="AY239" s="1114"/>
      <c r="AZ239" s="1114"/>
      <c r="BA239" s="1113">
        <v>5.67</v>
      </c>
      <c r="BB239" s="1114">
        <v>1.1000000000000001E-3</v>
      </c>
      <c r="BC239" s="1115">
        <v>7</v>
      </c>
      <c r="BD239" s="1115">
        <v>7</v>
      </c>
      <c r="BE239" s="1116">
        <v>7</v>
      </c>
      <c r="BF239" s="1115"/>
      <c r="BG239" s="1115"/>
      <c r="BH239" s="1115"/>
      <c r="BI239" s="1115"/>
      <c r="BJ239" s="1115"/>
      <c r="BK239" s="1115"/>
      <c r="BL239" s="1115">
        <v>6</v>
      </c>
      <c r="BM239" s="1115"/>
      <c r="BN239" s="1115">
        <v>1</v>
      </c>
      <c r="BO239" s="1115"/>
      <c r="BP239" s="1115"/>
      <c r="BQ239" s="1115"/>
      <c r="BR239" s="1115"/>
      <c r="BS239" s="1115"/>
      <c r="BT239" s="1115"/>
      <c r="BU239" s="1115"/>
      <c r="BV239" s="1115"/>
      <c r="BW239" s="1115"/>
      <c r="BX239" s="1115"/>
      <c r="BY239" s="1115"/>
      <c r="BZ239" s="1115"/>
      <c r="CA239" s="1117">
        <f t="shared" si="30"/>
        <v>7</v>
      </c>
      <c r="CB239" s="1117">
        <f t="shared" si="27"/>
        <v>7</v>
      </c>
      <c r="CC239" s="1117">
        <f t="shared" si="28"/>
        <v>0</v>
      </c>
      <c r="CD239" s="1113">
        <v>18.152999999999999</v>
      </c>
      <c r="CE239" s="1109" t="s">
        <v>4014</v>
      </c>
      <c r="CF239" s="1109" t="s">
        <v>504</v>
      </c>
      <c r="CG239" s="1109" t="s">
        <v>4015</v>
      </c>
      <c r="CH239" s="1113">
        <v>58.564999999999998</v>
      </c>
      <c r="CI239" s="1217" t="s">
        <v>3835</v>
      </c>
      <c r="CJ239" s="1109" t="s">
        <v>504</v>
      </c>
      <c r="CK239" s="1109" t="s">
        <v>504</v>
      </c>
      <c r="CL239" s="1109" t="s">
        <v>504</v>
      </c>
      <c r="CM239" s="1115" t="s">
        <v>504</v>
      </c>
      <c r="CN239" s="1115" t="s">
        <v>504</v>
      </c>
      <c r="CO239" s="1115" t="s">
        <v>4016</v>
      </c>
      <c r="CP239" s="1109" t="s">
        <v>504</v>
      </c>
      <c r="CQ239" s="1109"/>
      <c r="CR239" s="1115"/>
      <c r="CS239" s="1109" t="s">
        <v>500</v>
      </c>
      <c r="CT239" s="1109" t="s">
        <v>4017</v>
      </c>
      <c r="CU239" s="1115">
        <v>7</v>
      </c>
      <c r="CV239" s="1115" t="s">
        <v>504</v>
      </c>
      <c r="CW239" s="1115"/>
      <c r="CX239" s="1115"/>
      <c r="CY239" s="1115" t="s">
        <v>504</v>
      </c>
      <c r="CZ239" s="1115"/>
      <c r="DA239" s="1115"/>
      <c r="DB239" s="1109" t="s">
        <v>504</v>
      </c>
      <c r="DC239" s="1109"/>
      <c r="DD239" s="1115"/>
      <c r="DE239" s="1109" t="s">
        <v>504</v>
      </c>
      <c r="DF239" s="1109"/>
      <c r="DG239" s="1115"/>
      <c r="DH239" s="1109" t="s">
        <v>504</v>
      </c>
      <c r="DI239" s="1109"/>
      <c r="DJ239" s="1115"/>
      <c r="DK239" s="1109" t="s">
        <v>504</v>
      </c>
      <c r="DL239" s="1109"/>
      <c r="DM239" s="1115"/>
      <c r="DN239" s="1109" t="s">
        <v>504</v>
      </c>
      <c r="DO239" s="1109"/>
      <c r="DP239" s="1115"/>
      <c r="DQ239" s="1109" t="s">
        <v>504</v>
      </c>
      <c r="DR239" s="1109"/>
      <c r="DS239" s="1115"/>
      <c r="DT239" s="1115" t="s">
        <v>504</v>
      </c>
      <c r="DU239" s="1115"/>
      <c r="DV239" s="1115"/>
      <c r="DW239" s="1109" t="s">
        <v>504</v>
      </c>
      <c r="DX239" s="1109"/>
      <c r="DY239" s="1115"/>
      <c r="DZ239" s="1109" t="s">
        <v>504</v>
      </c>
      <c r="EA239" s="1109"/>
      <c r="EB239" s="1115"/>
      <c r="EC239" s="1109" t="s">
        <v>500</v>
      </c>
      <c r="ED239" s="1109" t="s">
        <v>4018</v>
      </c>
      <c r="EE239" s="1115">
        <v>11</v>
      </c>
      <c r="EF239" s="1115" t="s">
        <v>504</v>
      </c>
      <c r="EG239" s="1115"/>
      <c r="EH239" s="1115"/>
      <c r="EI239" s="1109" t="s">
        <v>504</v>
      </c>
      <c r="EJ239" s="1109"/>
      <c r="EK239" s="1115"/>
      <c r="EL239" s="1115"/>
      <c r="EM239" s="1115"/>
      <c r="EN239" s="1115"/>
      <c r="EO239" s="1109" t="s">
        <v>504</v>
      </c>
      <c r="EP239" s="1109"/>
      <c r="EQ239" s="1127" t="s">
        <v>4019</v>
      </c>
      <c r="ER239" s="1109" t="s">
        <v>504</v>
      </c>
      <c r="ES239" s="1127" t="s">
        <v>4020</v>
      </c>
      <c r="ET239" s="1109" t="s">
        <v>5611</v>
      </c>
      <c r="EU239" s="1109" t="s">
        <v>504</v>
      </c>
      <c r="EV239" s="1109" t="s">
        <v>4021</v>
      </c>
      <c r="EW239" s="1109">
        <v>1</v>
      </c>
      <c r="EX239" s="1109">
        <v>2</v>
      </c>
    </row>
    <row r="240" spans="3:154" ht="39.950000000000003" customHeight="1" x14ac:dyDescent="0.2">
      <c r="C240" s="1156" t="s">
        <v>693</v>
      </c>
      <c r="D240" s="1156" t="s">
        <v>5278</v>
      </c>
      <c r="E240" s="1104" t="s">
        <v>365</v>
      </c>
      <c r="F240" s="1104" t="s">
        <v>450</v>
      </c>
      <c r="G240" s="1104" t="s">
        <v>4022</v>
      </c>
      <c r="H240" s="1104" t="s">
        <v>798</v>
      </c>
      <c r="I240" s="1104" t="s">
        <v>4023</v>
      </c>
      <c r="J240" s="1110">
        <v>2017</v>
      </c>
      <c r="K240" s="1105">
        <v>43831</v>
      </c>
      <c r="L240" s="1105">
        <v>44195</v>
      </c>
      <c r="M240" s="1369">
        <f t="shared" si="29"/>
        <v>364</v>
      </c>
      <c r="N240" s="1105"/>
      <c r="O240" s="1105"/>
      <c r="P240" s="1105"/>
      <c r="Q240" s="1105"/>
      <c r="R240" s="1105"/>
      <c r="S240" s="1105"/>
      <c r="T240" s="1105"/>
      <c r="U240" s="1105"/>
      <c r="V240" s="1105"/>
      <c r="W240" s="1105"/>
      <c r="X240" s="1105"/>
      <c r="Y240" s="1109" t="s">
        <v>4024</v>
      </c>
      <c r="Z240" s="1127" t="s">
        <v>4025</v>
      </c>
      <c r="AA240" s="1109" t="s">
        <v>4026</v>
      </c>
      <c r="AB240" s="1109" t="s">
        <v>4027</v>
      </c>
      <c r="AC240" s="1109" t="s">
        <v>4028</v>
      </c>
      <c r="AD240" s="1109" t="s">
        <v>4029</v>
      </c>
      <c r="AE240" s="1112">
        <v>45.744</v>
      </c>
      <c r="AF240" s="1113">
        <f>AH240+AK240+AN240+AP240+AR240</f>
        <v>45.744499999999995</v>
      </c>
      <c r="AG240" s="1113">
        <f t="shared" si="26"/>
        <v>4.99999999995282E-4</v>
      </c>
      <c r="AH240" s="1112"/>
      <c r="AI240" s="1113"/>
      <c r="AJ240" s="1113"/>
      <c r="AK240" s="1112">
        <f>28.8127+16.9166</f>
        <v>45.729299999999995</v>
      </c>
      <c r="AL240" s="1114">
        <f>AK240/AE240</f>
        <v>0.99967864637985304</v>
      </c>
      <c r="AM240" s="1114">
        <f>45.729/3101.2</f>
        <v>1.4745582355217337E-2</v>
      </c>
      <c r="AN240" s="1112">
        <f>15.2/1000</f>
        <v>1.52E-2</v>
      </c>
      <c r="AO240" s="1114">
        <f>AN240/AE240</f>
        <v>3.3228401538999648E-4</v>
      </c>
      <c r="AP240" s="1112">
        <v>0</v>
      </c>
      <c r="AQ240" s="1114">
        <f>15.12/52022.91</f>
        <v>2.9064118097199863E-4</v>
      </c>
      <c r="AR240" s="1112"/>
      <c r="AS240" s="1114"/>
      <c r="AT240" s="1114"/>
      <c r="AU240" s="1114"/>
      <c r="AV240" s="1114"/>
      <c r="AW240" s="1114" t="s">
        <v>500</v>
      </c>
      <c r="AX240" s="1114" t="s">
        <v>4030</v>
      </c>
      <c r="AY240" s="1113">
        <f>122.5/1000</f>
        <v>0.1225</v>
      </c>
      <c r="AZ240" s="1114">
        <f>122.5/52022.9</f>
        <v>2.3547322429161004E-3</v>
      </c>
      <c r="BA240" s="1113">
        <v>66.900000000000006</v>
      </c>
      <c r="BB240" s="1114">
        <f>66.9/3629.221</f>
        <v>1.8433707949998088E-2</v>
      </c>
      <c r="BC240" s="1115">
        <v>29</v>
      </c>
      <c r="BD240" s="1115">
        <v>29</v>
      </c>
      <c r="BE240" s="1116">
        <v>28</v>
      </c>
      <c r="BF240" s="1115"/>
      <c r="BG240" s="1115"/>
      <c r="BH240" s="1115"/>
      <c r="BI240" s="1115"/>
      <c r="BJ240" s="1115"/>
      <c r="BK240" s="1115"/>
      <c r="BL240" s="1115">
        <v>2</v>
      </c>
      <c r="BM240" s="1115">
        <v>3</v>
      </c>
      <c r="BN240" s="1115"/>
      <c r="BO240" s="1115"/>
      <c r="BP240" s="1115">
        <v>8</v>
      </c>
      <c r="BQ240" s="1115">
        <v>14</v>
      </c>
      <c r="BR240" s="1115"/>
      <c r="BS240" s="1115">
        <v>1</v>
      </c>
      <c r="BT240" s="1115">
        <v>1</v>
      </c>
      <c r="BU240" s="1115"/>
      <c r="BV240" s="1115"/>
      <c r="BW240" s="1115"/>
      <c r="BX240" s="1115"/>
      <c r="BY240" s="1115"/>
      <c r="BZ240" s="1115"/>
      <c r="CA240" s="1117">
        <f t="shared" si="30"/>
        <v>29</v>
      </c>
      <c r="CB240" s="1117">
        <f t="shared" si="27"/>
        <v>29</v>
      </c>
      <c r="CC240" s="1117">
        <f t="shared" si="28"/>
        <v>0</v>
      </c>
      <c r="CD240" s="1113">
        <v>35.993000000000002</v>
      </c>
      <c r="CE240" s="1109" t="s">
        <v>4031</v>
      </c>
      <c r="CF240" s="1109"/>
      <c r="CG240" s="1109">
        <f>CD240/CH240</f>
        <v>1</v>
      </c>
      <c r="CH240" s="1113">
        <v>35.993000000000002</v>
      </c>
      <c r="CI240" s="1139" t="s">
        <v>4032</v>
      </c>
      <c r="CJ240" s="1109" t="s">
        <v>504</v>
      </c>
      <c r="CK240" s="1109"/>
      <c r="CL240" s="1109"/>
      <c r="CM240" s="1115"/>
      <c r="CN240" s="1115">
        <v>15</v>
      </c>
      <c r="CO240" s="1115">
        <f>2+2+4+1+1</f>
        <v>10</v>
      </c>
      <c r="CP240" s="1109" t="s">
        <v>500</v>
      </c>
      <c r="CQ240" s="1127" t="s">
        <v>4033</v>
      </c>
      <c r="CR240" s="1115">
        <v>50</v>
      </c>
      <c r="CS240" s="1109" t="s">
        <v>500</v>
      </c>
      <c r="CT240" s="1109" t="s">
        <v>4034</v>
      </c>
      <c r="CU240" s="1115">
        <f>36+50</f>
        <v>86</v>
      </c>
      <c r="CV240" s="1115" t="s">
        <v>504</v>
      </c>
      <c r="CW240" s="1115"/>
      <c r="CX240" s="1115"/>
      <c r="CY240" s="1115" t="s">
        <v>504</v>
      </c>
      <c r="CZ240" s="1115"/>
      <c r="DA240" s="1115"/>
      <c r="DB240" s="1109" t="s">
        <v>500</v>
      </c>
      <c r="DC240" s="1109"/>
      <c r="DD240" s="1115">
        <v>0</v>
      </c>
      <c r="DE240" s="1109" t="s">
        <v>500</v>
      </c>
      <c r="DF240" s="1127" t="s">
        <v>4035</v>
      </c>
      <c r="DG240" s="1115"/>
      <c r="DH240" s="1109" t="s">
        <v>504</v>
      </c>
      <c r="DI240" s="1109"/>
      <c r="DJ240" s="1115"/>
      <c r="DK240" s="1109" t="s">
        <v>504</v>
      </c>
      <c r="DL240" s="1109"/>
      <c r="DM240" s="1115"/>
      <c r="DN240" s="1109" t="s">
        <v>500</v>
      </c>
      <c r="DO240" s="1109" t="s">
        <v>4036</v>
      </c>
      <c r="DP240" s="1115">
        <f>36+50</f>
        <v>86</v>
      </c>
      <c r="DQ240" s="1109" t="s">
        <v>500</v>
      </c>
      <c r="DR240" s="1352"/>
      <c r="DS240" s="1115">
        <f>15</f>
        <v>15</v>
      </c>
      <c r="DT240" s="1115" t="s">
        <v>504</v>
      </c>
      <c r="DU240" s="1115"/>
      <c r="DV240" s="1115"/>
      <c r="DW240" s="1109" t="s">
        <v>504</v>
      </c>
      <c r="DX240" s="1109"/>
      <c r="DY240" s="1115"/>
      <c r="DZ240" s="1109" t="s">
        <v>504</v>
      </c>
      <c r="EA240" s="1109"/>
      <c r="EB240" s="1115"/>
      <c r="EC240" s="1109" t="s">
        <v>504</v>
      </c>
      <c r="ED240" s="1109"/>
      <c r="EE240" s="1115"/>
      <c r="EF240" s="1115" t="s">
        <v>500</v>
      </c>
      <c r="EG240" s="1115" t="s">
        <v>4037</v>
      </c>
      <c r="EH240" s="1115">
        <v>30</v>
      </c>
      <c r="EI240" s="1109" t="s">
        <v>504</v>
      </c>
      <c r="EJ240" s="1109"/>
      <c r="EK240" s="1115"/>
      <c r="EL240" s="1115"/>
      <c r="EM240" s="1115"/>
      <c r="EN240" s="1115"/>
      <c r="EO240" s="1109" t="s">
        <v>504</v>
      </c>
      <c r="EP240" s="1109"/>
      <c r="EQ240" s="1127" t="s">
        <v>4038</v>
      </c>
      <c r="ER240" s="1127" t="s">
        <v>4039</v>
      </c>
      <c r="ES240" s="1127" t="s">
        <v>4040</v>
      </c>
      <c r="ET240" s="1109" t="s">
        <v>4041</v>
      </c>
      <c r="EU240" s="1109" t="s">
        <v>4042</v>
      </c>
      <c r="EV240" s="1109" t="s">
        <v>4043</v>
      </c>
      <c r="EW240" s="1109">
        <v>8</v>
      </c>
      <c r="EX240" s="1109">
        <v>27</v>
      </c>
    </row>
    <row r="241" spans="3:154" ht="39.950000000000003" customHeight="1" x14ac:dyDescent="0.2">
      <c r="C241" s="1156" t="s">
        <v>693</v>
      </c>
      <c r="D241" s="1156" t="s">
        <v>5278</v>
      </c>
      <c r="E241" s="1104" t="s">
        <v>365</v>
      </c>
      <c r="F241" s="1104" t="s">
        <v>450</v>
      </c>
      <c r="G241" s="1109" t="s">
        <v>4044</v>
      </c>
      <c r="H241" s="1109" t="s">
        <v>4045</v>
      </c>
      <c r="I241" s="1109" t="s">
        <v>4046</v>
      </c>
      <c r="J241" s="1110" t="s">
        <v>3130</v>
      </c>
      <c r="K241" s="1105">
        <v>43831</v>
      </c>
      <c r="L241" s="1105">
        <v>44196</v>
      </c>
      <c r="M241" s="1369">
        <f t="shared" si="29"/>
        <v>365</v>
      </c>
      <c r="N241" s="1105"/>
      <c r="O241" s="1105"/>
      <c r="P241" s="1105"/>
      <c r="Q241" s="1105"/>
      <c r="R241" s="1105"/>
      <c r="S241" s="1105"/>
      <c r="T241" s="1105"/>
      <c r="U241" s="1105"/>
      <c r="V241" s="1105"/>
      <c r="W241" s="1105"/>
      <c r="X241" s="1105"/>
      <c r="Y241" s="1109" t="s">
        <v>4047</v>
      </c>
      <c r="Z241" s="1109" t="s">
        <v>4048</v>
      </c>
      <c r="AA241" s="1109" t="s">
        <v>4049</v>
      </c>
      <c r="AB241" s="1109" t="s">
        <v>4050</v>
      </c>
      <c r="AC241" s="1109" t="s">
        <v>767</v>
      </c>
      <c r="AD241" s="1109" t="s">
        <v>4051</v>
      </c>
      <c r="AE241" s="1112">
        <v>28.506</v>
      </c>
      <c r="AF241" s="1113">
        <f t="shared" si="25"/>
        <v>28.506439999999998</v>
      </c>
      <c r="AG241" s="1113">
        <f t="shared" si="26"/>
        <v>4.3999999999755346E-4</v>
      </c>
      <c r="AH241" s="1112"/>
      <c r="AI241" s="1113"/>
      <c r="AJ241" s="1113"/>
      <c r="AK241" s="1112">
        <v>27.254999999999999</v>
      </c>
      <c r="AL241" s="1114">
        <f>AK241/AE241</f>
        <v>0.956114502210061</v>
      </c>
      <c r="AM241" s="1114">
        <v>4.0000000000000001E-3</v>
      </c>
      <c r="AN241" s="1112">
        <v>1.028</v>
      </c>
      <c r="AO241" s="1114">
        <f>AN241/AE241</f>
        <v>3.6062583315793165E-2</v>
      </c>
      <c r="AP241" s="1112">
        <v>0.22344</v>
      </c>
      <c r="AQ241" s="1114">
        <f>AP241/AE241</f>
        <v>7.8383498210902961E-3</v>
      </c>
      <c r="AR241" s="1112"/>
      <c r="AS241" s="1114"/>
      <c r="AT241" s="1114"/>
      <c r="AU241" s="1114"/>
      <c r="AV241" s="1114"/>
      <c r="AW241" s="1114" t="s">
        <v>500</v>
      </c>
      <c r="AX241" s="1114" t="s">
        <v>4052</v>
      </c>
      <c r="AY241" s="1114" t="s">
        <v>997</v>
      </c>
      <c r="AZ241" s="1114">
        <v>0</v>
      </c>
      <c r="BA241" s="1113">
        <v>28.623999999999999</v>
      </c>
      <c r="BB241" s="1114">
        <v>4.7999999999999996E-3</v>
      </c>
      <c r="BC241" s="1115">
        <v>36</v>
      </c>
      <c r="BD241" s="1115">
        <v>36</v>
      </c>
      <c r="BE241" s="1116">
        <v>22</v>
      </c>
      <c r="BF241" s="1115"/>
      <c r="BG241" s="1115"/>
      <c r="BH241" s="1115">
        <v>1</v>
      </c>
      <c r="BI241" s="1115"/>
      <c r="BJ241" s="1115"/>
      <c r="BK241" s="1115">
        <v>1</v>
      </c>
      <c r="BL241" s="1115"/>
      <c r="BM241" s="1115"/>
      <c r="BN241" s="1115">
        <v>4</v>
      </c>
      <c r="BO241" s="1115"/>
      <c r="BP241" s="1115">
        <v>3</v>
      </c>
      <c r="BQ241" s="1115">
        <v>6</v>
      </c>
      <c r="BR241" s="1115"/>
      <c r="BS241" s="1115"/>
      <c r="BT241" s="1115">
        <v>1</v>
      </c>
      <c r="BU241" s="1115"/>
      <c r="BV241" s="1115"/>
      <c r="BW241" s="1115"/>
      <c r="BX241" s="1115"/>
      <c r="BY241" s="1115"/>
      <c r="BZ241" s="1115">
        <v>5</v>
      </c>
      <c r="CA241" s="1117">
        <f t="shared" si="30"/>
        <v>21</v>
      </c>
      <c r="CB241" s="1117">
        <f t="shared" si="27"/>
        <v>21</v>
      </c>
      <c r="CC241" s="1117">
        <f t="shared" si="28"/>
        <v>0</v>
      </c>
      <c r="CD241" s="1113">
        <v>34.793999999999997</v>
      </c>
      <c r="CE241" s="1109" t="s">
        <v>4053</v>
      </c>
      <c r="CF241" s="1109" t="s">
        <v>2008</v>
      </c>
      <c r="CG241" s="1114">
        <f>CD241/CH241</f>
        <v>0.779016657710908</v>
      </c>
      <c r="CH241" s="1113">
        <v>44.664000000000001</v>
      </c>
      <c r="CI241" s="1114" t="s">
        <v>5612</v>
      </c>
      <c r="CJ241" s="1109" t="s">
        <v>504</v>
      </c>
      <c r="CK241" s="1109"/>
      <c r="CL241" s="1109"/>
      <c r="CM241" s="1109"/>
      <c r="CN241" s="1115"/>
      <c r="CO241" s="1115" t="s">
        <v>4054</v>
      </c>
      <c r="CP241" s="1109" t="s">
        <v>504</v>
      </c>
      <c r="CQ241" s="1109"/>
      <c r="CR241" s="1109"/>
      <c r="CS241" s="1109" t="s">
        <v>500</v>
      </c>
      <c r="CT241" s="1109" t="s">
        <v>4055</v>
      </c>
      <c r="CU241" s="1115">
        <v>876</v>
      </c>
      <c r="CV241" s="1115" t="s">
        <v>504</v>
      </c>
      <c r="CW241" s="1115"/>
      <c r="CX241" s="1115"/>
      <c r="CY241" s="1109" t="s">
        <v>504</v>
      </c>
      <c r="CZ241" s="1109"/>
      <c r="DA241" s="1115"/>
      <c r="DB241" s="1109" t="s">
        <v>504</v>
      </c>
      <c r="DC241" s="1109"/>
      <c r="DD241" s="1115"/>
      <c r="DE241" s="1109" t="s">
        <v>504</v>
      </c>
      <c r="DF241" s="1109"/>
      <c r="DG241" s="1115"/>
      <c r="DH241" s="1109" t="s">
        <v>504</v>
      </c>
      <c r="DI241" s="1109"/>
      <c r="DJ241" s="1115"/>
      <c r="DK241" s="1109" t="s">
        <v>504</v>
      </c>
      <c r="DL241" s="1109"/>
      <c r="DM241" s="1115"/>
      <c r="DN241" s="1109" t="s">
        <v>504</v>
      </c>
      <c r="DO241" s="1109"/>
      <c r="DP241" s="1115"/>
      <c r="DQ241" s="1109" t="s">
        <v>504</v>
      </c>
      <c r="DR241" s="1109"/>
      <c r="DS241" s="1115"/>
      <c r="DT241" s="1109" t="s">
        <v>504</v>
      </c>
      <c r="DU241" s="1109"/>
      <c r="DV241" s="1115"/>
      <c r="DW241" s="1109" t="s">
        <v>504</v>
      </c>
      <c r="DX241" s="1109"/>
      <c r="DY241" s="1115"/>
      <c r="DZ241" s="1109" t="s">
        <v>504</v>
      </c>
      <c r="EA241" s="1109"/>
      <c r="EB241" s="1115"/>
      <c r="EC241" s="1109" t="s">
        <v>504</v>
      </c>
      <c r="ED241" s="1109"/>
      <c r="EE241" s="1115"/>
      <c r="EF241" s="1115" t="s">
        <v>500</v>
      </c>
      <c r="EG241" s="1115" t="s">
        <v>4056</v>
      </c>
      <c r="EH241" s="1115">
        <v>10</v>
      </c>
      <c r="EI241" s="1109"/>
      <c r="EJ241" s="1109"/>
      <c r="EK241" s="1115"/>
      <c r="EL241" s="1115"/>
      <c r="EM241" s="1115"/>
      <c r="EN241" s="1115"/>
      <c r="EO241" s="1109" t="s">
        <v>504</v>
      </c>
      <c r="EP241" s="1109"/>
      <c r="EQ241" s="1109" t="s">
        <v>4057</v>
      </c>
      <c r="ER241" s="1109" t="s">
        <v>4058</v>
      </c>
      <c r="ES241" s="1109" t="s">
        <v>4059</v>
      </c>
      <c r="ET241" s="1109" t="s">
        <v>4060</v>
      </c>
      <c r="EU241" s="1109" t="s">
        <v>4061</v>
      </c>
      <c r="EV241" s="1109" t="s">
        <v>4062</v>
      </c>
      <c r="EW241" s="1109" t="s">
        <v>4062</v>
      </c>
      <c r="EX241" s="1109" t="s">
        <v>4062</v>
      </c>
    </row>
    <row r="242" spans="3:154" ht="39.950000000000003" customHeight="1" x14ac:dyDescent="0.2">
      <c r="C242" s="1156" t="s">
        <v>693</v>
      </c>
      <c r="D242" s="1156" t="s">
        <v>5278</v>
      </c>
      <c r="E242" s="1104" t="s">
        <v>365</v>
      </c>
      <c r="F242" s="1104" t="s">
        <v>450</v>
      </c>
      <c r="G242" s="1104" t="s">
        <v>4063</v>
      </c>
      <c r="H242" s="1104" t="s">
        <v>1035</v>
      </c>
      <c r="I242" s="1104" t="s">
        <v>1035</v>
      </c>
      <c r="J242" s="1122">
        <v>2018</v>
      </c>
      <c r="K242" s="1105">
        <v>44037</v>
      </c>
      <c r="L242" s="1105">
        <v>44188</v>
      </c>
      <c r="M242" s="1369">
        <f t="shared" si="29"/>
        <v>151</v>
      </c>
      <c r="N242" s="1105"/>
      <c r="O242" s="1105"/>
      <c r="P242" s="1105"/>
      <c r="Q242" s="1105"/>
      <c r="R242" s="1105"/>
      <c r="S242" s="1105"/>
      <c r="T242" s="1105"/>
      <c r="U242" s="1105"/>
      <c r="V242" s="1105"/>
      <c r="W242" s="1105"/>
      <c r="X242" s="1105"/>
      <c r="Y242" s="1109" t="s">
        <v>4064</v>
      </c>
      <c r="Z242" s="1127" t="s">
        <v>4065</v>
      </c>
      <c r="AA242" s="1109" t="s">
        <v>4066</v>
      </c>
      <c r="AB242" s="1109" t="s">
        <v>4067</v>
      </c>
      <c r="AC242" s="1109" t="s">
        <v>2880</v>
      </c>
      <c r="AD242" s="1109" t="s">
        <v>4067</v>
      </c>
      <c r="AE242" s="1112">
        <v>3.661</v>
      </c>
      <c r="AF242" s="1113">
        <f>AH242+AK242+AN242+AP242+AR242</f>
        <v>3.6714400000000005</v>
      </c>
      <c r="AG242" s="1113">
        <f t="shared" si="26"/>
        <v>1.0440000000000449E-2</v>
      </c>
      <c r="AH242" s="1112"/>
      <c r="AI242" s="1113"/>
      <c r="AJ242" s="1113"/>
      <c r="AK242" s="1112">
        <v>3.2</v>
      </c>
      <c r="AL242" s="1114">
        <v>0.9</v>
      </c>
      <c r="AM242" s="1114">
        <v>3.5000000000000003E-2</v>
      </c>
      <c r="AN242" s="1112">
        <v>0.2</v>
      </c>
      <c r="AO242" s="1114">
        <v>0.1</v>
      </c>
      <c r="AP242" s="1112">
        <v>0.27144000000000001</v>
      </c>
      <c r="AQ242" s="1114">
        <v>3.9100000000000003E-2</v>
      </c>
      <c r="AR242" s="1112"/>
      <c r="AS242" s="1114"/>
      <c r="AT242" s="1114"/>
      <c r="AU242" s="1114"/>
      <c r="AV242" s="1114"/>
      <c r="AW242" s="1114" t="s">
        <v>471</v>
      </c>
      <c r="AX242" s="1114" t="s">
        <v>4068</v>
      </c>
      <c r="AY242" s="1114"/>
      <c r="AZ242" s="1114"/>
      <c r="BA242" s="1113">
        <v>2.7</v>
      </c>
      <c r="BB242" s="1114">
        <v>0.2455</v>
      </c>
      <c r="BC242" s="1115">
        <v>3</v>
      </c>
      <c r="BD242" s="1115">
        <v>3</v>
      </c>
      <c r="BE242" s="1116">
        <v>3</v>
      </c>
      <c r="BF242" s="1115"/>
      <c r="BG242" s="1115"/>
      <c r="BH242" s="1115"/>
      <c r="BI242" s="1115"/>
      <c r="BJ242" s="1115"/>
      <c r="BK242" s="1115"/>
      <c r="BL242" s="1115"/>
      <c r="BM242" s="1115"/>
      <c r="BN242" s="1115">
        <v>1</v>
      </c>
      <c r="BO242" s="1115">
        <v>1</v>
      </c>
      <c r="BP242" s="1115">
        <v>1</v>
      </c>
      <c r="BQ242" s="1115"/>
      <c r="BR242" s="1115"/>
      <c r="BS242" s="1115"/>
      <c r="BT242" s="1115"/>
      <c r="BU242" s="1115"/>
      <c r="BV242" s="1115"/>
      <c r="BW242" s="1115"/>
      <c r="BX242" s="1115"/>
      <c r="BY242" s="1115"/>
      <c r="BZ242" s="1115"/>
      <c r="CA242" s="1117">
        <f t="shared" si="30"/>
        <v>3</v>
      </c>
      <c r="CB242" s="1117">
        <f t="shared" si="27"/>
        <v>3</v>
      </c>
      <c r="CC242" s="1117">
        <f t="shared" si="28"/>
        <v>0</v>
      </c>
      <c r="CD242" s="1113">
        <v>1.784</v>
      </c>
      <c r="CE242" s="1109" t="s">
        <v>4069</v>
      </c>
      <c r="CF242" s="1109"/>
      <c r="CG242" s="1109">
        <v>1.4</v>
      </c>
      <c r="CH242" s="1113">
        <v>127.255</v>
      </c>
      <c r="CI242" s="1139" t="s">
        <v>3835</v>
      </c>
      <c r="CJ242" s="1109" t="s">
        <v>504</v>
      </c>
      <c r="CK242" s="1109"/>
      <c r="CL242" s="1109"/>
      <c r="CM242" s="1115"/>
      <c r="CN242" s="1115"/>
      <c r="CO242" s="1115">
        <v>1</v>
      </c>
      <c r="CP242" s="1109" t="s">
        <v>504</v>
      </c>
      <c r="CQ242" s="1109"/>
      <c r="CR242" s="1115"/>
      <c r="CS242" s="1109" t="s">
        <v>504</v>
      </c>
      <c r="CT242" s="1109"/>
      <c r="CU242" s="1115"/>
      <c r="CV242" s="1115" t="s">
        <v>504</v>
      </c>
      <c r="CW242" s="1115"/>
      <c r="CX242" s="1115"/>
      <c r="CY242" s="1115" t="s">
        <v>504</v>
      </c>
      <c r="CZ242" s="1115"/>
      <c r="DA242" s="1115"/>
      <c r="DB242" s="1109" t="s">
        <v>504</v>
      </c>
      <c r="DC242" s="1109"/>
      <c r="DD242" s="1115"/>
      <c r="DE242" s="1109" t="s">
        <v>504</v>
      </c>
      <c r="DF242" s="1109"/>
      <c r="DG242" s="1115"/>
      <c r="DH242" s="1109" t="s">
        <v>504</v>
      </c>
      <c r="DI242" s="1109"/>
      <c r="DJ242" s="1115"/>
      <c r="DK242" s="1109" t="s">
        <v>504</v>
      </c>
      <c r="DL242" s="1109"/>
      <c r="DM242" s="1115"/>
      <c r="DN242" s="1109" t="s">
        <v>471</v>
      </c>
      <c r="DO242" s="1109" t="s">
        <v>4070</v>
      </c>
      <c r="DP242" s="1115">
        <v>1189</v>
      </c>
      <c r="DQ242" s="1109" t="s">
        <v>471</v>
      </c>
      <c r="DR242" s="1109" t="s">
        <v>4071</v>
      </c>
      <c r="DS242" s="1115">
        <v>278</v>
      </c>
      <c r="DT242" s="1115" t="s">
        <v>479</v>
      </c>
      <c r="DU242" s="1115"/>
      <c r="DV242" s="1115"/>
      <c r="DW242" s="1109" t="s">
        <v>479</v>
      </c>
      <c r="DX242" s="1109"/>
      <c r="DY242" s="1115"/>
      <c r="DZ242" s="1109" t="s">
        <v>479</v>
      </c>
      <c r="EA242" s="1109"/>
      <c r="EB242" s="1115"/>
      <c r="EC242" s="1109" t="s">
        <v>471</v>
      </c>
      <c r="ED242" s="1109" t="s">
        <v>4072</v>
      </c>
      <c r="EE242" s="1115">
        <v>10</v>
      </c>
      <c r="EF242" s="1115" t="s">
        <v>479</v>
      </c>
      <c r="EG242" s="1115"/>
      <c r="EH242" s="1115"/>
      <c r="EI242" s="1109" t="s">
        <v>479</v>
      </c>
      <c r="EJ242" s="1109"/>
      <c r="EK242" s="1115"/>
      <c r="EL242" s="1115"/>
      <c r="EM242" s="1115"/>
      <c r="EN242" s="1115"/>
      <c r="EO242" s="1109" t="s">
        <v>471</v>
      </c>
      <c r="EP242" s="1109" t="s">
        <v>4073</v>
      </c>
      <c r="EQ242" s="1127" t="s">
        <v>4074</v>
      </c>
      <c r="ER242" s="1109"/>
      <c r="ES242" s="1109" t="s">
        <v>4075</v>
      </c>
      <c r="ET242" s="1109" t="s">
        <v>4076</v>
      </c>
      <c r="EU242" s="1109" t="s">
        <v>4075</v>
      </c>
      <c r="EV242" s="1109" t="s">
        <v>4077</v>
      </c>
      <c r="EW242" s="1109">
        <v>2</v>
      </c>
      <c r="EX242" s="1109">
        <v>25</v>
      </c>
    </row>
    <row r="243" spans="3:154" ht="39.950000000000003" customHeight="1" x14ac:dyDescent="0.2">
      <c r="C243" s="1156" t="s">
        <v>693</v>
      </c>
      <c r="D243" s="1156" t="s">
        <v>5278</v>
      </c>
      <c r="E243" s="1104" t="s">
        <v>365</v>
      </c>
      <c r="F243" s="1104" t="s">
        <v>450</v>
      </c>
      <c r="G243" s="1109" t="s">
        <v>4078</v>
      </c>
      <c r="H243" s="1109" t="s">
        <v>4079</v>
      </c>
      <c r="I243" s="1109" t="s">
        <v>4079</v>
      </c>
      <c r="J243" s="1110">
        <v>2018</v>
      </c>
      <c r="K243" s="1105">
        <v>43987</v>
      </c>
      <c r="L243" s="1105">
        <v>44123</v>
      </c>
      <c r="M243" s="1369">
        <f t="shared" si="29"/>
        <v>136</v>
      </c>
      <c r="N243" s="1105"/>
      <c r="O243" s="1105"/>
      <c r="P243" s="1105"/>
      <c r="Q243" s="1105"/>
      <c r="R243" s="1105"/>
      <c r="S243" s="1105"/>
      <c r="T243" s="1105"/>
      <c r="U243" s="1105"/>
      <c r="V243" s="1105"/>
      <c r="W243" s="1105"/>
      <c r="X243" s="1105"/>
      <c r="Y243" s="1109" t="s">
        <v>4080</v>
      </c>
      <c r="Z243" s="1127" t="s">
        <v>4081</v>
      </c>
      <c r="AA243" s="1109" t="s">
        <v>4082</v>
      </c>
      <c r="AB243" s="1109" t="s">
        <v>4083</v>
      </c>
      <c r="AC243" s="1109" t="s">
        <v>4084</v>
      </c>
      <c r="AD243" s="1109" t="s">
        <v>4083</v>
      </c>
      <c r="AE243" s="1112">
        <v>1.407</v>
      </c>
      <c r="AF243" s="1113">
        <f t="shared" si="25"/>
        <v>1.407</v>
      </c>
      <c r="AG243" s="1113">
        <f t="shared" si="26"/>
        <v>0</v>
      </c>
      <c r="AH243" s="1112"/>
      <c r="AI243" s="1113"/>
      <c r="AJ243" s="1113"/>
      <c r="AK243" s="1112">
        <v>1.343</v>
      </c>
      <c r="AL243" s="1114">
        <v>0.95899999999999996</v>
      </c>
      <c r="AM243" s="1114"/>
      <c r="AN243" s="1112">
        <v>6.4000000000000001E-2</v>
      </c>
      <c r="AO243" s="1114">
        <v>4.1000000000000002E-2</v>
      </c>
      <c r="AP243" s="1112"/>
      <c r="AQ243" s="1114"/>
      <c r="AR243" s="1112"/>
      <c r="AS243" s="1114"/>
      <c r="AT243" s="1114"/>
      <c r="AU243" s="1114"/>
      <c r="AV243" s="1114"/>
      <c r="AW243" s="1114" t="s">
        <v>500</v>
      </c>
      <c r="AX243" s="1114" t="s">
        <v>4085</v>
      </c>
      <c r="AY243" s="1114"/>
      <c r="AZ243" s="1114"/>
      <c r="BA243" s="1113">
        <v>3</v>
      </c>
      <c r="BB243" s="1114"/>
      <c r="BC243" s="1115">
        <v>3</v>
      </c>
      <c r="BD243" s="1115">
        <v>3</v>
      </c>
      <c r="BE243" s="1116">
        <v>2</v>
      </c>
      <c r="BF243" s="1115"/>
      <c r="BG243" s="1115">
        <v>2</v>
      </c>
      <c r="BH243" s="1115"/>
      <c r="BI243" s="1115"/>
      <c r="BJ243" s="1115"/>
      <c r="BK243" s="1115"/>
      <c r="BL243" s="1115"/>
      <c r="BM243" s="1115"/>
      <c r="BN243" s="1115"/>
      <c r="BO243" s="1115"/>
      <c r="BP243" s="1115"/>
      <c r="BQ243" s="1115"/>
      <c r="BR243" s="1115"/>
      <c r="BS243" s="1115"/>
      <c r="BT243" s="1115"/>
      <c r="BU243" s="1115"/>
      <c r="BV243" s="1115"/>
      <c r="BW243" s="1115"/>
      <c r="BX243" s="1115"/>
      <c r="BY243" s="1115"/>
      <c r="BZ243" s="1115"/>
      <c r="CA243" s="1117">
        <f t="shared" si="30"/>
        <v>2</v>
      </c>
      <c r="CB243" s="1117">
        <f t="shared" si="27"/>
        <v>2</v>
      </c>
      <c r="CC243" s="1117">
        <f t="shared" si="28"/>
        <v>0</v>
      </c>
      <c r="CD243" s="1113">
        <v>1.4</v>
      </c>
      <c r="CE243" s="1109"/>
      <c r="CF243" s="1109"/>
      <c r="CG243" s="1109">
        <v>2.6</v>
      </c>
      <c r="CH243" s="1113">
        <v>53.45</v>
      </c>
      <c r="CI243" s="1139" t="s">
        <v>4086</v>
      </c>
      <c r="CJ243" s="1109" t="s">
        <v>504</v>
      </c>
      <c r="CK243" s="1109"/>
      <c r="CL243" s="1109"/>
      <c r="CM243" s="1115"/>
      <c r="CN243" s="1115"/>
      <c r="CO243" s="1115"/>
      <c r="CP243" s="1109"/>
      <c r="CQ243" s="1109"/>
      <c r="CR243" s="1115"/>
      <c r="CS243" s="1109"/>
      <c r="CT243" s="1109"/>
      <c r="CU243" s="1115"/>
      <c r="CV243" s="1115" t="s">
        <v>500</v>
      </c>
      <c r="CW243" s="1115" t="s">
        <v>4087</v>
      </c>
      <c r="CX243" s="1115">
        <v>10</v>
      </c>
      <c r="CY243" s="1115"/>
      <c r="CZ243" s="1115"/>
      <c r="DA243" s="1115"/>
      <c r="DB243" s="1109"/>
      <c r="DC243" s="1109"/>
      <c r="DD243" s="1115"/>
      <c r="DE243" s="1109"/>
      <c r="DF243" s="1109"/>
      <c r="DG243" s="1115"/>
      <c r="DH243" s="1109"/>
      <c r="DI243" s="1109"/>
      <c r="DJ243" s="1115"/>
      <c r="DK243" s="1109"/>
      <c r="DL243" s="1109"/>
      <c r="DM243" s="1115"/>
      <c r="DN243" s="1109"/>
      <c r="DO243" s="1109"/>
      <c r="DP243" s="1115"/>
      <c r="DQ243" s="1109"/>
      <c r="DR243" s="1109"/>
      <c r="DS243" s="1115"/>
      <c r="DT243" s="1115"/>
      <c r="DU243" s="1115"/>
      <c r="DV243" s="1115"/>
      <c r="DW243" s="1109"/>
      <c r="DX243" s="1109"/>
      <c r="DY243" s="1115"/>
      <c r="DZ243" s="1109"/>
      <c r="EA243" s="1109"/>
      <c r="EB243" s="1115"/>
      <c r="EC243" s="1109" t="s">
        <v>500</v>
      </c>
      <c r="ED243" s="1109" t="s">
        <v>4088</v>
      </c>
      <c r="EE243" s="1115"/>
      <c r="EF243" s="1115"/>
      <c r="EG243" s="1115"/>
      <c r="EH243" s="1115"/>
      <c r="EI243" s="1109"/>
      <c r="EJ243" s="1109"/>
      <c r="EK243" s="1115"/>
      <c r="EL243" s="1115"/>
      <c r="EM243" s="1115"/>
      <c r="EN243" s="1115"/>
      <c r="EO243" s="1109" t="s">
        <v>504</v>
      </c>
      <c r="EP243" s="1109"/>
      <c r="EQ243" s="1127" t="s">
        <v>4089</v>
      </c>
      <c r="ER243" s="1109"/>
      <c r="ES243" s="1109"/>
      <c r="ET243" s="1109"/>
      <c r="EU243" s="1109"/>
      <c r="EV243" s="1109"/>
      <c r="EW243" s="1109"/>
      <c r="EX243" s="1109"/>
    </row>
    <row r="244" spans="3:154" ht="39.950000000000003" customHeight="1" x14ac:dyDescent="0.2">
      <c r="C244" s="1156" t="s">
        <v>693</v>
      </c>
      <c r="D244" s="1156" t="s">
        <v>5278</v>
      </c>
      <c r="E244" s="1104" t="s">
        <v>365</v>
      </c>
      <c r="F244" s="1104" t="s">
        <v>450</v>
      </c>
      <c r="G244" s="1109" t="s">
        <v>4090</v>
      </c>
      <c r="H244" s="1109" t="s">
        <v>4091</v>
      </c>
      <c r="I244" s="1109" t="s">
        <v>4092</v>
      </c>
      <c r="J244" s="1110" t="s">
        <v>4093</v>
      </c>
      <c r="K244" s="1105">
        <v>43933</v>
      </c>
      <c r="L244" s="1105">
        <v>44190</v>
      </c>
      <c r="M244" s="1369">
        <f t="shared" si="29"/>
        <v>257</v>
      </c>
      <c r="N244" s="1105"/>
      <c r="O244" s="1105"/>
      <c r="P244" s="1105"/>
      <c r="Q244" s="1105"/>
      <c r="R244" s="1105"/>
      <c r="S244" s="1105"/>
      <c r="T244" s="1105"/>
      <c r="U244" s="1105"/>
      <c r="V244" s="1105"/>
      <c r="W244" s="1105"/>
      <c r="X244" s="1105"/>
      <c r="Y244" s="1109" t="s">
        <v>4094</v>
      </c>
      <c r="Z244" s="1127" t="s">
        <v>4095</v>
      </c>
      <c r="AA244" s="1109" t="s">
        <v>4096</v>
      </c>
      <c r="AB244" s="1135" t="s">
        <v>4097</v>
      </c>
      <c r="AC244" s="1109" t="s">
        <v>4098</v>
      </c>
      <c r="AD244" s="1109" t="s">
        <v>4099</v>
      </c>
      <c r="AE244" s="1112">
        <v>3.2610000000000001</v>
      </c>
      <c r="AF244" s="1113">
        <f t="shared" si="25"/>
        <v>3.2610000000000001</v>
      </c>
      <c r="AG244" s="1113">
        <f t="shared" si="26"/>
        <v>0</v>
      </c>
      <c r="AH244" s="1112"/>
      <c r="AI244" s="1113"/>
      <c r="AJ244" s="1113"/>
      <c r="AK244" s="1112">
        <v>3</v>
      </c>
      <c r="AL244" s="1114">
        <v>0.94</v>
      </c>
      <c r="AM244" s="1114">
        <v>8.9999999999999998E-4</v>
      </c>
      <c r="AN244" s="1112">
        <v>0.26100000000000001</v>
      </c>
      <c r="AO244" s="1114">
        <v>5.5E-2</v>
      </c>
      <c r="AP244" s="1112"/>
      <c r="AQ244" s="1114"/>
      <c r="AR244" s="1112"/>
      <c r="AS244" s="1114"/>
      <c r="AT244" s="1114"/>
      <c r="AU244" s="1114"/>
      <c r="AV244" s="1114"/>
      <c r="AW244" s="1114" t="s">
        <v>500</v>
      </c>
      <c r="AX244" s="1114" t="s">
        <v>4100</v>
      </c>
      <c r="AY244" s="1114" t="s">
        <v>4101</v>
      </c>
      <c r="AZ244" s="1114"/>
      <c r="BA244" s="1113">
        <v>2</v>
      </c>
      <c r="BB244" s="1114">
        <v>8.9999999999999998E-4</v>
      </c>
      <c r="BC244" s="1115">
        <v>10</v>
      </c>
      <c r="BD244" s="1115">
        <v>10</v>
      </c>
      <c r="BE244" s="1116">
        <v>10</v>
      </c>
      <c r="BF244" s="1115"/>
      <c r="BG244" s="1115"/>
      <c r="BH244" s="1115"/>
      <c r="BI244" s="1115"/>
      <c r="BJ244" s="1115"/>
      <c r="BK244" s="1115"/>
      <c r="BL244" s="1115">
        <v>7</v>
      </c>
      <c r="BM244" s="1115"/>
      <c r="BN244" s="1115">
        <v>3</v>
      </c>
      <c r="BO244" s="1115"/>
      <c r="BP244" s="1115"/>
      <c r="BQ244" s="1115"/>
      <c r="BR244" s="1115"/>
      <c r="BS244" s="1115"/>
      <c r="BT244" s="1115"/>
      <c r="BU244" s="1115"/>
      <c r="BV244" s="1115"/>
      <c r="BW244" s="1115"/>
      <c r="BX244" s="1115"/>
      <c r="BY244" s="1115"/>
      <c r="BZ244" s="1115"/>
      <c r="CA244" s="1117">
        <f t="shared" si="30"/>
        <v>10</v>
      </c>
      <c r="CB244" s="1117">
        <f t="shared" si="27"/>
        <v>10</v>
      </c>
      <c r="CC244" s="1117">
        <f t="shared" si="28"/>
        <v>0</v>
      </c>
      <c r="CD244" s="1113" t="s">
        <v>4102</v>
      </c>
      <c r="CE244" s="1109" t="s">
        <v>4103</v>
      </c>
      <c r="CF244" s="1127" t="s">
        <v>4104</v>
      </c>
      <c r="CG244" s="1109">
        <v>18.600000000000001</v>
      </c>
      <c r="CH244" s="1113">
        <v>44.646000000000001</v>
      </c>
      <c r="CI244" s="1139" t="s">
        <v>3835</v>
      </c>
      <c r="CJ244" s="1109" t="s">
        <v>479</v>
      </c>
      <c r="CK244" s="1109"/>
      <c r="CL244" s="1109"/>
      <c r="CM244" s="1115"/>
      <c r="CN244" s="1115"/>
      <c r="CO244" s="1115">
        <v>2</v>
      </c>
      <c r="CP244" s="1109" t="s">
        <v>471</v>
      </c>
      <c r="CQ244" s="1109" t="s">
        <v>4105</v>
      </c>
      <c r="CR244" s="1115">
        <v>1000</v>
      </c>
      <c r="CS244" s="1109" t="s">
        <v>471</v>
      </c>
      <c r="CT244" s="1109" t="s">
        <v>4106</v>
      </c>
      <c r="CU244" s="1115">
        <v>135</v>
      </c>
      <c r="CV244" s="1115" t="s">
        <v>471</v>
      </c>
      <c r="CW244" s="1115" t="s">
        <v>4107</v>
      </c>
      <c r="CX244" s="1115">
        <v>35</v>
      </c>
      <c r="CY244" s="1115" t="s">
        <v>479</v>
      </c>
      <c r="CZ244" s="1115"/>
      <c r="DA244" s="1115"/>
      <c r="DB244" s="1109" t="s">
        <v>479</v>
      </c>
      <c r="DC244" s="1109"/>
      <c r="DD244" s="1115"/>
      <c r="DE244" s="1109" t="s">
        <v>479</v>
      </c>
      <c r="DF244" s="1109"/>
      <c r="DG244" s="1115"/>
      <c r="DH244" s="1109" t="s">
        <v>479</v>
      </c>
      <c r="DI244" s="1109"/>
      <c r="DJ244" s="1115"/>
      <c r="DK244" s="1109" t="s">
        <v>479</v>
      </c>
      <c r="DL244" s="1109"/>
      <c r="DM244" s="1115"/>
      <c r="DN244" s="1109" t="s">
        <v>504</v>
      </c>
      <c r="DO244" s="1109"/>
      <c r="DP244" s="1115"/>
      <c r="DQ244" s="1109" t="s">
        <v>471</v>
      </c>
      <c r="DR244" s="1109" t="s">
        <v>4108</v>
      </c>
      <c r="DS244" s="1115">
        <v>100</v>
      </c>
      <c r="DT244" s="1115" t="s">
        <v>471</v>
      </c>
      <c r="DU244" s="1115" t="s">
        <v>4109</v>
      </c>
      <c r="DV244" s="1115">
        <v>35</v>
      </c>
      <c r="DW244" s="1109" t="s">
        <v>479</v>
      </c>
      <c r="DX244" s="1109"/>
      <c r="DY244" s="1115"/>
      <c r="DZ244" s="1109" t="s">
        <v>479</v>
      </c>
      <c r="EA244" s="1109"/>
      <c r="EB244" s="1115"/>
      <c r="EC244" s="1109" t="s">
        <v>479</v>
      </c>
      <c r="ED244" s="1109"/>
      <c r="EE244" s="1115"/>
      <c r="EF244" s="1115" t="s">
        <v>471</v>
      </c>
      <c r="EG244" s="1115" t="s">
        <v>4110</v>
      </c>
      <c r="EH244" s="1115">
        <v>9</v>
      </c>
      <c r="EI244" s="1109" t="s">
        <v>479</v>
      </c>
      <c r="EJ244" s="1109"/>
      <c r="EK244" s="1115"/>
      <c r="EL244" s="1115"/>
      <c r="EM244" s="1115"/>
      <c r="EN244" s="1115"/>
      <c r="EO244" s="1109" t="s">
        <v>479</v>
      </c>
      <c r="EP244" s="1109"/>
      <c r="EQ244" s="1127" t="s">
        <v>4111</v>
      </c>
      <c r="ER244" s="1127"/>
      <c r="ES244" s="1109"/>
      <c r="ET244" s="1109" t="s">
        <v>4112</v>
      </c>
      <c r="EU244" s="1109" t="s">
        <v>4113</v>
      </c>
      <c r="EV244" s="1109" t="s">
        <v>4114</v>
      </c>
      <c r="EW244" s="1109" t="s">
        <v>4115</v>
      </c>
      <c r="EX244" s="1109">
        <v>3</v>
      </c>
    </row>
    <row r="245" spans="3:154" ht="39.950000000000003" customHeight="1" x14ac:dyDescent="0.2">
      <c r="C245" s="1156" t="s">
        <v>693</v>
      </c>
      <c r="D245" s="1156" t="s">
        <v>5278</v>
      </c>
      <c r="E245" s="1104" t="s">
        <v>365</v>
      </c>
      <c r="F245" s="1104" t="s">
        <v>450</v>
      </c>
      <c r="G245" s="1109" t="s">
        <v>4116</v>
      </c>
      <c r="H245" s="1109" t="s">
        <v>4117</v>
      </c>
      <c r="I245" s="1109" t="s">
        <v>219</v>
      </c>
      <c r="J245" s="1110">
        <v>2018</v>
      </c>
      <c r="K245" s="1105">
        <v>43647</v>
      </c>
      <c r="L245" s="1105">
        <v>44169</v>
      </c>
      <c r="M245" s="1369">
        <f t="shared" si="29"/>
        <v>522</v>
      </c>
      <c r="N245" s="1105"/>
      <c r="O245" s="1105"/>
      <c r="P245" s="1105"/>
      <c r="Q245" s="1105"/>
      <c r="R245" s="1105"/>
      <c r="S245" s="1105"/>
      <c r="T245" s="1105"/>
      <c r="U245" s="1105"/>
      <c r="V245" s="1105"/>
      <c r="W245" s="1105"/>
      <c r="X245" s="1105"/>
      <c r="Y245" s="1109" t="s">
        <v>4118</v>
      </c>
      <c r="Z245" s="1127" t="s">
        <v>4119</v>
      </c>
      <c r="AA245" s="1109" t="s">
        <v>4120</v>
      </c>
      <c r="AB245" s="1104" t="s">
        <v>4121</v>
      </c>
      <c r="AC245" s="1104" t="s">
        <v>4122</v>
      </c>
      <c r="AD245" s="1104" t="s">
        <v>4123</v>
      </c>
      <c r="AE245" s="1112">
        <v>4.6580000000000004</v>
      </c>
      <c r="AF245" s="1113">
        <f t="shared" si="25"/>
        <v>4.6684000000000001</v>
      </c>
      <c r="AG245" s="1113">
        <f t="shared" si="26"/>
        <v>1.0399999999999743E-2</v>
      </c>
      <c r="AH245" s="1112"/>
      <c r="AI245" s="1113"/>
      <c r="AJ245" s="1113"/>
      <c r="AK245" s="1112">
        <v>3.9489999999999998</v>
      </c>
      <c r="AL245" s="1114">
        <v>0.8478</v>
      </c>
      <c r="AM245" s="1114">
        <v>5.9999999999999995E-4</v>
      </c>
      <c r="AN245" s="1112">
        <v>0.29099999999999998</v>
      </c>
      <c r="AO245" s="1114">
        <v>6.25E-2</v>
      </c>
      <c r="AP245" s="1112">
        <v>0.4284</v>
      </c>
      <c r="AQ245" s="1114">
        <v>8.9700000000000002E-2</v>
      </c>
      <c r="AR245" s="1112"/>
      <c r="AS245" s="1114"/>
      <c r="AT245" s="1114"/>
      <c r="AU245" s="1114"/>
      <c r="AV245" s="1114"/>
      <c r="AW245" s="1114" t="s">
        <v>500</v>
      </c>
      <c r="AX245" s="1114" t="s">
        <v>4124</v>
      </c>
      <c r="AY245" s="1113">
        <v>0.113</v>
      </c>
      <c r="AZ245" s="1114">
        <v>2.3699999999999999E-2</v>
      </c>
      <c r="BA245" s="1113">
        <v>5</v>
      </c>
      <c r="BB245" s="1114">
        <v>8.9999999999999998E-4</v>
      </c>
      <c r="BC245" s="1115">
        <v>12</v>
      </c>
      <c r="BD245" s="1115">
        <v>12</v>
      </c>
      <c r="BE245" s="1116">
        <v>10</v>
      </c>
      <c r="BF245" s="1115"/>
      <c r="BG245" s="1115"/>
      <c r="BH245" s="1115"/>
      <c r="BI245" s="1115"/>
      <c r="BJ245" s="1115"/>
      <c r="BK245" s="1115"/>
      <c r="BL245" s="1115">
        <v>4</v>
      </c>
      <c r="BM245" s="1115">
        <v>1</v>
      </c>
      <c r="BN245" s="1115">
        <v>1</v>
      </c>
      <c r="BO245" s="1115"/>
      <c r="BP245" s="1115"/>
      <c r="BQ245" s="1115"/>
      <c r="BR245" s="1115"/>
      <c r="BS245" s="1115"/>
      <c r="BT245" s="1115"/>
      <c r="BU245" s="1115"/>
      <c r="BV245" s="1115"/>
      <c r="BW245" s="1115"/>
      <c r="BX245" s="1115"/>
      <c r="BY245" s="1115"/>
      <c r="BZ245" s="1115">
        <v>2</v>
      </c>
      <c r="CA245" s="1117">
        <f t="shared" si="30"/>
        <v>8</v>
      </c>
      <c r="CB245" s="1117">
        <f t="shared" si="27"/>
        <v>8</v>
      </c>
      <c r="CC245" s="1117">
        <f t="shared" si="28"/>
        <v>0</v>
      </c>
      <c r="CD245" s="1113">
        <v>11.071</v>
      </c>
      <c r="CE245" s="1109" t="s">
        <v>4125</v>
      </c>
      <c r="CF245" s="1109"/>
      <c r="CG245" s="1109">
        <v>16.309999999999999</v>
      </c>
      <c r="CH245" s="1113">
        <v>67.872</v>
      </c>
      <c r="CI245" s="1139" t="s">
        <v>3835</v>
      </c>
      <c r="CJ245" s="1109" t="s">
        <v>504</v>
      </c>
      <c r="CK245" s="1109"/>
      <c r="CL245" s="1109"/>
      <c r="CM245" s="1115"/>
      <c r="CN245" s="1115"/>
      <c r="CO245" s="1115">
        <v>3</v>
      </c>
      <c r="CP245" s="1109"/>
      <c r="CQ245" s="1109"/>
      <c r="CR245" s="1115"/>
      <c r="CS245" s="1109" t="s">
        <v>500</v>
      </c>
      <c r="CT245" s="1109" t="s">
        <v>4126</v>
      </c>
      <c r="CU245" s="1115">
        <v>825</v>
      </c>
      <c r="CV245" s="1115" t="s">
        <v>504</v>
      </c>
      <c r="CW245" s="1115"/>
      <c r="CX245" s="1115"/>
      <c r="CY245" s="1115" t="s">
        <v>504</v>
      </c>
      <c r="CZ245" s="1115"/>
      <c r="DA245" s="1115"/>
      <c r="DB245" s="1109" t="s">
        <v>504</v>
      </c>
      <c r="DC245" s="1109"/>
      <c r="DD245" s="1115"/>
      <c r="DE245" s="1109" t="s">
        <v>504</v>
      </c>
      <c r="DF245" s="1109"/>
      <c r="DG245" s="1115"/>
      <c r="DH245" s="1109" t="s">
        <v>504</v>
      </c>
      <c r="DI245" s="1109"/>
      <c r="DJ245" s="1115"/>
      <c r="DK245" s="1109"/>
      <c r="DL245" s="1109"/>
      <c r="DM245" s="1115"/>
      <c r="DN245" s="1109" t="s">
        <v>504</v>
      </c>
      <c r="DO245" s="1109"/>
      <c r="DP245" s="1115"/>
      <c r="DQ245" s="1109" t="s">
        <v>504</v>
      </c>
      <c r="DR245" s="1109"/>
      <c r="DS245" s="1115"/>
      <c r="DT245" s="1115" t="s">
        <v>504</v>
      </c>
      <c r="DU245" s="1115"/>
      <c r="DV245" s="1115"/>
      <c r="DW245" s="1109" t="s">
        <v>504</v>
      </c>
      <c r="DX245" s="1109"/>
      <c r="DY245" s="1115"/>
      <c r="DZ245" s="1109" t="s">
        <v>504</v>
      </c>
      <c r="EA245" s="1109"/>
      <c r="EB245" s="1115"/>
      <c r="EC245" s="1109" t="s">
        <v>504</v>
      </c>
      <c r="ED245" s="1109"/>
      <c r="EE245" s="1115"/>
      <c r="EF245" s="1115" t="s">
        <v>500</v>
      </c>
      <c r="EG245" s="1115" t="s">
        <v>4127</v>
      </c>
      <c r="EH245" s="1115">
        <v>10</v>
      </c>
      <c r="EI245" s="1109" t="s">
        <v>504</v>
      </c>
      <c r="EJ245" s="1109"/>
      <c r="EK245" s="1115"/>
      <c r="EL245" s="1115"/>
      <c r="EM245" s="1115"/>
      <c r="EN245" s="1115"/>
      <c r="EO245" s="1109" t="s">
        <v>504</v>
      </c>
      <c r="EP245" s="1109"/>
      <c r="EQ245" s="1127" t="s">
        <v>4128</v>
      </c>
      <c r="ER245" s="1109"/>
      <c r="ES245" s="1109"/>
      <c r="ET245" s="1109" t="s">
        <v>4129</v>
      </c>
      <c r="EU245" s="1109"/>
      <c r="EV245" s="1109" t="s">
        <v>4130</v>
      </c>
      <c r="EW245" s="1109">
        <v>1</v>
      </c>
      <c r="EX245" s="1109">
        <v>50</v>
      </c>
    </row>
    <row r="246" spans="3:154" ht="39.950000000000003" customHeight="1" x14ac:dyDescent="0.2">
      <c r="C246" s="1156" t="s">
        <v>693</v>
      </c>
      <c r="D246" s="1156" t="s">
        <v>5278</v>
      </c>
      <c r="E246" s="1104" t="s">
        <v>365</v>
      </c>
      <c r="F246" s="1104" t="s">
        <v>450</v>
      </c>
      <c r="G246" s="1109" t="s">
        <v>4131</v>
      </c>
      <c r="H246" s="1109" t="s">
        <v>695</v>
      </c>
      <c r="I246" s="1109" t="s">
        <v>219</v>
      </c>
      <c r="J246" s="1110">
        <v>2020</v>
      </c>
      <c r="K246" s="1105">
        <v>43986</v>
      </c>
      <c r="L246" s="1105">
        <v>44196</v>
      </c>
      <c r="M246" s="1369">
        <f t="shared" si="29"/>
        <v>210</v>
      </c>
      <c r="N246" s="1105"/>
      <c r="O246" s="1105"/>
      <c r="P246" s="1105"/>
      <c r="Q246" s="1105"/>
      <c r="R246" s="1105"/>
      <c r="S246" s="1105"/>
      <c r="T246" s="1105"/>
      <c r="U246" s="1105"/>
      <c r="V246" s="1105"/>
      <c r="W246" s="1105"/>
      <c r="X246" s="1105"/>
      <c r="Y246" s="1109" t="s">
        <v>4132</v>
      </c>
      <c r="Z246" s="1127" t="s">
        <v>4133</v>
      </c>
      <c r="AA246" s="1109" t="s">
        <v>4134</v>
      </c>
      <c r="AB246" s="1109" t="s">
        <v>4134</v>
      </c>
      <c r="AC246" s="1109" t="s">
        <v>4135</v>
      </c>
      <c r="AD246" s="1109" t="s">
        <v>4136</v>
      </c>
      <c r="AE246" s="1112">
        <v>1.3360000000000001</v>
      </c>
      <c r="AF246" s="1113">
        <f t="shared" si="25"/>
        <v>1.3360000000000001</v>
      </c>
      <c r="AG246" s="1113">
        <f t="shared" si="26"/>
        <v>0</v>
      </c>
      <c r="AH246" s="1112"/>
      <c r="AI246" s="1113"/>
      <c r="AJ246" s="1113"/>
      <c r="AK246" s="1112">
        <v>1.2</v>
      </c>
      <c r="AL246" s="1114">
        <f>AK246/AE246</f>
        <v>0.89820359281437112</v>
      </c>
      <c r="AM246" s="1114">
        <f>AE246/75.247</f>
        <v>1.7754860658896702E-2</v>
      </c>
      <c r="AN246" s="1112">
        <v>7.5999999999999998E-2</v>
      </c>
      <c r="AO246" s="1114">
        <f t="shared" ref="AO246:AO252" si="31">AN246/AE246</f>
        <v>5.6886227544910177E-2</v>
      </c>
      <c r="AP246" s="1112">
        <v>0.06</v>
      </c>
      <c r="AQ246" s="1114">
        <f>AP246/AE246</f>
        <v>4.4910179640718556E-2</v>
      </c>
      <c r="AR246" s="1112"/>
      <c r="AS246" s="1114"/>
      <c r="AT246" s="1114"/>
      <c r="AU246" s="1114"/>
      <c r="AV246" s="1114"/>
      <c r="AW246" s="1114" t="s">
        <v>504</v>
      </c>
      <c r="AX246" s="1114"/>
      <c r="AY246" s="1114"/>
      <c r="AZ246" s="1114"/>
      <c r="BA246" s="1113"/>
      <c r="BB246" s="1114"/>
      <c r="BC246" s="1115">
        <v>4</v>
      </c>
      <c r="BD246" s="1115">
        <v>4</v>
      </c>
      <c r="BE246" s="1116">
        <v>0</v>
      </c>
      <c r="BF246" s="1115"/>
      <c r="BG246" s="1115">
        <v>1</v>
      </c>
      <c r="BH246" s="1115"/>
      <c r="BI246" s="1115"/>
      <c r="BJ246" s="1115"/>
      <c r="BK246" s="1115">
        <v>1</v>
      </c>
      <c r="BL246" s="1115"/>
      <c r="BM246" s="1115"/>
      <c r="BN246" s="1115">
        <v>1</v>
      </c>
      <c r="BO246" s="1115"/>
      <c r="BP246" s="1115"/>
      <c r="BQ246" s="1115">
        <v>1</v>
      </c>
      <c r="BR246" s="1115"/>
      <c r="BS246" s="1115"/>
      <c r="BT246" s="1115"/>
      <c r="BU246" s="1115"/>
      <c r="BV246" s="1115"/>
      <c r="BW246" s="1115"/>
      <c r="BX246" s="1115"/>
      <c r="BY246" s="1115"/>
      <c r="BZ246" s="1115"/>
      <c r="CA246" s="1117">
        <f t="shared" si="30"/>
        <v>4</v>
      </c>
      <c r="CB246" s="1117">
        <f t="shared" si="27"/>
        <v>4</v>
      </c>
      <c r="CC246" s="1117">
        <f t="shared" si="28"/>
        <v>0</v>
      </c>
      <c r="CD246" s="1113">
        <v>5</v>
      </c>
      <c r="CE246" s="1109"/>
      <c r="CF246" s="1109"/>
      <c r="CG246" s="1109">
        <v>100</v>
      </c>
      <c r="CH246" s="1113">
        <v>4.7809999999999997</v>
      </c>
      <c r="CI246" s="1139" t="s">
        <v>3835</v>
      </c>
      <c r="CJ246" s="1109" t="s">
        <v>504</v>
      </c>
      <c r="CK246" s="1109"/>
      <c r="CL246" s="1109"/>
      <c r="CM246" s="1115"/>
      <c r="CN246" s="1115"/>
      <c r="CO246" s="1115">
        <v>7</v>
      </c>
      <c r="CP246" s="1109" t="s">
        <v>500</v>
      </c>
      <c r="CQ246" s="1127" t="s">
        <v>4137</v>
      </c>
      <c r="CR246" s="1115">
        <v>22</v>
      </c>
      <c r="CS246" s="1109" t="s">
        <v>500</v>
      </c>
      <c r="CT246" s="1127" t="s">
        <v>4137</v>
      </c>
      <c r="CU246" s="1115">
        <v>22</v>
      </c>
      <c r="CV246" s="1115" t="s">
        <v>504</v>
      </c>
      <c r="CW246" s="1115"/>
      <c r="CX246" s="1115"/>
      <c r="CY246" s="1115" t="s">
        <v>504</v>
      </c>
      <c r="CZ246" s="1115"/>
      <c r="DA246" s="1115"/>
      <c r="DB246" s="1109" t="s">
        <v>504</v>
      </c>
      <c r="DC246" s="1109"/>
      <c r="DD246" s="1115"/>
      <c r="DE246" s="1109" t="s">
        <v>504</v>
      </c>
      <c r="DF246" s="1109"/>
      <c r="DG246" s="1115"/>
      <c r="DH246" s="1109" t="s">
        <v>504</v>
      </c>
      <c r="DI246" s="1109"/>
      <c r="DJ246" s="1115"/>
      <c r="DK246" s="1109"/>
      <c r="DL246" s="1109"/>
      <c r="DM246" s="1115"/>
      <c r="DN246" s="1109" t="s">
        <v>504</v>
      </c>
      <c r="DO246" s="1109"/>
      <c r="DP246" s="1115"/>
      <c r="DQ246" s="1109" t="s">
        <v>504</v>
      </c>
      <c r="DR246" s="1109"/>
      <c r="DS246" s="1115"/>
      <c r="DT246" s="1115" t="s">
        <v>504</v>
      </c>
      <c r="DU246" s="1115"/>
      <c r="DV246" s="1115"/>
      <c r="DW246" s="1109" t="s">
        <v>504</v>
      </c>
      <c r="DX246" s="1109"/>
      <c r="DY246" s="1115"/>
      <c r="DZ246" s="1109" t="s">
        <v>504</v>
      </c>
      <c r="EA246" s="1127"/>
      <c r="EB246" s="1115"/>
      <c r="EC246" s="1109" t="s">
        <v>500</v>
      </c>
      <c r="ED246" s="1127" t="s">
        <v>4137</v>
      </c>
      <c r="EE246" s="1115">
        <v>8</v>
      </c>
      <c r="EF246" s="1115" t="s">
        <v>504</v>
      </c>
      <c r="EG246" s="1115"/>
      <c r="EH246" s="1115"/>
      <c r="EI246" s="1109" t="s">
        <v>504</v>
      </c>
      <c r="EJ246" s="1109"/>
      <c r="EK246" s="1115"/>
      <c r="EL246" s="1115"/>
      <c r="EM246" s="1115"/>
      <c r="EN246" s="1115"/>
      <c r="EO246" s="1109" t="s">
        <v>504</v>
      </c>
      <c r="EP246" s="1109"/>
      <c r="EQ246" s="1188" t="s">
        <v>4138</v>
      </c>
      <c r="ER246" s="1109"/>
      <c r="ES246" s="1109"/>
      <c r="ET246" s="1109" t="s">
        <v>504</v>
      </c>
      <c r="EU246" s="1109"/>
      <c r="EV246" s="1109" t="s">
        <v>4139</v>
      </c>
      <c r="EW246" s="1109">
        <v>1</v>
      </c>
      <c r="EX246" s="1109">
        <v>1</v>
      </c>
    </row>
    <row r="247" spans="3:154" ht="39.950000000000003" customHeight="1" x14ac:dyDescent="0.2">
      <c r="C247" s="1156" t="s">
        <v>693</v>
      </c>
      <c r="D247" s="1156" t="s">
        <v>5278</v>
      </c>
      <c r="E247" s="1104" t="s">
        <v>365</v>
      </c>
      <c r="F247" s="1104" t="s">
        <v>450</v>
      </c>
      <c r="G247" s="1109" t="s">
        <v>4140</v>
      </c>
      <c r="H247" s="1109" t="s">
        <v>1035</v>
      </c>
      <c r="I247" s="1109" t="s">
        <v>504</v>
      </c>
      <c r="J247" s="1110">
        <v>2020</v>
      </c>
      <c r="K247" s="1105">
        <v>43831</v>
      </c>
      <c r="L247" s="1105">
        <v>44196</v>
      </c>
      <c r="M247" s="1369">
        <f t="shared" si="29"/>
        <v>365</v>
      </c>
      <c r="N247" s="1353"/>
      <c r="O247" s="1353"/>
      <c r="P247" s="1353"/>
      <c r="Q247" s="1353"/>
      <c r="R247" s="1353"/>
      <c r="S247" s="1353"/>
      <c r="T247" s="1353"/>
      <c r="U247" s="1353"/>
      <c r="V247" s="1353"/>
      <c r="W247" s="1353"/>
      <c r="X247" s="1353"/>
      <c r="Y247" s="1109" t="s">
        <v>4142</v>
      </c>
      <c r="Z247" s="1109"/>
      <c r="AA247" s="1109" t="s">
        <v>4143</v>
      </c>
      <c r="AB247" s="1109" t="str">
        <f>AA247</f>
        <v>Администрация городского поселения Таежный</v>
      </c>
      <c r="AC247" s="1109" t="s">
        <v>4144</v>
      </c>
      <c r="AD247" s="1109" t="str">
        <f>AA247</f>
        <v>Администрация городского поселения Таежный</v>
      </c>
      <c r="AE247" s="1112">
        <v>1.36</v>
      </c>
      <c r="AF247" s="1113">
        <f t="shared" si="25"/>
        <v>1.3604400000000001</v>
      </c>
      <c r="AG247" s="1113">
        <f t="shared" si="26"/>
        <v>4.3999999999999595E-4</v>
      </c>
      <c r="AH247" s="1112"/>
      <c r="AI247" s="1113"/>
      <c r="AJ247" s="1113"/>
      <c r="AK247" s="1112">
        <v>1.2</v>
      </c>
      <c r="AL247" s="1114">
        <f>((AK247/AE247)/100)*100</f>
        <v>0.88235294117647045</v>
      </c>
      <c r="AM247" s="1114">
        <f>AE247/42517*100</f>
        <v>3.1987205117952819E-3</v>
      </c>
      <c r="AN247" s="1112">
        <v>0.157</v>
      </c>
      <c r="AO247" s="1114">
        <f t="shared" si="31"/>
        <v>0.11544117647058823</v>
      </c>
      <c r="AP247" s="1112">
        <v>3.4399999999999999E-3</v>
      </c>
      <c r="AQ247" s="1114">
        <f>AP247/AE247</f>
        <v>2.529411764705882E-3</v>
      </c>
      <c r="AR247" s="1112"/>
      <c r="AS247" s="1114"/>
      <c r="AT247" s="1114"/>
      <c r="AU247" s="1114"/>
      <c r="AV247" s="1114"/>
      <c r="AW247" s="1114" t="s">
        <v>504</v>
      </c>
      <c r="AX247" s="1114"/>
      <c r="AY247" s="1114"/>
      <c r="AZ247" s="1114"/>
      <c r="BA247" s="1113"/>
      <c r="BB247" s="1114"/>
      <c r="BC247" s="1115">
        <v>7</v>
      </c>
      <c r="BD247" s="1115">
        <v>7</v>
      </c>
      <c r="BE247" s="1116">
        <v>7</v>
      </c>
      <c r="BF247" s="1115"/>
      <c r="BG247" s="1115">
        <v>2</v>
      </c>
      <c r="BH247" s="1115">
        <v>1</v>
      </c>
      <c r="BI247" s="1115"/>
      <c r="BJ247" s="1115"/>
      <c r="BK247" s="1115">
        <v>1</v>
      </c>
      <c r="BL247" s="1115"/>
      <c r="BM247" s="1115"/>
      <c r="BN247" s="1115"/>
      <c r="BO247" s="1115">
        <v>1</v>
      </c>
      <c r="BP247" s="1115">
        <v>1</v>
      </c>
      <c r="BQ247" s="1115">
        <v>1</v>
      </c>
      <c r="BR247" s="1115"/>
      <c r="BS247" s="1115"/>
      <c r="BT247" s="1115"/>
      <c r="BU247" s="1115"/>
      <c r="BV247" s="1115"/>
      <c r="BW247" s="1115"/>
      <c r="BX247" s="1115"/>
      <c r="BY247" s="1115"/>
      <c r="BZ247" s="1115"/>
      <c r="CA247" s="1117">
        <f t="shared" si="30"/>
        <v>7</v>
      </c>
      <c r="CB247" s="1117">
        <f t="shared" si="27"/>
        <v>7</v>
      </c>
      <c r="CC247" s="1117">
        <f t="shared" si="28"/>
        <v>0</v>
      </c>
      <c r="CD247" s="1113">
        <v>1</v>
      </c>
      <c r="CE247" s="1109" t="s">
        <v>4145</v>
      </c>
      <c r="CF247" s="1109"/>
      <c r="CG247" s="1109"/>
      <c r="CH247" s="1113">
        <v>1.923</v>
      </c>
      <c r="CI247" s="1139" t="s">
        <v>3835</v>
      </c>
      <c r="CJ247" s="1109" t="s">
        <v>504</v>
      </c>
      <c r="CK247" s="1109"/>
      <c r="CL247" s="1109"/>
      <c r="CM247" s="1115"/>
      <c r="CN247" s="1115"/>
      <c r="CO247" s="1115">
        <v>1</v>
      </c>
      <c r="CP247" s="1109" t="s">
        <v>500</v>
      </c>
      <c r="CQ247" s="1107"/>
      <c r="CR247" s="1115">
        <v>950</v>
      </c>
      <c r="CS247" s="1109" t="s">
        <v>500</v>
      </c>
      <c r="CT247" s="1115" t="s">
        <v>4146</v>
      </c>
      <c r="CU247" s="1115">
        <v>5</v>
      </c>
      <c r="CV247" s="1115" t="s">
        <v>500</v>
      </c>
      <c r="CW247" s="1115" t="s">
        <v>4146</v>
      </c>
      <c r="CX247" s="1115">
        <v>5</v>
      </c>
      <c r="CY247" s="1115" t="s">
        <v>504</v>
      </c>
      <c r="CZ247" s="1115"/>
      <c r="DA247" s="1115"/>
      <c r="DB247" s="1109" t="s">
        <v>504</v>
      </c>
      <c r="DC247" s="1109"/>
      <c r="DD247" s="1115"/>
      <c r="DE247" s="1109" t="s">
        <v>500</v>
      </c>
      <c r="DF247" s="1107" t="s">
        <v>4147</v>
      </c>
      <c r="DG247" s="1115">
        <v>130</v>
      </c>
      <c r="DH247" s="1109" t="s">
        <v>504</v>
      </c>
      <c r="DI247" s="1137"/>
      <c r="DJ247" s="1115"/>
      <c r="DK247" s="1109" t="s">
        <v>504</v>
      </c>
      <c r="DL247" s="1109"/>
      <c r="DM247" s="1115"/>
      <c r="DN247" s="1109" t="s">
        <v>500</v>
      </c>
      <c r="DO247" s="1137"/>
      <c r="DP247" s="1115">
        <v>85</v>
      </c>
      <c r="DQ247" s="1109" t="s">
        <v>500</v>
      </c>
      <c r="DR247" s="1115" t="s">
        <v>4146</v>
      </c>
      <c r="DS247" s="1115">
        <v>5</v>
      </c>
      <c r="DT247" s="1115" t="s">
        <v>504</v>
      </c>
      <c r="DU247" s="1115"/>
      <c r="DV247" s="1115"/>
      <c r="DW247" s="1109" t="s">
        <v>504</v>
      </c>
      <c r="DX247" s="1109"/>
      <c r="DY247" s="1115"/>
      <c r="DZ247" s="1109" t="s">
        <v>504</v>
      </c>
      <c r="EA247" s="1109"/>
      <c r="EB247" s="1115"/>
      <c r="EC247" s="1109" t="s">
        <v>504</v>
      </c>
      <c r="ED247" s="1109"/>
      <c r="EE247" s="1115"/>
      <c r="EF247" s="1115" t="s">
        <v>504</v>
      </c>
      <c r="EG247" s="1115"/>
      <c r="EH247" s="1115"/>
      <c r="EI247" s="1109" t="s">
        <v>504</v>
      </c>
      <c r="EJ247" s="1109"/>
      <c r="EK247" s="1115"/>
      <c r="EL247" s="1115"/>
      <c r="EM247" s="1115"/>
      <c r="EN247" s="1115"/>
      <c r="EO247" s="1109" t="s">
        <v>504</v>
      </c>
      <c r="EP247" s="1109"/>
      <c r="EQ247" s="1137" t="s">
        <v>4147</v>
      </c>
      <c r="ER247" s="1127" t="s">
        <v>4148</v>
      </c>
      <c r="ES247" s="1109"/>
      <c r="ET247" s="1109" t="s">
        <v>504</v>
      </c>
      <c r="EU247" s="1109"/>
      <c r="EV247" s="1109" t="s">
        <v>504</v>
      </c>
      <c r="EW247" s="1109"/>
      <c r="EX247" s="1109"/>
    </row>
    <row r="248" spans="3:154" customFormat="1" ht="39.950000000000003" customHeight="1" x14ac:dyDescent="0.25">
      <c r="C248" s="1156" t="s">
        <v>693</v>
      </c>
      <c r="D248" s="1156" t="s">
        <v>5278</v>
      </c>
      <c r="E248" s="1104" t="s">
        <v>365</v>
      </c>
      <c r="F248" s="1104" t="s">
        <v>450</v>
      </c>
      <c r="G248" s="1109" t="s">
        <v>4149</v>
      </c>
      <c r="H248" s="1109" t="s">
        <v>3841</v>
      </c>
      <c r="I248" s="1109" t="s">
        <v>219</v>
      </c>
      <c r="J248" s="1110">
        <v>2020</v>
      </c>
      <c r="K248" s="1105">
        <v>44032</v>
      </c>
      <c r="L248" s="1105">
        <v>44036</v>
      </c>
      <c r="M248" s="1369">
        <f t="shared" si="29"/>
        <v>4</v>
      </c>
      <c r="N248" s="1105"/>
      <c r="O248" s="1105"/>
      <c r="P248" s="1105"/>
      <c r="Q248" s="1105"/>
      <c r="R248" s="1105"/>
      <c r="S248" s="1105"/>
      <c r="T248" s="1105"/>
      <c r="U248" s="1105"/>
      <c r="V248" s="1105"/>
      <c r="W248" s="1105"/>
      <c r="X248" s="1105"/>
      <c r="Y248" s="1109" t="s">
        <v>4150</v>
      </c>
      <c r="Z248" s="1127" t="s">
        <v>4151</v>
      </c>
      <c r="AA248" s="1109" t="s">
        <v>4152</v>
      </c>
      <c r="AB248" s="1109" t="s">
        <v>4152</v>
      </c>
      <c r="AC248" s="1109" t="s">
        <v>4144</v>
      </c>
      <c r="AD248" s="1109" t="s">
        <v>4152</v>
      </c>
      <c r="AE248" s="1112">
        <v>1.333</v>
      </c>
      <c r="AF248" s="1113">
        <f t="shared" si="25"/>
        <v>1.3344399999999998</v>
      </c>
      <c r="AG248" s="1113">
        <f t="shared" si="26"/>
        <v>1.4399999999998858E-3</v>
      </c>
      <c r="AH248" s="1112"/>
      <c r="AI248" s="1113"/>
      <c r="AJ248" s="1113"/>
      <c r="AK248" s="1112">
        <v>1.2</v>
      </c>
      <c r="AL248" s="1114">
        <f>AK248/AE248</f>
        <v>0.90022505626406601</v>
      </c>
      <c r="AM248" s="1114">
        <f>AE248/60.457</f>
        <v>2.2048728848603139E-2</v>
      </c>
      <c r="AN248" s="1112">
        <v>1.0999999999999999E-2</v>
      </c>
      <c r="AO248" s="1114">
        <f t="shared" si="31"/>
        <v>8.2520630157539385E-3</v>
      </c>
      <c r="AP248" s="1112">
        <v>0.12343999999999999</v>
      </c>
      <c r="AQ248" s="1114">
        <f>AP248/AE248</f>
        <v>9.2603150787696917E-2</v>
      </c>
      <c r="AR248" s="1112"/>
      <c r="AS248" s="1114"/>
      <c r="AT248" s="1114"/>
      <c r="AU248" s="1114"/>
      <c r="AV248" s="1114"/>
      <c r="AW248" s="1114" t="s">
        <v>504</v>
      </c>
      <c r="AX248" s="1114"/>
      <c r="AY248" s="1114"/>
      <c r="AZ248" s="1114"/>
      <c r="BA248" s="1113"/>
      <c r="BB248" s="1114"/>
      <c r="BC248" s="1115">
        <v>2</v>
      </c>
      <c r="BD248" s="1115">
        <v>1</v>
      </c>
      <c r="BE248" s="1116">
        <v>1</v>
      </c>
      <c r="BF248" s="1115"/>
      <c r="BG248" s="1115">
        <v>1</v>
      </c>
      <c r="BH248" s="1115"/>
      <c r="BI248" s="1115"/>
      <c r="BJ248" s="1115"/>
      <c r="BK248" s="1115"/>
      <c r="BL248" s="1115"/>
      <c r="BM248" s="1115"/>
      <c r="BN248" s="1115"/>
      <c r="BO248" s="1115"/>
      <c r="BP248" s="1115"/>
      <c r="BQ248" s="1115"/>
      <c r="BR248" s="1115"/>
      <c r="BS248" s="1115"/>
      <c r="BT248" s="1115"/>
      <c r="BU248" s="1115"/>
      <c r="BV248" s="1115"/>
      <c r="BW248" s="1115"/>
      <c r="BX248" s="1115"/>
      <c r="BY248" s="1115"/>
      <c r="BZ248" s="1115"/>
      <c r="CA248" s="1117">
        <f t="shared" si="30"/>
        <v>1</v>
      </c>
      <c r="CB248" s="1117">
        <f t="shared" si="27"/>
        <v>1</v>
      </c>
      <c r="CC248" s="1117">
        <f t="shared" si="28"/>
        <v>0</v>
      </c>
      <c r="CD248" s="1113">
        <v>3</v>
      </c>
      <c r="CE248" s="1109" t="s">
        <v>4145</v>
      </c>
      <c r="CF248" s="1127"/>
      <c r="CG248" s="1109"/>
      <c r="CH248" s="1113">
        <v>3.2690000000000001</v>
      </c>
      <c r="CI248" s="1139" t="s">
        <v>3835</v>
      </c>
      <c r="CJ248" s="1109" t="s">
        <v>504</v>
      </c>
      <c r="CK248" s="1109"/>
      <c r="CL248" s="1109"/>
      <c r="CM248" s="1115"/>
      <c r="CN248" s="1115"/>
      <c r="CO248" s="1115"/>
      <c r="CP248" s="1109" t="s">
        <v>500</v>
      </c>
      <c r="CQ248" s="1109" t="s">
        <v>4153</v>
      </c>
      <c r="CR248" s="1115">
        <v>30</v>
      </c>
      <c r="CS248" s="1109" t="s">
        <v>500</v>
      </c>
      <c r="CT248" s="1109" t="s">
        <v>1931</v>
      </c>
      <c r="CU248" s="1115">
        <v>20</v>
      </c>
      <c r="CV248" s="1115" t="s">
        <v>504</v>
      </c>
      <c r="CW248" s="1115"/>
      <c r="CX248" s="1115"/>
      <c r="CY248" s="1115" t="s">
        <v>504</v>
      </c>
      <c r="CZ248" s="1115"/>
      <c r="DA248" s="1115"/>
      <c r="DB248" s="1109" t="s">
        <v>504</v>
      </c>
      <c r="DC248" s="1109"/>
      <c r="DD248" s="1115"/>
      <c r="DE248" s="1109" t="s">
        <v>504</v>
      </c>
      <c r="DF248" s="1109"/>
      <c r="DG248" s="1115"/>
      <c r="DH248" s="1109" t="s">
        <v>504</v>
      </c>
      <c r="DI248" s="1109"/>
      <c r="DJ248" s="1115"/>
      <c r="DK248" s="1109" t="s">
        <v>504</v>
      </c>
      <c r="DL248" s="1109"/>
      <c r="DM248" s="1115"/>
      <c r="DN248" s="1109" t="s">
        <v>504</v>
      </c>
      <c r="DO248" s="1109"/>
      <c r="DP248" s="1115"/>
      <c r="DQ248" s="1109" t="s">
        <v>500</v>
      </c>
      <c r="DR248" s="1109" t="s">
        <v>4154</v>
      </c>
      <c r="DS248" s="1115">
        <v>20</v>
      </c>
      <c r="DT248" s="1115" t="s">
        <v>504</v>
      </c>
      <c r="DU248" s="1115"/>
      <c r="DV248" s="1115"/>
      <c r="DW248" s="1109" t="s">
        <v>504</v>
      </c>
      <c r="DX248" s="1109"/>
      <c r="DY248" s="1115"/>
      <c r="DZ248" s="1109" t="s">
        <v>504</v>
      </c>
      <c r="EA248" s="1109"/>
      <c r="EB248" s="1115"/>
      <c r="EC248" s="1109" t="s">
        <v>504</v>
      </c>
      <c r="ED248" s="1109"/>
      <c r="EE248" s="1115"/>
      <c r="EF248" s="1115" t="s">
        <v>504</v>
      </c>
      <c r="EG248" s="1115"/>
      <c r="EH248" s="1115"/>
      <c r="EI248" s="1109" t="s">
        <v>504</v>
      </c>
      <c r="EJ248" s="1109"/>
      <c r="EK248" s="1115"/>
      <c r="EL248" s="1115"/>
      <c r="EM248" s="1115"/>
      <c r="EN248" s="1115"/>
      <c r="EO248" s="1109" t="s">
        <v>504</v>
      </c>
      <c r="EP248" s="1109"/>
      <c r="EQ248" s="1127" t="s">
        <v>4155</v>
      </c>
      <c r="ER248" s="1127" t="s">
        <v>4156</v>
      </c>
      <c r="ES248" s="1109" t="s">
        <v>2008</v>
      </c>
      <c r="ET248" s="1127" t="s">
        <v>4157</v>
      </c>
      <c r="EU248" s="1127" t="s">
        <v>4158</v>
      </c>
      <c r="EV248" s="1109" t="s">
        <v>504</v>
      </c>
      <c r="EW248" s="1109"/>
      <c r="EX248" s="1109"/>
    </row>
    <row r="249" spans="3:154" ht="39.950000000000003" customHeight="1" x14ac:dyDescent="0.2">
      <c r="C249" s="1156" t="s">
        <v>693</v>
      </c>
      <c r="D249" s="1156" t="s">
        <v>5278</v>
      </c>
      <c r="E249" s="1104" t="s">
        <v>365</v>
      </c>
      <c r="F249" s="1104" t="s">
        <v>450</v>
      </c>
      <c r="G249" s="1109" t="s">
        <v>4159</v>
      </c>
      <c r="H249" s="1109" t="s">
        <v>1035</v>
      </c>
      <c r="I249" s="1109" t="s">
        <v>504</v>
      </c>
      <c r="J249" s="1110">
        <v>2020</v>
      </c>
      <c r="K249" s="1105">
        <v>43999</v>
      </c>
      <c r="L249" s="1105">
        <v>44144</v>
      </c>
      <c r="M249" s="1369">
        <f t="shared" si="29"/>
        <v>145</v>
      </c>
      <c r="N249" s="1105"/>
      <c r="O249" s="1105"/>
      <c r="P249" s="1105"/>
      <c r="Q249" s="1105"/>
      <c r="R249" s="1105"/>
      <c r="S249" s="1105"/>
      <c r="T249" s="1105"/>
      <c r="U249" s="1105"/>
      <c r="V249" s="1105"/>
      <c r="W249" s="1105"/>
      <c r="X249" s="1105"/>
      <c r="Y249" s="1109" t="s">
        <v>4160</v>
      </c>
      <c r="Z249" s="1109"/>
      <c r="AA249" s="1109" t="s">
        <v>4161</v>
      </c>
      <c r="AB249" s="1109" t="s">
        <v>4162</v>
      </c>
      <c r="AC249" s="1109" t="s">
        <v>4144</v>
      </c>
      <c r="AD249" s="1109" t="s">
        <v>4162</v>
      </c>
      <c r="AE249" s="1112">
        <v>0.40100000000000002</v>
      </c>
      <c r="AF249" s="1113">
        <f t="shared" si="25"/>
        <v>0.40059999999999996</v>
      </c>
      <c r="AG249" s="1113">
        <f t="shared" si="26"/>
        <v>-4.0000000000006697E-4</v>
      </c>
      <c r="AH249" s="1112"/>
      <c r="AI249" s="1113"/>
      <c r="AJ249" s="1113"/>
      <c r="AK249" s="1112">
        <v>0.29759999999999998</v>
      </c>
      <c r="AL249" s="1114">
        <v>0.74309999999999998</v>
      </c>
      <c r="AM249" s="1114">
        <f>AE249/40.546</f>
        <v>9.8900014798007207E-3</v>
      </c>
      <c r="AN249" s="1112">
        <v>0.10299999999999999</v>
      </c>
      <c r="AO249" s="1114">
        <f t="shared" si="31"/>
        <v>0.256857855361596</v>
      </c>
      <c r="AP249" s="1112">
        <v>0</v>
      </c>
      <c r="AQ249" s="1114">
        <f>AP249/AE249</f>
        <v>0</v>
      </c>
      <c r="AR249" s="1112"/>
      <c r="AS249" s="1114"/>
      <c r="AT249" s="1114"/>
      <c r="AU249" s="1114"/>
      <c r="AV249" s="1114"/>
      <c r="AW249" s="1114" t="s">
        <v>504</v>
      </c>
      <c r="AX249" s="1114" t="s">
        <v>4163</v>
      </c>
      <c r="AY249" s="1116">
        <v>0</v>
      </c>
      <c r="AZ249" s="1114"/>
      <c r="BA249" s="1113">
        <v>0</v>
      </c>
      <c r="BB249" s="1114"/>
      <c r="BC249" s="1115">
        <v>3</v>
      </c>
      <c r="BD249" s="1115">
        <v>3</v>
      </c>
      <c r="BE249" s="1116">
        <v>2</v>
      </c>
      <c r="BF249" s="1115"/>
      <c r="BG249" s="1115"/>
      <c r="BH249" s="1115"/>
      <c r="BI249" s="1115"/>
      <c r="BJ249" s="1115"/>
      <c r="BK249" s="1115"/>
      <c r="BL249" s="1115"/>
      <c r="BM249" s="1115"/>
      <c r="BN249" s="1115"/>
      <c r="BO249" s="1115"/>
      <c r="BP249" s="1115">
        <v>1</v>
      </c>
      <c r="BQ249" s="1115">
        <v>1</v>
      </c>
      <c r="BR249" s="1115"/>
      <c r="BS249" s="1115"/>
      <c r="BT249" s="1115"/>
      <c r="BU249" s="1115"/>
      <c r="BV249" s="1115"/>
      <c r="BW249" s="1115"/>
      <c r="BX249" s="1115"/>
      <c r="BY249" s="1115"/>
      <c r="BZ249" s="1115"/>
      <c r="CA249" s="1117">
        <f t="shared" si="30"/>
        <v>2</v>
      </c>
      <c r="CB249" s="1117">
        <f t="shared" si="27"/>
        <v>2</v>
      </c>
      <c r="CC249" s="1117">
        <f t="shared" si="28"/>
        <v>0</v>
      </c>
      <c r="CD249" s="1113">
        <v>1.875</v>
      </c>
      <c r="CE249" s="1109" t="s">
        <v>4145</v>
      </c>
      <c r="CF249" s="1109"/>
      <c r="CG249" s="1109"/>
      <c r="CH249" s="1113">
        <v>1.875</v>
      </c>
      <c r="CI249" s="1139" t="s">
        <v>3835</v>
      </c>
      <c r="CJ249" s="1109" t="s">
        <v>504</v>
      </c>
      <c r="CK249" s="1109"/>
      <c r="CL249" s="1109"/>
      <c r="CM249" s="1115"/>
      <c r="CN249" s="1115"/>
      <c r="CO249" s="1115">
        <v>1</v>
      </c>
      <c r="CP249" s="1109" t="s">
        <v>504</v>
      </c>
      <c r="CQ249" s="1109"/>
      <c r="CR249" s="1115"/>
      <c r="CS249" s="1109" t="s">
        <v>500</v>
      </c>
      <c r="CT249" s="1109" t="s">
        <v>935</v>
      </c>
      <c r="CU249" s="1115">
        <v>26</v>
      </c>
      <c r="CV249" s="1115" t="s">
        <v>504</v>
      </c>
      <c r="CW249" s="1115"/>
      <c r="CX249" s="1115"/>
      <c r="CY249" s="1115" t="s">
        <v>504</v>
      </c>
      <c r="CZ249" s="1115"/>
      <c r="DA249" s="1115"/>
      <c r="DB249" s="1109" t="s">
        <v>504</v>
      </c>
      <c r="DC249" s="1109"/>
      <c r="DD249" s="1115"/>
      <c r="DE249" s="1109" t="s">
        <v>504</v>
      </c>
      <c r="DF249" s="1109"/>
      <c r="DG249" s="1115"/>
      <c r="DH249" s="1109" t="s">
        <v>504</v>
      </c>
      <c r="DI249" s="1109"/>
      <c r="DJ249" s="1115"/>
      <c r="DK249" s="1109" t="s">
        <v>504</v>
      </c>
      <c r="DL249" s="1109"/>
      <c r="DM249" s="1115"/>
      <c r="DN249" s="1109" t="s">
        <v>500</v>
      </c>
      <c r="DO249" s="1109"/>
      <c r="DP249" s="1115"/>
      <c r="DQ249" s="1109" t="s">
        <v>504</v>
      </c>
      <c r="DR249" s="1109"/>
      <c r="DS249" s="1115"/>
      <c r="DT249" s="1115" t="s">
        <v>504</v>
      </c>
      <c r="DU249" s="1115"/>
      <c r="DV249" s="1115"/>
      <c r="DW249" s="1109" t="s">
        <v>504</v>
      </c>
      <c r="DX249" s="1109"/>
      <c r="DY249" s="1115"/>
      <c r="DZ249" s="1109" t="s">
        <v>504</v>
      </c>
      <c r="EA249" s="1109"/>
      <c r="EB249" s="1115"/>
      <c r="EC249" s="1109" t="s">
        <v>504</v>
      </c>
      <c r="ED249" s="1109"/>
      <c r="EE249" s="1115"/>
      <c r="EF249" s="1115" t="s">
        <v>504</v>
      </c>
      <c r="EG249" s="1115"/>
      <c r="EH249" s="1115"/>
      <c r="EI249" s="1109" t="s">
        <v>504</v>
      </c>
      <c r="EJ249" s="1109"/>
      <c r="EK249" s="1115"/>
      <c r="EL249" s="1115"/>
      <c r="EM249" s="1115"/>
      <c r="EN249" s="1115"/>
      <c r="EO249" s="1109" t="s">
        <v>504</v>
      </c>
      <c r="EP249" s="1109"/>
      <c r="EQ249" s="1109"/>
      <c r="ER249" s="1127" t="s">
        <v>5613</v>
      </c>
      <c r="ES249" s="1109"/>
      <c r="ET249" s="1109" t="s">
        <v>504</v>
      </c>
      <c r="EU249" s="1109"/>
      <c r="EV249" s="1109" t="s">
        <v>504</v>
      </c>
      <c r="EW249" s="1109"/>
      <c r="EX249" s="1109"/>
    </row>
    <row r="250" spans="3:154" ht="39.950000000000003" customHeight="1" x14ac:dyDescent="0.2">
      <c r="C250" s="1156" t="s">
        <v>693</v>
      </c>
      <c r="D250" s="1156" t="s">
        <v>5278</v>
      </c>
      <c r="E250" s="1104" t="s">
        <v>365</v>
      </c>
      <c r="F250" s="1104" t="s">
        <v>450</v>
      </c>
      <c r="G250" s="1109" t="s">
        <v>4164</v>
      </c>
      <c r="H250" s="1109" t="s">
        <v>3841</v>
      </c>
      <c r="I250" s="1109" t="s">
        <v>219</v>
      </c>
      <c r="J250" s="1110">
        <v>2020</v>
      </c>
      <c r="K250" s="1105">
        <v>43998</v>
      </c>
      <c r="L250" s="1105">
        <v>44008</v>
      </c>
      <c r="M250" s="1369">
        <f t="shared" si="29"/>
        <v>10</v>
      </c>
      <c r="N250" s="1105"/>
      <c r="O250" s="1105"/>
      <c r="P250" s="1105"/>
      <c r="Q250" s="1105"/>
      <c r="R250" s="1105"/>
      <c r="S250" s="1105"/>
      <c r="T250" s="1105"/>
      <c r="U250" s="1105"/>
      <c r="V250" s="1105"/>
      <c r="W250" s="1105"/>
      <c r="X250" s="1105"/>
      <c r="Y250" s="1109" t="s">
        <v>4165</v>
      </c>
      <c r="Z250" s="1109"/>
      <c r="AA250" s="1109" t="s">
        <v>4166</v>
      </c>
      <c r="AB250" s="1109" t="s">
        <v>4166</v>
      </c>
      <c r="AC250" s="1109" t="s">
        <v>4144</v>
      </c>
      <c r="AD250" s="1109" t="s">
        <v>4166</v>
      </c>
      <c r="AE250" s="1112">
        <v>0.25</v>
      </c>
      <c r="AF250" s="1113">
        <f t="shared" si="25"/>
        <v>0.25</v>
      </c>
      <c r="AG250" s="1113">
        <f t="shared" si="26"/>
        <v>0</v>
      </c>
      <c r="AH250" s="1112"/>
      <c r="AI250" s="1113"/>
      <c r="AJ250" s="1113"/>
      <c r="AK250" s="1112">
        <v>0.22500000000000001</v>
      </c>
      <c r="AL250" s="1114">
        <f>AK250/AE250</f>
        <v>0.9</v>
      </c>
      <c r="AM250" s="1114">
        <f>AE250/41.662</f>
        <v>6.0006720752724309E-3</v>
      </c>
      <c r="AN250" s="1112">
        <v>2.5000000000000001E-2</v>
      </c>
      <c r="AO250" s="1114">
        <f t="shared" si="31"/>
        <v>0.1</v>
      </c>
      <c r="AP250" s="1112">
        <v>0</v>
      </c>
      <c r="AQ250" s="1114">
        <v>0</v>
      </c>
      <c r="AR250" s="1112"/>
      <c r="AS250" s="1114"/>
      <c r="AT250" s="1114"/>
      <c r="AU250" s="1114"/>
      <c r="AV250" s="1114"/>
      <c r="AW250" s="1114" t="s">
        <v>504</v>
      </c>
      <c r="AX250" s="1114"/>
      <c r="AY250" s="1114"/>
      <c r="AZ250" s="1114"/>
      <c r="BA250" s="1113">
        <v>0</v>
      </c>
      <c r="BB250" s="1114">
        <v>0</v>
      </c>
      <c r="BC250" s="1115">
        <v>1</v>
      </c>
      <c r="BD250" s="1115">
        <v>1</v>
      </c>
      <c r="BE250" s="1116">
        <v>1</v>
      </c>
      <c r="BF250" s="1115"/>
      <c r="BG250" s="1115"/>
      <c r="BH250" s="1115"/>
      <c r="BI250" s="1115"/>
      <c r="BJ250" s="1115"/>
      <c r="BK250" s="1115"/>
      <c r="BL250" s="1115"/>
      <c r="BM250" s="1115"/>
      <c r="BN250" s="1115"/>
      <c r="BO250" s="1115">
        <v>1</v>
      </c>
      <c r="BP250" s="1115"/>
      <c r="BQ250" s="1115"/>
      <c r="BR250" s="1115"/>
      <c r="BS250" s="1115"/>
      <c r="BT250" s="1115"/>
      <c r="BU250" s="1115"/>
      <c r="BV250" s="1115"/>
      <c r="BW250" s="1115"/>
      <c r="BX250" s="1115"/>
      <c r="BY250" s="1115"/>
      <c r="BZ250" s="1115"/>
      <c r="CA250" s="1117">
        <f t="shared" si="30"/>
        <v>1</v>
      </c>
      <c r="CB250" s="1117">
        <f t="shared" si="27"/>
        <v>1</v>
      </c>
      <c r="CC250" s="1117">
        <f t="shared" si="28"/>
        <v>0</v>
      </c>
      <c r="CD250" s="1113">
        <v>1.7000000000000001E-2</v>
      </c>
      <c r="CE250" s="1109"/>
      <c r="CF250" s="1109"/>
      <c r="CG250" s="1109">
        <v>0.8</v>
      </c>
      <c r="CH250" s="1113">
        <v>2.1440000000000001</v>
      </c>
      <c r="CI250" s="1139" t="s">
        <v>3835</v>
      </c>
      <c r="CJ250" s="1109" t="s">
        <v>504</v>
      </c>
      <c r="CK250" s="1109"/>
      <c r="CL250" s="1109"/>
      <c r="CM250" s="1115"/>
      <c r="CN250" s="1115"/>
      <c r="CO250" s="1115">
        <v>1</v>
      </c>
      <c r="CP250" s="1109" t="s">
        <v>504</v>
      </c>
      <c r="CQ250" s="1109"/>
      <c r="CR250" s="1115"/>
      <c r="CS250" s="1109" t="s">
        <v>500</v>
      </c>
      <c r="CT250" s="1109" t="s">
        <v>4154</v>
      </c>
      <c r="CU250" s="1115">
        <v>17</v>
      </c>
      <c r="CV250" s="1115" t="s">
        <v>504</v>
      </c>
      <c r="CW250" s="1115"/>
      <c r="CX250" s="1115"/>
      <c r="CY250" s="1115" t="s">
        <v>504</v>
      </c>
      <c r="CZ250" s="1115"/>
      <c r="DA250" s="1115"/>
      <c r="DB250" s="1109" t="s">
        <v>504</v>
      </c>
      <c r="DC250" s="1109"/>
      <c r="DD250" s="1115"/>
      <c r="DE250" s="1109" t="s">
        <v>504</v>
      </c>
      <c r="DF250" s="1109"/>
      <c r="DG250" s="1115"/>
      <c r="DH250" s="1109" t="s">
        <v>504</v>
      </c>
      <c r="DI250" s="1109"/>
      <c r="DJ250" s="1115"/>
      <c r="DK250" s="1109" t="s">
        <v>504</v>
      </c>
      <c r="DL250" s="1109"/>
      <c r="DM250" s="1115"/>
      <c r="DN250" s="1109" t="s">
        <v>504</v>
      </c>
      <c r="DO250" s="1109"/>
      <c r="DP250" s="1115"/>
      <c r="DQ250" s="1109" t="s">
        <v>504</v>
      </c>
      <c r="DR250" s="1109"/>
      <c r="DS250" s="1115"/>
      <c r="DT250" s="1115" t="s">
        <v>504</v>
      </c>
      <c r="DU250" s="1115"/>
      <c r="DV250" s="1115"/>
      <c r="DW250" s="1109" t="s">
        <v>504</v>
      </c>
      <c r="DX250" s="1109"/>
      <c r="DY250" s="1115"/>
      <c r="DZ250" s="1109" t="s">
        <v>504</v>
      </c>
      <c r="EA250" s="1109"/>
      <c r="EB250" s="1115"/>
      <c r="EC250" s="1109" t="s">
        <v>905</v>
      </c>
      <c r="ED250" s="1109"/>
      <c r="EE250" s="1115"/>
      <c r="EF250" s="1115" t="s">
        <v>504</v>
      </c>
      <c r="EG250" s="1115"/>
      <c r="EH250" s="1115"/>
      <c r="EI250" s="1109" t="s">
        <v>504</v>
      </c>
      <c r="EJ250" s="1109"/>
      <c r="EK250" s="1115"/>
      <c r="EL250" s="1115"/>
      <c r="EM250" s="1115"/>
      <c r="EN250" s="1115"/>
      <c r="EO250" s="1109" t="s">
        <v>504</v>
      </c>
      <c r="EP250" s="1109"/>
      <c r="EQ250" s="1109"/>
      <c r="ER250" s="1109" t="s">
        <v>4167</v>
      </c>
      <c r="ES250" s="1109"/>
      <c r="ET250" s="1109" t="s">
        <v>504</v>
      </c>
      <c r="EU250" s="1109"/>
      <c r="EV250" s="1109" t="s">
        <v>504</v>
      </c>
      <c r="EW250" s="1109"/>
      <c r="EX250" s="1109"/>
    </row>
    <row r="251" spans="3:154" ht="39.950000000000003" customHeight="1" x14ac:dyDescent="0.2">
      <c r="C251" s="1156" t="s">
        <v>693</v>
      </c>
      <c r="D251" s="1156" t="s">
        <v>5278</v>
      </c>
      <c r="E251" s="1104" t="s">
        <v>365</v>
      </c>
      <c r="F251" s="1104" t="s">
        <v>450</v>
      </c>
      <c r="G251" s="1109" t="s">
        <v>4168</v>
      </c>
      <c r="H251" s="1109" t="s">
        <v>1035</v>
      </c>
      <c r="I251" s="1109" t="s">
        <v>504</v>
      </c>
      <c r="J251" s="1110">
        <v>2019</v>
      </c>
      <c r="K251" s="1105">
        <v>43997</v>
      </c>
      <c r="L251" s="1105">
        <v>44125</v>
      </c>
      <c r="M251" s="1369">
        <f t="shared" si="29"/>
        <v>128</v>
      </c>
      <c r="N251" s="1105"/>
      <c r="O251" s="1105"/>
      <c r="P251" s="1105"/>
      <c r="Q251" s="1105"/>
      <c r="R251" s="1105"/>
      <c r="S251" s="1105"/>
      <c r="T251" s="1105"/>
      <c r="U251" s="1105"/>
      <c r="V251" s="1105"/>
      <c r="W251" s="1105"/>
      <c r="X251" s="1105"/>
      <c r="Y251" s="1109" t="s">
        <v>4169</v>
      </c>
      <c r="Z251" s="1127" t="s">
        <v>4170</v>
      </c>
      <c r="AA251" s="1109" t="s">
        <v>4171</v>
      </c>
      <c r="AB251" s="1109" t="s">
        <v>4172</v>
      </c>
      <c r="AC251" s="1109" t="s">
        <v>4173</v>
      </c>
      <c r="AD251" s="1109" t="s">
        <v>4172</v>
      </c>
      <c r="AE251" s="1112">
        <v>1.3340000000000001</v>
      </c>
      <c r="AF251" s="1113">
        <f t="shared" si="25"/>
        <v>1.33544</v>
      </c>
      <c r="AG251" s="1113">
        <f t="shared" si="26"/>
        <v>1.4399999999998858E-3</v>
      </c>
      <c r="AH251" s="1112"/>
      <c r="AI251" s="1113"/>
      <c r="AJ251" s="1113"/>
      <c r="AK251" s="1112">
        <v>1.2</v>
      </c>
      <c r="AL251" s="1114">
        <f>AK251/AE251</f>
        <v>0.89955022488755609</v>
      </c>
      <c r="AM251" s="1114"/>
      <c r="AN251" s="1112">
        <v>9.9000000000000005E-2</v>
      </c>
      <c r="AO251" s="1114">
        <f t="shared" si="31"/>
        <v>7.4212893553223386E-2</v>
      </c>
      <c r="AP251" s="1112">
        <v>3.644E-2</v>
      </c>
      <c r="AQ251" s="1114">
        <f>AP251/AE251</f>
        <v>2.7316341829085457E-2</v>
      </c>
      <c r="AR251" s="1112"/>
      <c r="AS251" s="1114"/>
      <c r="AT251" s="1114"/>
      <c r="AU251" s="1114"/>
      <c r="AV251" s="1114"/>
      <c r="AW251" s="1114" t="s">
        <v>504</v>
      </c>
      <c r="AX251" s="1114"/>
      <c r="AY251" s="1114"/>
      <c r="AZ251" s="1114"/>
      <c r="BA251" s="1113">
        <v>2.15</v>
      </c>
      <c r="BB251" s="1114">
        <v>5.8000000000000003E-2</v>
      </c>
      <c r="BC251" s="1115">
        <v>1</v>
      </c>
      <c r="BD251" s="1115">
        <v>1</v>
      </c>
      <c r="BE251" s="1116">
        <v>1</v>
      </c>
      <c r="BF251" s="1115"/>
      <c r="BG251" s="1115"/>
      <c r="BH251" s="1115"/>
      <c r="BI251" s="1115"/>
      <c r="BJ251" s="1115"/>
      <c r="BK251" s="1115"/>
      <c r="BL251" s="1115"/>
      <c r="BM251" s="1115"/>
      <c r="BN251" s="1115">
        <v>2</v>
      </c>
      <c r="BO251" s="1115"/>
      <c r="BP251" s="1115"/>
      <c r="BQ251" s="1115">
        <v>3</v>
      </c>
      <c r="BR251" s="1115"/>
      <c r="BS251" s="1115"/>
      <c r="BT251" s="1115"/>
      <c r="BU251" s="1115"/>
      <c r="BV251" s="1115"/>
      <c r="BW251" s="1115"/>
      <c r="BX251" s="1115"/>
      <c r="BY251" s="1115"/>
      <c r="BZ251" s="1115"/>
      <c r="CA251" s="1117">
        <f t="shared" si="30"/>
        <v>5</v>
      </c>
      <c r="CB251" s="1117">
        <f t="shared" si="27"/>
        <v>5</v>
      </c>
      <c r="CC251" s="1117">
        <f t="shared" si="28"/>
        <v>0</v>
      </c>
      <c r="CD251" s="1113">
        <v>2.2210000000000001</v>
      </c>
      <c r="CE251" s="1109"/>
      <c r="CF251" s="1109"/>
      <c r="CG251" s="1109">
        <v>100</v>
      </c>
      <c r="CH251" s="1113">
        <v>2.2210000000000001</v>
      </c>
      <c r="CI251" s="1139" t="s">
        <v>3835</v>
      </c>
      <c r="CJ251" s="1109" t="s">
        <v>504</v>
      </c>
      <c r="CK251" s="1109"/>
      <c r="CL251" s="1109"/>
      <c r="CM251" s="1109"/>
      <c r="CN251" s="1109"/>
      <c r="CO251" s="1109">
        <v>1</v>
      </c>
      <c r="CP251" s="1109" t="s">
        <v>500</v>
      </c>
      <c r="CQ251" s="1109" t="s">
        <v>2724</v>
      </c>
      <c r="CR251" s="1115">
        <v>85</v>
      </c>
      <c r="CS251" s="1109" t="s">
        <v>500</v>
      </c>
      <c r="CT251" s="1109" t="s">
        <v>2724</v>
      </c>
      <c r="CU251" s="1115">
        <v>25</v>
      </c>
      <c r="CV251" s="1115" t="s">
        <v>504</v>
      </c>
      <c r="CW251" s="1109" t="s">
        <v>702</v>
      </c>
      <c r="CX251" s="1109" t="s">
        <v>702</v>
      </c>
      <c r="CY251" s="1115" t="s">
        <v>504</v>
      </c>
      <c r="CZ251" s="1109"/>
      <c r="DA251" s="1109"/>
      <c r="DB251" s="1115" t="s">
        <v>504</v>
      </c>
      <c r="DC251" s="1109"/>
      <c r="DD251" s="1109"/>
      <c r="DE251" s="1115" t="s">
        <v>504</v>
      </c>
      <c r="DF251" s="1109"/>
      <c r="DG251" s="1109"/>
      <c r="DH251" s="1115" t="s">
        <v>504</v>
      </c>
      <c r="DI251" s="1109"/>
      <c r="DJ251" s="1109"/>
      <c r="DK251" s="1115" t="s">
        <v>504</v>
      </c>
      <c r="DL251" s="1109"/>
      <c r="DM251" s="1109"/>
      <c r="DN251" s="1109" t="s">
        <v>500</v>
      </c>
      <c r="DO251" s="1107" t="s">
        <v>4174</v>
      </c>
      <c r="DP251" s="1127">
        <v>287</v>
      </c>
      <c r="DQ251" s="1109" t="s">
        <v>504</v>
      </c>
      <c r="DR251" s="1109"/>
      <c r="DS251" s="1109"/>
      <c r="DT251" s="1115" t="s">
        <v>504</v>
      </c>
      <c r="DU251" s="1109"/>
      <c r="DV251" s="1109"/>
      <c r="DW251" s="1115" t="s">
        <v>504</v>
      </c>
      <c r="DX251" s="1109"/>
      <c r="DY251" s="1109"/>
      <c r="DZ251" s="1115" t="s">
        <v>504</v>
      </c>
      <c r="EA251" s="1109"/>
      <c r="EB251" s="1109"/>
      <c r="EC251" s="1115" t="s">
        <v>504</v>
      </c>
      <c r="ED251" s="1109" t="s">
        <v>702</v>
      </c>
      <c r="EE251" s="1109" t="s">
        <v>702</v>
      </c>
      <c r="EF251" s="1115" t="s">
        <v>504</v>
      </c>
      <c r="EG251" s="1109"/>
      <c r="EH251" s="1109"/>
      <c r="EI251" s="1115" t="s">
        <v>504</v>
      </c>
      <c r="EJ251" s="1109"/>
      <c r="EK251" s="1109"/>
      <c r="EL251" s="1109"/>
      <c r="EM251" s="1109"/>
      <c r="EN251" s="1109"/>
      <c r="EO251" s="1109" t="s">
        <v>504</v>
      </c>
      <c r="EP251" s="1109"/>
      <c r="EQ251" s="1109"/>
      <c r="ER251" s="1109" t="s">
        <v>5595</v>
      </c>
      <c r="ES251" s="1109" t="s">
        <v>504</v>
      </c>
      <c r="ET251" s="1109" t="s">
        <v>4175</v>
      </c>
      <c r="EU251" s="1109"/>
      <c r="EV251" s="1109"/>
      <c r="EW251" s="1109"/>
      <c r="EX251" s="1109"/>
    </row>
    <row r="252" spans="3:154" customFormat="1" ht="39.950000000000003" customHeight="1" x14ac:dyDescent="0.25">
      <c r="C252" s="1156" t="s">
        <v>693</v>
      </c>
      <c r="D252" s="1156" t="s">
        <v>5278</v>
      </c>
      <c r="E252" s="1104" t="s">
        <v>365</v>
      </c>
      <c r="F252" s="1104" t="s">
        <v>450</v>
      </c>
      <c r="G252" s="1109" t="s">
        <v>4176</v>
      </c>
      <c r="H252" s="1109" t="s">
        <v>1035</v>
      </c>
      <c r="I252" s="1109" t="s">
        <v>479</v>
      </c>
      <c r="J252" s="1110">
        <v>2020</v>
      </c>
      <c r="K252" s="1105">
        <v>44112</v>
      </c>
      <c r="L252" s="1105">
        <v>44168</v>
      </c>
      <c r="M252" s="1369">
        <f t="shared" si="29"/>
        <v>56</v>
      </c>
      <c r="N252" s="1105"/>
      <c r="O252" s="1105"/>
      <c r="P252" s="1105"/>
      <c r="Q252" s="1105"/>
      <c r="R252" s="1105"/>
      <c r="S252" s="1105"/>
      <c r="T252" s="1105"/>
      <c r="U252" s="1105"/>
      <c r="V252" s="1105"/>
      <c r="W252" s="1105"/>
      <c r="X252" s="1105"/>
      <c r="Y252" s="1109" t="s">
        <v>4177</v>
      </c>
      <c r="Z252" s="1109" t="s">
        <v>4178</v>
      </c>
      <c r="AA252" s="1109" t="s">
        <v>4179</v>
      </c>
      <c r="AB252" s="1109" t="s">
        <v>4179</v>
      </c>
      <c r="AC252" s="1109" t="s">
        <v>4173</v>
      </c>
      <c r="AD252" s="1109" t="s">
        <v>4179</v>
      </c>
      <c r="AE252" s="1112">
        <v>0.5</v>
      </c>
      <c r="AF252" s="1113">
        <f t="shared" si="25"/>
        <v>0.50044</v>
      </c>
      <c r="AG252" s="1113">
        <f t="shared" si="26"/>
        <v>4.3999999999999595E-4</v>
      </c>
      <c r="AH252" s="1112"/>
      <c r="AI252" s="1113"/>
      <c r="AJ252" s="1113"/>
      <c r="AK252" s="1112">
        <v>0.45</v>
      </c>
      <c r="AL252" s="1114">
        <f>AK252/AE252</f>
        <v>0.9</v>
      </c>
      <c r="AM252" s="1114">
        <v>1</v>
      </c>
      <c r="AN252" s="1112">
        <v>4.4999999999999998E-2</v>
      </c>
      <c r="AO252" s="1114">
        <f t="shared" si="31"/>
        <v>0.09</v>
      </c>
      <c r="AP252" s="1112">
        <v>5.4400000000000004E-3</v>
      </c>
      <c r="AQ252" s="1114">
        <f>AP252/AE252</f>
        <v>1.0880000000000001E-2</v>
      </c>
      <c r="AR252" s="1112"/>
      <c r="AS252" s="1114"/>
      <c r="AT252" s="1114"/>
      <c r="AU252" s="1114"/>
      <c r="AV252" s="1114"/>
      <c r="AW252" s="1114" t="s">
        <v>504</v>
      </c>
      <c r="AX252" s="1114"/>
      <c r="AY252" s="1114"/>
      <c r="AZ252" s="1114"/>
      <c r="BA252" s="1113"/>
      <c r="BB252" s="1114"/>
      <c r="BC252" s="1115">
        <v>2</v>
      </c>
      <c r="BD252" s="1115">
        <v>2</v>
      </c>
      <c r="BE252" s="1116">
        <v>2</v>
      </c>
      <c r="BF252" s="1115"/>
      <c r="BG252" s="1115"/>
      <c r="BH252" s="1115"/>
      <c r="BI252" s="1115"/>
      <c r="BJ252" s="1115"/>
      <c r="BK252" s="1115"/>
      <c r="BL252" s="1115"/>
      <c r="BM252" s="1115"/>
      <c r="BN252" s="1115"/>
      <c r="BO252" s="1115"/>
      <c r="BP252" s="1115"/>
      <c r="BQ252" s="1115">
        <v>2</v>
      </c>
      <c r="BR252" s="1115"/>
      <c r="BS252" s="1115"/>
      <c r="BT252" s="1115"/>
      <c r="BU252" s="1115"/>
      <c r="BV252" s="1115"/>
      <c r="BW252" s="1115"/>
      <c r="BX252" s="1115"/>
      <c r="BY252" s="1115"/>
      <c r="BZ252" s="1115"/>
      <c r="CA252" s="1117">
        <f t="shared" si="30"/>
        <v>2</v>
      </c>
      <c r="CB252" s="1117">
        <f t="shared" si="27"/>
        <v>2</v>
      </c>
      <c r="CC252" s="1117">
        <f t="shared" si="28"/>
        <v>0</v>
      </c>
      <c r="CD252" s="1113">
        <v>2.1080000000000001</v>
      </c>
      <c r="CE252" s="1109" t="s">
        <v>4180</v>
      </c>
      <c r="CF252" s="1109"/>
      <c r="CG252" s="1109">
        <v>100</v>
      </c>
      <c r="CH252" s="1113">
        <v>2.1080000000000001</v>
      </c>
      <c r="CI252" s="1139" t="s">
        <v>3835</v>
      </c>
      <c r="CJ252" s="1109" t="s">
        <v>504</v>
      </c>
      <c r="CK252" s="1109"/>
      <c r="CL252" s="1109"/>
      <c r="CM252" s="1115"/>
      <c r="CN252" s="1115"/>
      <c r="CO252" s="1115">
        <v>1</v>
      </c>
      <c r="CP252" s="1109" t="s">
        <v>504</v>
      </c>
      <c r="CQ252" s="1109"/>
      <c r="CR252" s="1115"/>
      <c r="CS252" s="1109" t="s">
        <v>500</v>
      </c>
      <c r="CT252" s="1109" t="s">
        <v>4181</v>
      </c>
      <c r="CU252" s="1115">
        <v>10</v>
      </c>
      <c r="CV252" s="1115" t="s">
        <v>504</v>
      </c>
      <c r="CW252" s="1115"/>
      <c r="CX252" s="1115"/>
      <c r="CY252" s="1115" t="s">
        <v>504</v>
      </c>
      <c r="CZ252" s="1115"/>
      <c r="DA252" s="1115"/>
      <c r="DB252" s="1109" t="s">
        <v>504</v>
      </c>
      <c r="DC252" s="1109"/>
      <c r="DD252" s="1115"/>
      <c r="DE252" s="1109" t="s">
        <v>504</v>
      </c>
      <c r="DF252" s="1109"/>
      <c r="DG252" s="1115"/>
      <c r="DH252" s="1109" t="s">
        <v>504</v>
      </c>
      <c r="DI252" s="1109"/>
      <c r="DJ252" s="1115"/>
      <c r="DK252" s="1109" t="s">
        <v>504</v>
      </c>
      <c r="DL252" s="1109"/>
      <c r="DM252" s="1115"/>
      <c r="DN252" s="1109" t="s">
        <v>504</v>
      </c>
      <c r="DO252" s="1109"/>
      <c r="DP252" s="1115"/>
      <c r="DQ252" s="1109" t="s">
        <v>500</v>
      </c>
      <c r="DR252" s="1109" t="s">
        <v>4182</v>
      </c>
      <c r="DS252" s="1115"/>
      <c r="DT252" s="1115" t="s">
        <v>504</v>
      </c>
      <c r="DU252" s="1115"/>
      <c r="DV252" s="1115"/>
      <c r="DW252" s="1109" t="s">
        <v>504</v>
      </c>
      <c r="DX252" s="1109"/>
      <c r="DY252" s="1115"/>
      <c r="DZ252" s="1109" t="s">
        <v>504</v>
      </c>
      <c r="EA252" s="1109"/>
      <c r="EB252" s="1115"/>
      <c r="EC252" s="1109" t="s">
        <v>504</v>
      </c>
      <c r="ED252" s="1109"/>
      <c r="EE252" s="1115"/>
      <c r="EF252" s="1115" t="s">
        <v>504</v>
      </c>
      <c r="EG252" s="1115"/>
      <c r="EH252" s="1115"/>
      <c r="EI252" s="1109" t="s">
        <v>504</v>
      </c>
      <c r="EJ252" s="1109"/>
      <c r="EK252" s="1115"/>
      <c r="EL252" s="1115"/>
      <c r="EM252" s="1115"/>
      <c r="EN252" s="1115"/>
      <c r="EO252" s="1109" t="s">
        <v>504</v>
      </c>
      <c r="EP252" s="1109"/>
      <c r="EQ252" s="1109" t="s">
        <v>4183</v>
      </c>
      <c r="ER252" s="1109"/>
      <c r="ES252" s="1109"/>
      <c r="ET252" s="1109" t="s">
        <v>504</v>
      </c>
      <c r="EU252" s="1109"/>
      <c r="EV252" s="1109"/>
      <c r="EW252" s="1109"/>
      <c r="EX252" s="1109"/>
    </row>
    <row r="253" spans="3:154" ht="39.950000000000003" customHeight="1" x14ac:dyDescent="0.2">
      <c r="C253" s="1156" t="s">
        <v>693</v>
      </c>
      <c r="D253" s="1156" t="s">
        <v>5278</v>
      </c>
      <c r="E253" s="1104" t="s">
        <v>365</v>
      </c>
      <c r="F253" s="1104" t="s">
        <v>450</v>
      </c>
      <c r="G253" s="1109" t="s">
        <v>4184</v>
      </c>
      <c r="H253" s="1109" t="s">
        <v>1316</v>
      </c>
      <c r="I253" s="1109" t="s">
        <v>4185</v>
      </c>
      <c r="J253" s="1110">
        <v>2018</v>
      </c>
      <c r="K253" s="1105"/>
      <c r="L253" s="1105"/>
      <c r="M253" s="1369">
        <f t="shared" si="29"/>
        <v>0</v>
      </c>
      <c r="N253" s="1105"/>
      <c r="O253" s="1105"/>
      <c r="P253" s="1105"/>
      <c r="Q253" s="1105"/>
      <c r="R253" s="1105"/>
      <c r="S253" s="1105"/>
      <c r="T253" s="1105"/>
      <c r="U253" s="1105"/>
      <c r="V253" s="1105"/>
      <c r="W253" s="1105"/>
      <c r="X253" s="1105"/>
      <c r="Y253" s="1109" t="s">
        <v>4186</v>
      </c>
      <c r="Z253" s="1188" t="s">
        <v>4187</v>
      </c>
      <c r="AA253" s="1109" t="s">
        <v>4188</v>
      </c>
      <c r="AB253" s="1109" t="s">
        <v>4188</v>
      </c>
      <c r="AC253" s="1109" t="s">
        <v>4189</v>
      </c>
      <c r="AD253" s="1109" t="s">
        <v>4188</v>
      </c>
      <c r="AE253" s="1112"/>
      <c r="AF253" s="1113">
        <f t="shared" si="25"/>
        <v>0</v>
      </c>
      <c r="AG253" s="1113">
        <f t="shared" si="26"/>
        <v>0</v>
      </c>
      <c r="AH253" s="1112"/>
      <c r="AI253" s="1113"/>
      <c r="AJ253" s="1113"/>
      <c r="AK253" s="1112"/>
      <c r="AL253" s="1114"/>
      <c r="AM253" s="1114"/>
      <c r="AN253" s="1112"/>
      <c r="AO253" s="1114"/>
      <c r="AP253" s="1112"/>
      <c r="AQ253" s="1114"/>
      <c r="AR253" s="1112"/>
      <c r="AS253" s="1114"/>
      <c r="AT253" s="1114"/>
      <c r="AU253" s="1114"/>
      <c r="AV253" s="1114"/>
      <c r="AW253" s="1114" t="s">
        <v>504</v>
      </c>
      <c r="AX253" s="1114"/>
      <c r="AY253" s="1114"/>
      <c r="AZ253" s="1114"/>
      <c r="BA253" s="1354">
        <v>4.8238999999999997E-2</v>
      </c>
      <c r="BB253" s="1114">
        <v>1.9E-3</v>
      </c>
      <c r="BC253" s="1115"/>
      <c r="BD253" s="1115"/>
      <c r="BE253" s="1116"/>
      <c r="BF253" s="1115"/>
      <c r="BG253" s="1115"/>
      <c r="BH253" s="1115"/>
      <c r="BI253" s="1115"/>
      <c r="BJ253" s="1115"/>
      <c r="BK253" s="1115"/>
      <c r="BL253" s="1115"/>
      <c r="BM253" s="1115"/>
      <c r="BN253" s="1115"/>
      <c r="BO253" s="1115"/>
      <c r="BP253" s="1115"/>
      <c r="BQ253" s="1115"/>
      <c r="BR253" s="1115"/>
      <c r="BS253" s="1115"/>
      <c r="BT253" s="1115"/>
      <c r="BU253" s="1115"/>
      <c r="BV253" s="1115"/>
      <c r="BW253" s="1115"/>
      <c r="BX253" s="1115"/>
      <c r="BY253" s="1115"/>
      <c r="BZ253" s="1115"/>
      <c r="CA253" s="1117"/>
      <c r="CB253" s="1117">
        <f t="shared" si="27"/>
        <v>0</v>
      </c>
      <c r="CC253" s="1117">
        <f t="shared" si="28"/>
        <v>0</v>
      </c>
      <c r="CD253" s="1113"/>
      <c r="CE253" s="1109"/>
      <c r="CF253" s="1109"/>
      <c r="CG253" s="1109"/>
      <c r="CH253" s="1113"/>
      <c r="CI253" s="1114"/>
      <c r="CJ253" s="1109" t="s">
        <v>504</v>
      </c>
      <c r="CK253" s="1109"/>
      <c r="CL253" s="1109"/>
      <c r="CM253" s="1115"/>
      <c r="CN253" s="1115"/>
      <c r="CO253" s="1115"/>
      <c r="CP253" s="1109" t="s">
        <v>504</v>
      </c>
      <c r="CQ253" s="1109"/>
      <c r="CR253" s="1115"/>
      <c r="CS253" s="1109" t="s">
        <v>504</v>
      </c>
      <c r="CT253" s="1109"/>
      <c r="CU253" s="1115"/>
      <c r="CV253" s="1115" t="s">
        <v>504</v>
      </c>
      <c r="CW253" s="1115"/>
      <c r="CX253" s="1115"/>
      <c r="CY253" s="1115" t="s">
        <v>504</v>
      </c>
      <c r="CZ253" s="1115"/>
      <c r="DA253" s="1115"/>
      <c r="DB253" s="1109" t="s">
        <v>504</v>
      </c>
      <c r="DC253" s="1109"/>
      <c r="DD253" s="1115"/>
      <c r="DE253" s="1109" t="s">
        <v>504</v>
      </c>
      <c r="DF253" s="1109"/>
      <c r="DG253" s="1115"/>
      <c r="DH253" s="1109" t="s">
        <v>504</v>
      </c>
      <c r="DI253" s="1109"/>
      <c r="DJ253" s="1115"/>
      <c r="DK253" s="1109" t="s">
        <v>504</v>
      </c>
      <c r="DL253" s="1109"/>
      <c r="DM253" s="1115"/>
      <c r="DN253" s="1109" t="s">
        <v>504</v>
      </c>
      <c r="DO253" s="1109"/>
      <c r="DP253" s="1115"/>
      <c r="DQ253" s="1109" t="s">
        <v>504</v>
      </c>
      <c r="DR253" s="1109"/>
      <c r="DS253" s="1115"/>
      <c r="DT253" s="1115" t="s">
        <v>504</v>
      </c>
      <c r="DU253" s="1115"/>
      <c r="DV253" s="1115"/>
      <c r="DW253" s="1109" t="s">
        <v>504</v>
      </c>
      <c r="DX253" s="1109"/>
      <c r="DY253" s="1115"/>
      <c r="DZ253" s="1109" t="s">
        <v>504</v>
      </c>
      <c r="EA253" s="1109"/>
      <c r="EB253" s="1115"/>
      <c r="EC253" s="1109" t="s">
        <v>504</v>
      </c>
      <c r="ED253" s="1109"/>
      <c r="EE253" s="1115"/>
      <c r="EF253" s="1115" t="s">
        <v>504</v>
      </c>
      <c r="EG253" s="1115"/>
      <c r="EH253" s="1115"/>
      <c r="EI253" s="1109" t="s">
        <v>504</v>
      </c>
      <c r="EJ253" s="1109"/>
      <c r="EK253" s="1115"/>
      <c r="EL253" s="1115"/>
      <c r="EM253" s="1115"/>
      <c r="EN253" s="1115"/>
      <c r="EO253" s="1109" t="s">
        <v>504</v>
      </c>
      <c r="EP253" s="1109"/>
      <c r="EQ253" s="1188" t="s">
        <v>4190</v>
      </c>
      <c r="ER253" s="1109"/>
      <c r="ES253" s="1109"/>
      <c r="ET253" s="1109"/>
      <c r="EU253" s="1109"/>
      <c r="EV253" s="1109"/>
      <c r="EW253" s="1109"/>
      <c r="EX253" s="1109"/>
    </row>
    <row r="254" spans="3:154" ht="39.950000000000003" customHeight="1" x14ac:dyDescent="0.2">
      <c r="C254" s="1156" t="s">
        <v>693</v>
      </c>
      <c r="D254" s="1156" t="s">
        <v>5278</v>
      </c>
      <c r="E254" s="1104" t="s">
        <v>365</v>
      </c>
      <c r="F254" s="1104" t="s">
        <v>450</v>
      </c>
      <c r="G254" s="1109" t="s">
        <v>4191</v>
      </c>
      <c r="H254" s="1109" t="s">
        <v>1316</v>
      </c>
      <c r="I254" s="1109" t="s">
        <v>1316</v>
      </c>
      <c r="J254" s="1110">
        <v>2020</v>
      </c>
      <c r="K254" s="1105">
        <v>44136</v>
      </c>
      <c r="L254" s="1105">
        <v>44196</v>
      </c>
      <c r="M254" s="1369">
        <f t="shared" si="29"/>
        <v>60</v>
      </c>
      <c r="N254" s="1105"/>
      <c r="O254" s="1105"/>
      <c r="P254" s="1105"/>
      <c r="Q254" s="1105"/>
      <c r="R254" s="1105"/>
      <c r="S254" s="1105"/>
      <c r="T254" s="1105"/>
      <c r="U254" s="1105"/>
      <c r="V254" s="1105"/>
      <c r="W254" s="1105"/>
      <c r="X254" s="1105"/>
      <c r="Y254" s="1109" t="s">
        <v>4193</v>
      </c>
      <c r="Z254" s="1188" t="s">
        <v>4194</v>
      </c>
      <c r="AA254" s="1109" t="s">
        <v>4195</v>
      </c>
      <c r="AB254" s="1109" t="s">
        <v>4195</v>
      </c>
      <c r="AC254" s="1109" t="s">
        <v>4189</v>
      </c>
      <c r="AD254" s="1109" t="s">
        <v>4195</v>
      </c>
      <c r="AE254" s="1112">
        <v>0.7</v>
      </c>
      <c r="AF254" s="1113">
        <f t="shared" si="25"/>
        <v>0.69971300000000003</v>
      </c>
      <c r="AG254" s="1113">
        <f t="shared" si="26"/>
        <v>-2.869999999999262E-4</v>
      </c>
      <c r="AH254" s="1112"/>
      <c r="AI254" s="1113"/>
      <c r="AJ254" s="1113"/>
      <c r="AK254" s="1112">
        <v>0.69971300000000003</v>
      </c>
      <c r="AL254" s="1114">
        <v>0.99709999999999999</v>
      </c>
      <c r="AM254" s="1114">
        <v>1.04E-2</v>
      </c>
      <c r="AN254" s="1112"/>
      <c r="AO254" s="1114"/>
      <c r="AP254" s="1112"/>
      <c r="AQ254" s="1114">
        <v>2.8999999999999998E-3</v>
      </c>
      <c r="AR254" s="1112"/>
      <c r="AS254" s="1114"/>
      <c r="AT254" s="1114"/>
      <c r="AU254" s="1114"/>
      <c r="AV254" s="1114"/>
      <c r="AW254" s="1114" t="s">
        <v>504</v>
      </c>
      <c r="AX254" s="1114" t="s">
        <v>4196</v>
      </c>
      <c r="AY254" s="1112"/>
      <c r="AZ254" s="1114"/>
      <c r="BA254" s="1113"/>
      <c r="BB254" s="1114"/>
      <c r="BC254" s="1115">
        <v>4</v>
      </c>
      <c r="BD254" s="1115">
        <v>4</v>
      </c>
      <c r="BE254" s="1116">
        <v>4</v>
      </c>
      <c r="BF254" s="1115"/>
      <c r="BG254" s="1115"/>
      <c r="BH254" s="1115"/>
      <c r="BI254" s="1115"/>
      <c r="BJ254" s="1115"/>
      <c r="BK254" s="1115"/>
      <c r="BL254" s="1115"/>
      <c r="BM254" s="1115"/>
      <c r="BN254" s="1115"/>
      <c r="BO254" s="1115"/>
      <c r="BP254" s="1115"/>
      <c r="BQ254" s="1115">
        <v>4</v>
      </c>
      <c r="BR254" s="1115"/>
      <c r="BS254" s="1115"/>
      <c r="BT254" s="1115"/>
      <c r="BU254" s="1115"/>
      <c r="BV254" s="1115"/>
      <c r="BW254" s="1115"/>
      <c r="BX254" s="1115"/>
      <c r="BY254" s="1115"/>
      <c r="BZ254" s="1115"/>
      <c r="CA254" s="1117">
        <f t="shared" ref="CA254:CA263" si="32">SUM(BF254:BZ254)</f>
        <v>4</v>
      </c>
      <c r="CB254" s="1117">
        <f t="shared" si="27"/>
        <v>4</v>
      </c>
      <c r="CC254" s="1117">
        <f t="shared" si="28"/>
        <v>0</v>
      </c>
      <c r="CD254" s="1113">
        <v>0.3</v>
      </c>
      <c r="CE254" s="1109" t="s">
        <v>4197</v>
      </c>
      <c r="CF254" s="1109"/>
      <c r="CG254" s="1109">
        <v>10.3</v>
      </c>
      <c r="CH254" s="1113">
        <v>2.9</v>
      </c>
      <c r="CI254" s="1114"/>
      <c r="CJ254" s="1109" t="s">
        <v>504</v>
      </c>
      <c r="CK254" s="1109"/>
      <c r="CL254" s="1109"/>
      <c r="CM254" s="1115"/>
      <c r="CN254" s="1115"/>
      <c r="CO254" s="1115"/>
      <c r="CP254" s="1109" t="s">
        <v>500</v>
      </c>
      <c r="CQ254" s="1109"/>
      <c r="CR254" s="1115">
        <v>290</v>
      </c>
      <c r="CS254" s="1109" t="s">
        <v>500</v>
      </c>
      <c r="CT254" s="1109" t="s">
        <v>4198</v>
      </c>
      <c r="CU254" s="1115">
        <v>57</v>
      </c>
      <c r="CV254" s="1115" t="s">
        <v>504</v>
      </c>
      <c r="CW254" s="1115"/>
      <c r="CX254" s="1115"/>
      <c r="CY254" s="1115" t="s">
        <v>504</v>
      </c>
      <c r="CZ254" s="1115"/>
      <c r="DA254" s="1115"/>
      <c r="DB254" s="1109" t="s">
        <v>504</v>
      </c>
      <c r="DC254" s="1109"/>
      <c r="DD254" s="1115"/>
      <c r="DE254" s="1109" t="s">
        <v>504</v>
      </c>
      <c r="DF254" s="1109"/>
      <c r="DG254" s="1115"/>
      <c r="DH254" s="1109" t="s">
        <v>504</v>
      </c>
      <c r="DI254" s="1109"/>
      <c r="DJ254" s="1115"/>
      <c r="DK254" s="1109"/>
      <c r="DL254" s="1109"/>
      <c r="DM254" s="1115"/>
      <c r="DN254" s="1109" t="s">
        <v>504</v>
      </c>
      <c r="DO254" s="1109"/>
      <c r="DP254" s="1115"/>
      <c r="DQ254" s="1109" t="s">
        <v>504</v>
      </c>
      <c r="DR254" s="1109"/>
      <c r="DS254" s="1115"/>
      <c r="DT254" s="1115" t="s">
        <v>504</v>
      </c>
      <c r="DU254" s="1115"/>
      <c r="DV254" s="1115"/>
      <c r="DW254" s="1109" t="s">
        <v>504</v>
      </c>
      <c r="DX254" s="1109"/>
      <c r="DY254" s="1115"/>
      <c r="DZ254" s="1109" t="s">
        <v>504</v>
      </c>
      <c r="EA254" s="1109"/>
      <c r="EB254" s="1115"/>
      <c r="EC254" s="1109" t="s">
        <v>504</v>
      </c>
      <c r="ED254" s="1109"/>
      <c r="EE254" s="1115"/>
      <c r="EF254" s="1115" t="s">
        <v>500</v>
      </c>
      <c r="EG254" s="1351" t="s">
        <v>4199</v>
      </c>
      <c r="EH254" s="1115">
        <v>10</v>
      </c>
      <c r="EI254" s="1109"/>
      <c r="EJ254" s="1109"/>
      <c r="EK254" s="1115"/>
      <c r="EL254" s="1115"/>
      <c r="EM254" s="1115"/>
      <c r="EN254" s="1115"/>
      <c r="EO254" s="1109" t="s">
        <v>504</v>
      </c>
      <c r="EP254" s="1109"/>
      <c r="EQ254" s="1188" t="s">
        <v>4200</v>
      </c>
      <c r="ER254" s="1109"/>
      <c r="ES254" s="1109"/>
      <c r="ET254" s="1109"/>
      <c r="EU254" s="1109"/>
      <c r="EV254" s="1109"/>
      <c r="EW254" s="1109"/>
      <c r="EX254" s="1109"/>
    </row>
    <row r="255" spans="3:154" ht="39.950000000000003" customHeight="1" x14ac:dyDescent="0.2">
      <c r="C255" s="1156" t="s">
        <v>693</v>
      </c>
      <c r="D255" s="1156" t="s">
        <v>5278</v>
      </c>
      <c r="E255" s="1104" t="s">
        <v>365</v>
      </c>
      <c r="F255" s="1104" t="s">
        <v>450</v>
      </c>
      <c r="G255" s="1109" t="s">
        <v>4201</v>
      </c>
      <c r="H255" s="1109" t="s">
        <v>1316</v>
      </c>
      <c r="I255" s="1109" t="s">
        <v>1316</v>
      </c>
      <c r="J255" s="1110">
        <v>2018</v>
      </c>
      <c r="K255" s="1105">
        <v>43997</v>
      </c>
      <c r="L255" s="1105">
        <v>44196</v>
      </c>
      <c r="M255" s="1369">
        <f t="shared" si="29"/>
        <v>199</v>
      </c>
      <c r="N255" s="1105"/>
      <c r="O255" s="1105"/>
      <c r="P255" s="1105"/>
      <c r="Q255" s="1105"/>
      <c r="R255" s="1105"/>
      <c r="S255" s="1105"/>
      <c r="T255" s="1105"/>
      <c r="U255" s="1105"/>
      <c r="V255" s="1105"/>
      <c r="W255" s="1105"/>
      <c r="X255" s="1105"/>
      <c r="Y255" s="1109" t="s">
        <v>4202</v>
      </c>
      <c r="Z255" s="1188" t="s">
        <v>4203</v>
      </c>
      <c r="AA255" s="1109" t="s">
        <v>4204</v>
      </c>
      <c r="AB255" s="1109" t="s">
        <v>4204</v>
      </c>
      <c r="AC255" s="1109" t="s">
        <v>4189</v>
      </c>
      <c r="AD255" s="1109" t="s">
        <v>4204</v>
      </c>
      <c r="AE255" s="1112">
        <v>1.482</v>
      </c>
      <c r="AF255" s="1113">
        <f t="shared" si="25"/>
        <v>1.48244</v>
      </c>
      <c r="AG255" s="1113">
        <f t="shared" si="26"/>
        <v>4.3999999999999595E-4</v>
      </c>
      <c r="AH255" s="1112"/>
      <c r="AI255" s="1113"/>
      <c r="AJ255" s="1113"/>
      <c r="AK255" s="1112">
        <v>0.996</v>
      </c>
      <c r="AL255" s="1114">
        <f>AK255/AE255</f>
        <v>0.67206477732793524</v>
      </c>
      <c r="AM255" s="1114">
        <f>AK255/61.297</f>
        <v>1.6248756056576996E-2</v>
      </c>
      <c r="AN255" s="1112"/>
      <c r="AO255" s="1114"/>
      <c r="AP255" s="1112">
        <v>0.48643999999999998</v>
      </c>
      <c r="AQ255" s="1114">
        <f>AP255/AE255</f>
        <v>0.32823211875843455</v>
      </c>
      <c r="AR255" s="1112"/>
      <c r="AS255" s="1114"/>
      <c r="AT255" s="1114"/>
      <c r="AU255" s="1114"/>
      <c r="AV255" s="1114"/>
      <c r="AW255" s="1114" t="s">
        <v>500</v>
      </c>
      <c r="AX255" s="1114" t="s">
        <v>4196</v>
      </c>
      <c r="AY255" s="1112">
        <v>0.106</v>
      </c>
      <c r="AZ255" s="1114">
        <f>AY255/AE255</f>
        <v>7.1524966261808362E-2</v>
      </c>
      <c r="BA255" s="1113">
        <v>0.186</v>
      </c>
      <c r="BB255" s="1114">
        <f>BA255/11</f>
        <v>1.6909090909090908E-2</v>
      </c>
      <c r="BC255" s="1115">
        <v>32</v>
      </c>
      <c r="BD255" s="1115">
        <v>16</v>
      </c>
      <c r="BE255" s="1116">
        <v>8</v>
      </c>
      <c r="BF255" s="1115"/>
      <c r="BG255" s="1115"/>
      <c r="BH255" s="1115"/>
      <c r="BI255" s="1115"/>
      <c r="BJ255" s="1115"/>
      <c r="BK255" s="1115">
        <v>1</v>
      </c>
      <c r="BL255" s="1115"/>
      <c r="BM255" s="1115"/>
      <c r="BN255" s="1115">
        <v>1</v>
      </c>
      <c r="BO255" s="1115"/>
      <c r="BP255" s="1115">
        <v>3</v>
      </c>
      <c r="BQ255" s="1115">
        <v>3</v>
      </c>
      <c r="BR255" s="1115"/>
      <c r="BS255" s="1115"/>
      <c r="BT255" s="1115"/>
      <c r="BU255" s="1115"/>
      <c r="BV255" s="1115"/>
      <c r="BW255" s="1115"/>
      <c r="BX255" s="1115"/>
      <c r="BY255" s="1115"/>
      <c r="BZ255" s="1115"/>
      <c r="CA255" s="1117">
        <f t="shared" si="32"/>
        <v>8</v>
      </c>
      <c r="CB255" s="1117">
        <f t="shared" si="27"/>
        <v>8</v>
      </c>
      <c r="CC255" s="1117">
        <f t="shared" si="28"/>
        <v>0</v>
      </c>
      <c r="CD255" s="1113">
        <v>2.9289999999999998</v>
      </c>
      <c r="CE255" s="1109" t="s">
        <v>4205</v>
      </c>
      <c r="CF255" s="1109" t="s">
        <v>4206</v>
      </c>
      <c r="CG255" s="1109">
        <v>100</v>
      </c>
      <c r="CH255" s="1113" t="s">
        <v>4207</v>
      </c>
      <c r="CI255" s="1114" t="s">
        <v>52</v>
      </c>
      <c r="CJ255" s="1109" t="s">
        <v>504</v>
      </c>
      <c r="CK255" s="1109"/>
      <c r="CL255" s="1109"/>
      <c r="CM255" s="1115"/>
      <c r="CN255" s="1115">
        <v>56</v>
      </c>
      <c r="CO255" s="1115">
        <v>2</v>
      </c>
      <c r="CP255" s="1109" t="s">
        <v>500</v>
      </c>
      <c r="CQ255" s="1109" t="s">
        <v>4208</v>
      </c>
      <c r="CR255" s="1115">
        <v>234</v>
      </c>
      <c r="CS255" s="1109" t="s">
        <v>500</v>
      </c>
      <c r="CT255" s="1109" t="s">
        <v>4208</v>
      </c>
      <c r="CU255" s="1115">
        <v>105</v>
      </c>
      <c r="CV255" s="1115" t="s">
        <v>504</v>
      </c>
      <c r="CW255" s="1115"/>
      <c r="CX255" s="1115"/>
      <c r="CY255" s="1115" t="s">
        <v>500</v>
      </c>
      <c r="CZ255" s="1115" t="s">
        <v>4208</v>
      </c>
      <c r="DA255" s="1115">
        <v>105</v>
      </c>
      <c r="DB255" s="1109" t="s">
        <v>504</v>
      </c>
      <c r="DC255" s="1109"/>
      <c r="DD255" s="1115"/>
      <c r="DE255" s="1109" t="s">
        <v>504</v>
      </c>
      <c r="DF255" s="1109"/>
      <c r="DG255" s="1115"/>
      <c r="DH255" s="1109" t="s">
        <v>504</v>
      </c>
      <c r="DI255" s="1109"/>
      <c r="DJ255" s="1115"/>
      <c r="DK255" s="1109" t="s">
        <v>500</v>
      </c>
      <c r="DL255" s="1109" t="s">
        <v>4209</v>
      </c>
      <c r="DM255" s="1115">
        <v>318</v>
      </c>
      <c r="DN255" s="1109" t="s">
        <v>504</v>
      </c>
      <c r="DO255" s="1109"/>
      <c r="DP255" s="1115"/>
      <c r="DQ255" s="1109" t="s">
        <v>500</v>
      </c>
      <c r="DR255" s="1109" t="s">
        <v>4208</v>
      </c>
      <c r="DS255" s="1115" t="s">
        <v>504</v>
      </c>
      <c r="DT255" s="1115"/>
      <c r="DU255" s="1115"/>
      <c r="DV255" s="1115"/>
      <c r="DW255" s="1109" t="s">
        <v>504</v>
      </c>
      <c r="DX255" s="1109"/>
      <c r="DY255" s="1115"/>
      <c r="DZ255" s="1109" t="s">
        <v>504</v>
      </c>
      <c r="EA255" s="1109"/>
      <c r="EB255" s="1115"/>
      <c r="EC255" s="1109" t="s">
        <v>500</v>
      </c>
      <c r="ED255" s="1109" t="s">
        <v>4210</v>
      </c>
      <c r="EE255" s="1115">
        <v>5</v>
      </c>
      <c r="EF255" s="1115" t="s">
        <v>504</v>
      </c>
      <c r="EG255" s="1115"/>
      <c r="EH255" s="1115"/>
      <c r="EI255" s="1109"/>
      <c r="EJ255" s="1109"/>
      <c r="EK255" s="1115"/>
      <c r="EL255" s="1115"/>
      <c r="EM255" s="1115"/>
      <c r="EN255" s="1115"/>
      <c r="EO255" s="1109" t="s">
        <v>504</v>
      </c>
      <c r="EP255" s="1109"/>
      <c r="EQ255" s="1188" t="s">
        <v>4211</v>
      </c>
      <c r="ER255" s="1109"/>
      <c r="ES255" s="1109" t="s">
        <v>4212</v>
      </c>
      <c r="ET255" s="1109"/>
      <c r="EU255" s="1109"/>
      <c r="EV255" s="1109" t="s">
        <v>4213</v>
      </c>
      <c r="EW255" s="1109">
        <v>4</v>
      </c>
      <c r="EX255" s="1109">
        <v>120</v>
      </c>
    </row>
    <row r="256" spans="3:154" ht="39.950000000000003" customHeight="1" x14ac:dyDescent="0.2">
      <c r="C256" s="1156" t="s">
        <v>693</v>
      </c>
      <c r="D256" s="1156" t="s">
        <v>5278</v>
      </c>
      <c r="E256" s="1104" t="s">
        <v>365</v>
      </c>
      <c r="F256" s="1104" t="s">
        <v>450</v>
      </c>
      <c r="G256" s="1109" t="s">
        <v>4214</v>
      </c>
      <c r="H256" s="1109" t="s">
        <v>1316</v>
      </c>
      <c r="I256" s="1109" t="s">
        <v>219</v>
      </c>
      <c r="J256" s="1110">
        <v>2018</v>
      </c>
      <c r="K256" s="1105">
        <v>44026</v>
      </c>
      <c r="L256" s="1105">
        <v>44056</v>
      </c>
      <c r="M256" s="1369">
        <f t="shared" si="29"/>
        <v>30</v>
      </c>
      <c r="N256" s="1105"/>
      <c r="O256" s="1105"/>
      <c r="P256" s="1105"/>
      <c r="Q256" s="1105"/>
      <c r="R256" s="1105"/>
      <c r="S256" s="1105"/>
      <c r="T256" s="1105"/>
      <c r="U256" s="1105"/>
      <c r="V256" s="1105"/>
      <c r="W256" s="1105"/>
      <c r="X256" s="1105"/>
      <c r="Y256" s="1109" t="s">
        <v>4216</v>
      </c>
      <c r="Z256" s="1188" t="s">
        <v>4217</v>
      </c>
      <c r="AA256" s="1109" t="s">
        <v>4218</v>
      </c>
      <c r="AB256" s="1109" t="s">
        <v>4218</v>
      </c>
      <c r="AC256" s="1109" t="s">
        <v>4189</v>
      </c>
      <c r="AD256" s="1109" t="s">
        <v>4218</v>
      </c>
      <c r="AE256" s="1112">
        <v>0.56299999999999994</v>
      </c>
      <c r="AF256" s="1113">
        <f>AH256+AK256+AN256+AP256+AR256</f>
        <v>0.56444000000000005</v>
      </c>
      <c r="AG256" s="1113">
        <f t="shared" si="26"/>
        <v>1.4400000000001079E-3</v>
      </c>
      <c r="AH256" s="1112"/>
      <c r="AI256" s="1113"/>
      <c r="AJ256" s="1113"/>
      <c r="AK256" s="1112">
        <v>0.13</v>
      </c>
      <c r="AL256" s="1114">
        <v>0.75</v>
      </c>
      <c r="AM256" s="1114">
        <v>1</v>
      </c>
      <c r="AN256" s="1112"/>
      <c r="AO256" s="1114"/>
      <c r="AP256" s="1112">
        <v>0.43443999999999999</v>
      </c>
      <c r="AQ256" s="1114">
        <v>0.25</v>
      </c>
      <c r="AR256" s="1112"/>
      <c r="AS256" s="1114"/>
      <c r="AT256" s="1114"/>
      <c r="AU256" s="1114"/>
      <c r="AV256" s="1114"/>
      <c r="AW256" s="1114" t="s">
        <v>500</v>
      </c>
      <c r="AX256" s="1114" t="s">
        <v>4219</v>
      </c>
      <c r="AY256" s="1355">
        <v>0.43347999999999998</v>
      </c>
      <c r="AZ256" s="1114">
        <v>0.25</v>
      </c>
      <c r="BA256" s="1113"/>
      <c r="BB256" s="1114"/>
      <c r="BC256" s="1115"/>
      <c r="BD256" s="1115"/>
      <c r="BE256" s="1116"/>
      <c r="BF256" s="1115"/>
      <c r="BG256" s="1115"/>
      <c r="BH256" s="1115"/>
      <c r="BI256" s="1115"/>
      <c r="BJ256" s="1115"/>
      <c r="BK256" s="1115"/>
      <c r="BL256" s="1115"/>
      <c r="BM256" s="1115"/>
      <c r="BN256" s="1115"/>
      <c r="BO256" s="1115"/>
      <c r="BP256" s="1115"/>
      <c r="BQ256" s="1115">
        <v>1</v>
      </c>
      <c r="BR256" s="1115"/>
      <c r="BS256" s="1115"/>
      <c r="BT256" s="1115"/>
      <c r="BU256" s="1115"/>
      <c r="BV256" s="1115"/>
      <c r="BW256" s="1115"/>
      <c r="BX256" s="1115"/>
      <c r="BY256" s="1115"/>
      <c r="BZ256" s="1115"/>
      <c r="CA256" s="1117">
        <f t="shared" si="32"/>
        <v>1</v>
      </c>
      <c r="CB256" s="1117">
        <f t="shared" si="27"/>
        <v>1</v>
      </c>
      <c r="CC256" s="1117">
        <f t="shared" si="28"/>
        <v>0</v>
      </c>
      <c r="CD256" s="1113">
        <v>1.9490000000000001</v>
      </c>
      <c r="CE256" s="1109"/>
      <c r="CF256" s="1109"/>
      <c r="CG256" s="1109">
        <v>66.599999999999994</v>
      </c>
      <c r="CH256" s="1113">
        <v>1.952</v>
      </c>
      <c r="CI256" s="1114"/>
      <c r="CJ256" s="1109" t="s">
        <v>504</v>
      </c>
      <c r="CK256" s="1109"/>
      <c r="CL256" s="1109"/>
      <c r="CM256" s="1115"/>
      <c r="CN256" s="1115"/>
      <c r="CO256" s="1115">
        <v>1</v>
      </c>
      <c r="CP256" s="1109" t="s">
        <v>504</v>
      </c>
      <c r="CQ256" s="1109"/>
      <c r="CR256" s="1115"/>
      <c r="CS256" s="1109" t="s">
        <v>500</v>
      </c>
      <c r="CT256" s="1188" t="s">
        <v>4217</v>
      </c>
      <c r="CU256" s="1115">
        <v>11</v>
      </c>
      <c r="CV256" s="1115" t="s">
        <v>504</v>
      </c>
      <c r="CW256" s="1115"/>
      <c r="CX256" s="1115">
        <v>0</v>
      </c>
      <c r="CY256" s="1115" t="s">
        <v>504</v>
      </c>
      <c r="CZ256" s="1115"/>
      <c r="DA256" s="1115"/>
      <c r="DB256" s="1109" t="s">
        <v>504</v>
      </c>
      <c r="DC256" s="1109"/>
      <c r="DD256" s="1115"/>
      <c r="DE256" s="1109" t="s">
        <v>504</v>
      </c>
      <c r="DF256" s="1109"/>
      <c r="DG256" s="1115"/>
      <c r="DH256" s="1109" t="s">
        <v>504</v>
      </c>
      <c r="DI256" s="1109"/>
      <c r="DJ256" s="1115"/>
      <c r="DK256" s="1109"/>
      <c r="DL256" s="1109"/>
      <c r="DM256" s="1115"/>
      <c r="DN256" s="1109" t="s">
        <v>504</v>
      </c>
      <c r="DO256" s="1109"/>
      <c r="DP256" s="1115"/>
      <c r="DQ256" s="1109"/>
      <c r="DR256" s="1109"/>
      <c r="DS256" s="1115"/>
      <c r="DT256" s="1115" t="s">
        <v>504</v>
      </c>
      <c r="DU256" s="1115"/>
      <c r="DV256" s="1115"/>
      <c r="DW256" s="1109" t="s">
        <v>504</v>
      </c>
      <c r="DX256" s="1109"/>
      <c r="DY256" s="1115"/>
      <c r="DZ256" s="1109" t="s">
        <v>504</v>
      </c>
      <c r="EA256" s="1109"/>
      <c r="EB256" s="1115"/>
      <c r="EC256" s="1109" t="s">
        <v>504</v>
      </c>
      <c r="ED256" s="1188"/>
      <c r="EE256" s="1115"/>
      <c r="EF256" s="1115" t="s">
        <v>500</v>
      </c>
      <c r="EG256" s="1351" t="s">
        <v>4217</v>
      </c>
      <c r="EH256" s="1115">
        <v>7</v>
      </c>
      <c r="EI256" s="1109"/>
      <c r="EJ256" s="1109"/>
      <c r="EK256" s="1115"/>
      <c r="EL256" s="1115"/>
      <c r="EM256" s="1115"/>
      <c r="EN256" s="1115"/>
      <c r="EO256" s="1109" t="s">
        <v>504</v>
      </c>
      <c r="EP256" s="1109"/>
      <c r="EQ256" s="1188" t="s">
        <v>4220</v>
      </c>
      <c r="ER256" s="1109"/>
      <c r="ES256" s="1109"/>
      <c r="ET256" s="1109" t="s">
        <v>4221</v>
      </c>
      <c r="EU256" s="1109"/>
      <c r="EV256" s="1109"/>
      <c r="EW256" s="1109"/>
      <c r="EX256" s="1109"/>
    </row>
    <row r="257" spans="3:154" ht="39.950000000000003" customHeight="1" x14ac:dyDescent="0.2">
      <c r="C257" s="1156" t="s">
        <v>693</v>
      </c>
      <c r="D257" s="1156" t="s">
        <v>5278</v>
      </c>
      <c r="E257" s="1104" t="s">
        <v>365</v>
      </c>
      <c r="F257" s="1104" t="s">
        <v>450</v>
      </c>
      <c r="G257" s="1109" t="s">
        <v>4222</v>
      </c>
      <c r="H257" s="1109" t="s">
        <v>1316</v>
      </c>
      <c r="I257" s="1109" t="s">
        <v>219</v>
      </c>
      <c r="J257" s="1110">
        <v>2019</v>
      </c>
      <c r="K257" s="1105">
        <v>44102</v>
      </c>
      <c r="L257" s="1105">
        <v>44126</v>
      </c>
      <c r="M257" s="1369">
        <f t="shared" si="29"/>
        <v>24</v>
      </c>
      <c r="N257" s="1105"/>
      <c r="O257" s="1105"/>
      <c r="P257" s="1105"/>
      <c r="Q257" s="1105"/>
      <c r="R257" s="1105"/>
      <c r="S257" s="1105"/>
      <c r="T257" s="1105"/>
      <c r="U257" s="1105"/>
      <c r="V257" s="1105"/>
      <c r="W257" s="1105"/>
      <c r="X257" s="1105"/>
      <c r="Y257" s="1109" t="s">
        <v>4223</v>
      </c>
      <c r="Z257" s="1188" t="s">
        <v>4224</v>
      </c>
      <c r="AA257" s="1109" t="s">
        <v>4225</v>
      </c>
      <c r="AB257" s="1109" t="s">
        <v>4225</v>
      </c>
      <c r="AC257" s="1109"/>
      <c r="AD257" s="1109"/>
      <c r="AE257" s="1112">
        <v>0.12</v>
      </c>
      <c r="AF257" s="1113">
        <f t="shared" si="25"/>
        <v>0.12</v>
      </c>
      <c r="AG257" s="1113">
        <f t="shared" si="26"/>
        <v>0</v>
      </c>
      <c r="AH257" s="1112"/>
      <c r="AI257" s="1113"/>
      <c r="AJ257" s="1113"/>
      <c r="AK257" s="1112">
        <v>0.12</v>
      </c>
      <c r="AL257" s="1114"/>
      <c r="AM257" s="1114"/>
      <c r="AN257" s="1112"/>
      <c r="AO257" s="1114"/>
      <c r="AP257" s="1112"/>
      <c r="AQ257" s="1114"/>
      <c r="AR257" s="1112"/>
      <c r="AS257" s="1114"/>
      <c r="AT257" s="1114"/>
      <c r="AU257" s="1114"/>
      <c r="AV257" s="1114"/>
      <c r="AW257" s="1114"/>
      <c r="AX257" s="1114"/>
      <c r="AY257" s="1114"/>
      <c r="AZ257" s="1114"/>
      <c r="BA257" s="1113">
        <v>0.14399999999999999</v>
      </c>
      <c r="BB257" s="1114"/>
      <c r="BC257" s="1115">
        <v>1</v>
      </c>
      <c r="BD257" s="1115">
        <v>1</v>
      </c>
      <c r="BE257" s="1116">
        <v>1</v>
      </c>
      <c r="BF257" s="1115"/>
      <c r="BG257" s="1115"/>
      <c r="BH257" s="1115"/>
      <c r="BI257" s="1115"/>
      <c r="BJ257" s="1115"/>
      <c r="BK257" s="1115"/>
      <c r="BL257" s="1115"/>
      <c r="BM257" s="1115"/>
      <c r="BN257" s="1115"/>
      <c r="BO257" s="1115"/>
      <c r="BP257" s="1115"/>
      <c r="BQ257" s="1115">
        <v>1</v>
      </c>
      <c r="BR257" s="1115"/>
      <c r="BS257" s="1115"/>
      <c r="BT257" s="1115"/>
      <c r="BU257" s="1115"/>
      <c r="BV257" s="1115"/>
      <c r="BW257" s="1115"/>
      <c r="BX257" s="1115"/>
      <c r="BY257" s="1115"/>
      <c r="BZ257" s="1115"/>
      <c r="CA257" s="1117">
        <f t="shared" si="32"/>
        <v>1</v>
      </c>
      <c r="CB257" s="1117">
        <f t="shared" si="27"/>
        <v>1</v>
      </c>
      <c r="CC257" s="1117">
        <f t="shared" si="28"/>
        <v>0</v>
      </c>
      <c r="CD257" s="1113">
        <v>0.3</v>
      </c>
      <c r="CE257" s="1109"/>
      <c r="CF257" s="1109"/>
      <c r="CG257" s="1109">
        <v>42</v>
      </c>
      <c r="CH257" s="1113"/>
      <c r="CI257" s="1114"/>
      <c r="CJ257" s="1109" t="s">
        <v>504</v>
      </c>
      <c r="CK257" s="1109"/>
      <c r="CL257" s="1109"/>
      <c r="CM257" s="1115"/>
      <c r="CN257" s="1115"/>
      <c r="CO257" s="1115"/>
      <c r="CP257" s="1109" t="s">
        <v>504</v>
      </c>
      <c r="CQ257" s="1109"/>
      <c r="CR257" s="1115"/>
      <c r="CS257" s="1109" t="s">
        <v>500</v>
      </c>
      <c r="CT257" s="1109" t="s">
        <v>4226</v>
      </c>
      <c r="CU257" s="1115">
        <v>15</v>
      </c>
      <c r="CV257" s="1115" t="s">
        <v>504</v>
      </c>
      <c r="CW257" s="1115"/>
      <c r="CX257" s="1115"/>
      <c r="CY257" s="1115" t="s">
        <v>504</v>
      </c>
      <c r="CZ257" s="1115"/>
      <c r="DA257" s="1115"/>
      <c r="DB257" s="1109" t="s">
        <v>504</v>
      </c>
      <c r="DC257" s="1109"/>
      <c r="DD257" s="1115"/>
      <c r="DE257" s="1109" t="s">
        <v>504</v>
      </c>
      <c r="DF257" s="1109"/>
      <c r="DG257" s="1115"/>
      <c r="DH257" s="1109" t="s">
        <v>504</v>
      </c>
      <c r="DI257" s="1109"/>
      <c r="DJ257" s="1115"/>
      <c r="DK257" s="1109" t="s">
        <v>504</v>
      </c>
      <c r="DL257" s="1109"/>
      <c r="DM257" s="1115"/>
      <c r="DN257" s="1109" t="s">
        <v>504</v>
      </c>
      <c r="DO257" s="1109"/>
      <c r="DP257" s="1115"/>
      <c r="DQ257" s="1109" t="s">
        <v>500</v>
      </c>
      <c r="DR257" s="1109" t="s">
        <v>4227</v>
      </c>
      <c r="DS257" s="1115">
        <v>8</v>
      </c>
      <c r="DT257" s="1115" t="s">
        <v>504</v>
      </c>
      <c r="DU257" s="1115"/>
      <c r="DV257" s="1115"/>
      <c r="DW257" s="1109" t="s">
        <v>504</v>
      </c>
      <c r="DX257" s="1109"/>
      <c r="DY257" s="1115"/>
      <c r="DZ257" s="1109" t="s">
        <v>504</v>
      </c>
      <c r="EA257" s="1109"/>
      <c r="EB257" s="1115"/>
      <c r="EC257" s="1109" t="s">
        <v>504</v>
      </c>
      <c r="ED257" s="1109"/>
      <c r="EE257" s="1115"/>
      <c r="EF257" s="1115" t="s">
        <v>500</v>
      </c>
      <c r="EG257" s="1115" t="s">
        <v>935</v>
      </c>
      <c r="EH257" s="1115">
        <v>8</v>
      </c>
      <c r="EI257" s="1109"/>
      <c r="EJ257" s="1109"/>
      <c r="EK257" s="1115"/>
      <c r="EL257" s="1115"/>
      <c r="EM257" s="1115"/>
      <c r="EN257" s="1115"/>
      <c r="EO257" s="1109" t="s">
        <v>504</v>
      </c>
      <c r="EP257" s="1109"/>
      <c r="EQ257" s="1188" t="s">
        <v>4228</v>
      </c>
      <c r="ER257" s="1109"/>
      <c r="ES257" s="1109"/>
      <c r="ET257" s="1109"/>
      <c r="EU257" s="1109"/>
      <c r="EV257" s="1109"/>
      <c r="EW257" s="1109"/>
      <c r="EX257" s="1109"/>
    </row>
    <row r="258" spans="3:154" ht="39.950000000000003" customHeight="1" x14ac:dyDescent="0.2">
      <c r="C258" s="1156" t="s">
        <v>693</v>
      </c>
      <c r="D258" s="1156" t="s">
        <v>5278</v>
      </c>
      <c r="E258" s="1104" t="s">
        <v>365</v>
      </c>
      <c r="F258" s="1104" t="s">
        <v>450</v>
      </c>
      <c r="G258" s="1109" t="s">
        <v>4229</v>
      </c>
      <c r="H258" s="1109" t="s">
        <v>1316</v>
      </c>
      <c r="I258" s="1109" t="s">
        <v>219</v>
      </c>
      <c r="J258" s="1110">
        <v>2018</v>
      </c>
      <c r="K258" s="1105">
        <v>43914</v>
      </c>
      <c r="L258" s="1105">
        <v>43943</v>
      </c>
      <c r="M258" s="1369">
        <f t="shared" si="29"/>
        <v>29</v>
      </c>
      <c r="N258" s="1105"/>
      <c r="O258" s="1105"/>
      <c r="P258" s="1105"/>
      <c r="Q258" s="1105"/>
      <c r="R258" s="1105"/>
      <c r="S258" s="1105"/>
      <c r="T258" s="1105"/>
      <c r="U258" s="1105"/>
      <c r="V258" s="1105"/>
      <c r="W258" s="1105"/>
      <c r="X258" s="1105"/>
      <c r="Y258" s="1104" t="s">
        <v>4230</v>
      </c>
      <c r="Z258" s="1188" t="s">
        <v>4231</v>
      </c>
      <c r="AA258" s="1104" t="s">
        <v>4232</v>
      </c>
      <c r="AB258" s="1104" t="s">
        <v>4232</v>
      </c>
      <c r="AC258" s="1109" t="s">
        <v>4189</v>
      </c>
      <c r="AD258" s="1109"/>
      <c r="AE258" s="1112">
        <v>3.3069639999999998</v>
      </c>
      <c r="AF258" s="1113">
        <f t="shared" si="25"/>
        <v>3.3069640000000002</v>
      </c>
      <c r="AG258" s="1113">
        <f t="shared" si="26"/>
        <v>0</v>
      </c>
      <c r="AH258" s="1112"/>
      <c r="AI258" s="1113"/>
      <c r="AJ258" s="1113"/>
      <c r="AK258" s="1112">
        <v>3.2269640000000002</v>
      </c>
      <c r="AL258" s="1114">
        <f>AK258/AE258</f>
        <v>0.97580862688556647</v>
      </c>
      <c r="AM258" s="1114"/>
      <c r="AN258" s="1112">
        <v>0.08</v>
      </c>
      <c r="AO258" s="1114">
        <f>AN258/AE258</f>
        <v>2.4191373114433663E-2</v>
      </c>
      <c r="AP258" s="1112"/>
      <c r="AQ258" s="1114"/>
      <c r="AR258" s="1112"/>
      <c r="AS258" s="1114"/>
      <c r="AT258" s="1114"/>
      <c r="AU258" s="1114"/>
      <c r="AV258" s="1114"/>
      <c r="AW258" s="1114" t="s">
        <v>500</v>
      </c>
      <c r="AX258" s="1114" t="s">
        <v>4233</v>
      </c>
      <c r="AY258" s="1114"/>
      <c r="AZ258" s="1114"/>
      <c r="BA258" s="1113"/>
      <c r="BB258" s="1114"/>
      <c r="BC258" s="1115">
        <v>6</v>
      </c>
      <c r="BD258" s="1115">
        <v>6</v>
      </c>
      <c r="BE258" s="1116">
        <v>5</v>
      </c>
      <c r="BF258" s="1115"/>
      <c r="BG258" s="1115"/>
      <c r="BH258" s="1115"/>
      <c r="BI258" s="1115"/>
      <c r="BJ258" s="1115"/>
      <c r="BK258" s="1115">
        <v>1</v>
      </c>
      <c r="BL258" s="1115"/>
      <c r="BM258" s="1115"/>
      <c r="BN258" s="1115">
        <v>1</v>
      </c>
      <c r="BO258" s="1115"/>
      <c r="BP258" s="1115"/>
      <c r="BQ258" s="1115">
        <v>3</v>
      </c>
      <c r="BR258" s="1115"/>
      <c r="BS258" s="1115"/>
      <c r="BT258" s="1115"/>
      <c r="BU258" s="1115"/>
      <c r="BV258" s="1115"/>
      <c r="BW258" s="1115"/>
      <c r="BX258" s="1115"/>
      <c r="BY258" s="1115"/>
      <c r="BZ258" s="1115"/>
      <c r="CA258" s="1117">
        <f t="shared" si="32"/>
        <v>5</v>
      </c>
      <c r="CB258" s="1117">
        <f t="shared" si="27"/>
        <v>5</v>
      </c>
      <c r="CC258" s="1117">
        <f t="shared" si="28"/>
        <v>0</v>
      </c>
      <c r="CD258" s="1113">
        <f>((1440+1492+1440+1481+1040)/5)/1000</f>
        <v>1.3785999999999998</v>
      </c>
      <c r="CE258" s="1109" t="s">
        <v>4197</v>
      </c>
      <c r="CF258" s="1109"/>
      <c r="CG258" s="1109">
        <v>95.7</v>
      </c>
      <c r="CH258" s="1113"/>
      <c r="CI258" s="1114"/>
      <c r="CJ258" s="1109" t="s">
        <v>504</v>
      </c>
      <c r="CK258" s="1109"/>
      <c r="CL258" s="1109"/>
      <c r="CM258" s="1115"/>
      <c r="CN258" s="1115"/>
      <c r="CO258" s="1115"/>
      <c r="CP258" s="1109" t="s">
        <v>500</v>
      </c>
      <c r="CQ258" s="1188" t="s">
        <v>4234</v>
      </c>
      <c r="CR258" s="1115">
        <v>104</v>
      </c>
      <c r="CS258" s="1109" t="s">
        <v>500</v>
      </c>
      <c r="CT258" s="1109"/>
      <c r="CU258" s="1115">
        <v>69</v>
      </c>
      <c r="CV258" s="1115" t="s">
        <v>504</v>
      </c>
      <c r="CW258" s="1115"/>
      <c r="CX258" s="1115"/>
      <c r="CY258" s="1115" t="s">
        <v>504</v>
      </c>
      <c r="CZ258" s="1115"/>
      <c r="DA258" s="1115"/>
      <c r="DB258" s="1109" t="s">
        <v>504</v>
      </c>
      <c r="DC258" s="1109"/>
      <c r="DD258" s="1115"/>
      <c r="DE258" s="1109" t="s">
        <v>500</v>
      </c>
      <c r="DF258" s="1188" t="s">
        <v>4235</v>
      </c>
      <c r="DG258" s="1115">
        <v>1</v>
      </c>
      <c r="DH258" s="1109" t="s">
        <v>504</v>
      </c>
      <c r="DI258" s="1109"/>
      <c r="DJ258" s="1115"/>
      <c r="DK258" s="1109" t="s">
        <v>500</v>
      </c>
      <c r="DL258" s="1109" t="s">
        <v>4236</v>
      </c>
      <c r="DM258" s="1115">
        <v>6</v>
      </c>
      <c r="DN258" s="1109" t="s">
        <v>504</v>
      </c>
      <c r="DO258" s="1109"/>
      <c r="DP258" s="1115"/>
      <c r="DQ258" s="1109" t="s">
        <v>500</v>
      </c>
      <c r="DR258" s="1109"/>
      <c r="DS258" s="1115"/>
      <c r="DT258" s="1115" t="s">
        <v>504</v>
      </c>
      <c r="DU258" s="1115"/>
      <c r="DV258" s="1115"/>
      <c r="DW258" s="1109" t="s">
        <v>504</v>
      </c>
      <c r="DX258" s="1109"/>
      <c r="DY258" s="1115"/>
      <c r="DZ258" s="1109" t="s">
        <v>500</v>
      </c>
      <c r="EA258" s="1109"/>
      <c r="EB258" s="1115">
        <v>69</v>
      </c>
      <c r="EC258" s="1109" t="s">
        <v>500</v>
      </c>
      <c r="ED258" s="1188" t="s">
        <v>4237</v>
      </c>
      <c r="EE258" s="1115">
        <v>6</v>
      </c>
      <c r="EF258" s="1115" t="s">
        <v>504</v>
      </c>
      <c r="EG258" s="1115"/>
      <c r="EH258" s="1115"/>
      <c r="EI258" s="1109"/>
      <c r="EJ258" s="1109"/>
      <c r="EK258" s="1115"/>
      <c r="EL258" s="1115"/>
      <c r="EM258" s="1115"/>
      <c r="EN258" s="1115"/>
      <c r="EO258" s="1109" t="s">
        <v>504</v>
      </c>
      <c r="EP258" s="1109"/>
      <c r="EQ258" s="1188" t="s">
        <v>4238</v>
      </c>
      <c r="ER258" s="1109" t="s">
        <v>4239</v>
      </c>
      <c r="ES258" s="1109"/>
      <c r="ET258" s="1188" t="s">
        <v>5614</v>
      </c>
      <c r="EU258" s="1109"/>
      <c r="EV258" s="1109"/>
      <c r="EW258" s="1109"/>
      <c r="EX258" s="1109"/>
    </row>
    <row r="259" spans="3:154" ht="39.950000000000003" customHeight="1" x14ac:dyDescent="0.2">
      <c r="C259" s="1156" t="s">
        <v>693</v>
      </c>
      <c r="D259" s="1156" t="s">
        <v>5278</v>
      </c>
      <c r="E259" s="1104" t="s">
        <v>365</v>
      </c>
      <c r="F259" s="1104" t="s">
        <v>450</v>
      </c>
      <c r="G259" s="1109" t="s">
        <v>4240</v>
      </c>
      <c r="H259" s="1109" t="s">
        <v>4241</v>
      </c>
      <c r="I259" s="1109" t="s">
        <v>219</v>
      </c>
      <c r="J259" s="1110">
        <v>2020</v>
      </c>
      <c r="K259" s="1105">
        <v>44012</v>
      </c>
      <c r="L259" s="1105">
        <v>44034</v>
      </c>
      <c r="M259" s="1369">
        <f t="shared" si="29"/>
        <v>22</v>
      </c>
      <c r="N259" s="1105"/>
      <c r="O259" s="1105"/>
      <c r="P259" s="1105"/>
      <c r="Q259" s="1105"/>
      <c r="R259" s="1105"/>
      <c r="S259" s="1105"/>
      <c r="T259" s="1105"/>
      <c r="U259" s="1105"/>
      <c r="V259" s="1105"/>
      <c r="W259" s="1105"/>
      <c r="X259" s="1105"/>
      <c r="Y259" s="1109" t="s">
        <v>4244</v>
      </c>
      <c r="Z259" s="1188" t="s">
        <v>4245</v>
      </c>
      <c r="AA259" s="1109" t="s">
        <v>4246</v>
      </c>
      <c r="AB259" s="1109" t="s">
        <v>4246</v>
      </c>
      <c r="AC259" s="1109" t="s">
        <v>4247</v>
      </c>
      <c r="AD259" s="1109"/>
      <c r="AE259" s="1112">
        <v>0.24</v>
      </c>
      <c r="AF259" s="1113">
        <f>AH259+AK259+AN259+AP259+AR259</f>
        <v>0.24</v>
      </c>
      <c r="AG259" s="1113">
        <f t="shared" si="26"/>
        <v>0</v>
      </c>
      <c r="AH259" s="1112"/>
      <c r="AI259" s="1113"/>
      <c r="AJ259" s="1113"/>
      <c r="AK259" s="1112">
        <v>0.24</v>
      </c>
      <c r="AL259" s="1114">
        <v>0.58499999999999996</v>
      </c>
      <c r="AM259" s="1114">
        <v>0.58499999999999996</v>
      </c>
      <c r="AN259" s="1112"/>
      <c r="AO259" s="1114"/>
      <c r="AP259" s="1112"/>
      <c r="AQ259" s="1114"/>
      <c r="AR259" s="1112"/>
      <c r="AS259" s="1114"/>
      <c r="AT259" s="1114"/>
      <c r="AU259" s="1114"/>
      <c r="AV259" s="1114"/>
      <c r="AW259" s="1114" t="s">
        <v>500</v>
      </c>
      <c r="AX259" s="1114" t="s">
        <v>4248</v>
      </c>
      <c r="AY259" s="1116">
        <v>0.17</v>
      </c>
      <c r="AZ259" s="1114">
        <v>0.41499999999999998</v>
      </c>
      <c r="BA259" s="1113"/>
      <c r="BB259" s="1114"/>
      <c r="BC259" s="1115">
        <v>3</v>
      </c>
      <c r="BD259" s="1115">
        <v>3</v>
      </c>
      <c r="BE259" s="1116">
        <v>1</v>
      </c>
      <c r="BF259" s="1115"/>
      <c r="BG259" s="1115"/>
      <c r="BH259" s="1115"/>
      <c r="BI259" s="1115"/>
      <c r="BJ259" s="1115"/>
      <c r="BK259" s="1115"/>
      <c r="BL259" s="1115"/>
      <c r="BM259" s="1115"/>
      <c r="BN259" s="1115"/>
      <c r="BO259" s="1115"/>
      <c r="BP259" s="1115"/>
      <c r="BQ259" s="1115">
        <v>1</v>
      </c>
      <c r="BR259" s="1115"/>
      <c r="BS259" s="1115"/>
      <c r="BT259" s="1115"/>
      <c r="BU259" s="1115"/>
      <c r="BV259" s="1115"/>
      <c r="BW259" s="1115"/>
      <c r="BX259" s="1115"/>
      <c r="BY259" s="1115"/>
      <c r="BZ259" s="1115"/>
      <c r="CA259" s="1117">
        <f t="shared" si="32"/>
        <v>1</v>
      </c>
      <c r="CB259" s="1117">
        <f t="shared" si="27"/>
        <v>1</v>
      </c>
      <c r="CC259" s="1117">
        <f t="shared" si="28"/>
        <v>0</v>
      </c>
      <c r="CD259" s="1113"/>
      <c r="CE259" s="1109"/>
      <c r="CF259" s="1109"/>
      <c r="CG259" s="1109"/>
      <c r="CH259" s="1113">
        <v>4.8</v>
      </c>
      <c r="CI259" s="1114"/>
      <c r="CJ259" s="1109" t="s">
        <v>504</v>
      </c>
      <c r="CK259" s="1109"/>
      <c r="CL259" s="1109"/>
      <c r="CM259" s="1115"/>
      <c r="CN259" s="1115"/>
      <c r="CO259" s="1115"/>
      <c r="CP259" s="1109"/>
      <c r="CQ259" s="1109"/>
      <c r="CR259" s="1115"/>
      <c r="CS259" s="1109" t="s">
        <v>500</v>
      </c>
      <c r="CT259" s="1109" t="s">
        <v>4249</v>
      </c>
      <c r="CU259" s="1115">
        <v>673</v>
      </c>
      <c r="CV259" s="1115"/>
      <c r="CW259" s="1115"/>
      <c r="CX259" s="1115"/>
      <c r="CY259" s="1115"/>
      <c r="CZ259" s="1115"/>
      <c r="DA259" s="1115"/>
      <c r="DB259" s="1109"/>
      <c r="DC259" s="1109"/>
      <c r="DD259" s="1115"/>
      <c r="DE259" s="1109"/>
      <c r="DF259" s="1109"/>
      <c r="DG259" s="1115"/>
      <c r="DH259" s="1109"/>
      <c r="DI259" s="1109"/>
      <c r="DJ259" s="1115"/>
      <c r="DK259" s="1109"/>
      <c r="DL259" s="1109"/>
      <c r="DM259" s="1115"/>
      <c r="DN259" s="1109"/>
      <c r="DO259" s="1109"/>
      <c r="DP259" s="1115"/>
      <c r="DQ259" s="1109"/>
      <c r="DR259" s="1109"/>
      <c r="DS259" s="1115"/>
      <c r="DT259" s="1115"/>
      <c r="DU259" s="1115"/>
      <c r="DV259" s="1115"/>
      <c r="DW259" s="1109"/>
      <c r="DX259" s="1109"/>
      <c r="DY259" s="1115"/>
      <c r="DZ259" s="1109"/>
      <c r="EA259" s="1109"/>
      <c r="EB259" s="1115"/>
      <c r="EC259" s="1109" t="s">
        <v>500</v>
      </c>
      <c r="ED259" s="1188" t="s">
        <v>4250</v>
      </c>
      <c r="EE259" s="1115">
        <v>5</v>
      </c>
      <c r="EF259" s="1115" t="s">
        <v>504</v>
      </c>
      <c r="EG259" s="1115"/>
      <c r="EH259" s="1115"/>
      <c r="EI259" s="1109"/>
      <c r="EJ259" s="1109"/>
      <c r="EK259" s="1115"/>
      <c r="EL259" s="1115"/>
      <c r="EM259" s="1115"/>
      <c r="EN259" s="1115"/>
      <c r="EO259" s="1109" t="s">
        <v>504</v>
      </c>
      <c r="EP259" s="1109"/>
      <c r="EQ259" s="1109"/>
      <c r="ER259" s="1109" t="s">
        <v>4251</v>
      </c>
      <c r="ES259" s="1109"/>
      <c r="ET259" s="1109" t="s">
        <v>4252</v>
      </c>
      <c r="EU259" s="1109"/>
      <c r="EV259" s="1109"/>
      <c r="EW259" s="1109"/>
      <c r="EX259" s="1109"/>
    </row>
    <row r="260" spans="3:154" ht="39.950000000000003" customHeight="1" x14ac:dyDescent="0.2">
      <c r="C260" s="1156" t="s">
        <v>693</v>
      </c>
      <c r="D260" s="1156" t="s">
        <v>5278</v>
      </c>
      <c r="E260" s="1104" t="s">
        <v>365</v>
      </c>
      <c r="F260" s="1104" t="s">
        <v>450</v>
      </c>
      <c r="G260" s="1109" t="s">
        <v>4253</v>
      </c>
      <c r="H260" s="1109"/>
      <c r="I260" s="1109" t="s">
        <v>219</v>
      </c>
      <c r="J260" s="1110">
        <v>2018</v>
      </c>
      <c r="K260" s="1105" t="s">
        <v>5382</v>
      </c>
      <c r="L260" s="1105">
        <v>44001</v>
      </c>
      <c r="M260" s="1369">
        <f t="shared" si="29"/>
        <v>110</v>
      </c>
      <c r="N260" s="1105"/>
      <c r="O260" s="1105"/>
      <c r="P260" s="1105"/>
      <c r="Q260" s="1105"/>
      <c r="R260" s="1105"/>
      <c r="S260" s="1105"/>
      <c r="T260" s="1105"/>
      <c r="U260" s="1105"/>
      <c r="V260" s="1105"/>
      <c r="W260" s="1105"/>
      <c r="X260" s="1105"/>
      <c r="Y260" s="1109" t="s">
        <v>4255</v>
      </c>
      <c r="Z260" s="1188" t="s">
        <v>4256</v>
      </c>
      <c r="AA260" s="1109" t="s">
        <v>4257</v>
      </c>
      <c r="AB260" s="1109" t="s">
        <v>4257</v>
      </c>
      <c r="AC260" s="1109" t="s">
        <v>4258</v>
      </c>
      <c r="AD260" s="1109" t="s">
        <v>4257</v>
      </c>
      <c r="AE260" s="1112">
        <v>1.421</v>
      </c>
      <c r="AF260" s="1113">
        <f t="shared" si="25"/>
        <v>1.42144</v>
      </c>
      <c r="AG260" s="1113">
        <f t="shared" si="26"/>
        <v>4.3999999999999595E-4</v>
      </c>
      <c r="AH260" s="1112"/>
      <c r="AI260" s="1113"/>
      <c r="AJ260" s="1113"/>
      <c r="AK260" s="1112">
        <v>0.47499999999999998</v>
      </c>
      <c r="AL260" s="1114">
        <v>0.28000000000000003</v>
      </c>
      <c r="AM260" s="1114">
        <v>8.0999999999999996E-3</v>
      </c>
      <c r="AN260" s="1112">
        <v>0</v>
      </c>
      <c r="AO260" s="1114">
        <v>0</v>
      </c>
      <c r="AP260" s="1112">
        <v>0.94643999999999995</v>
      </c>
      <c r="AQ260" s="1114">
        <v>0.56000000000000005</v>
      </c>
      <c r="AR260" s="1112"/>
      <c r="AS260" s="1114"/>
      <c r="AT260" s="1114"/>
      <c r="AU260" s="1114"/>
      <c r="AV260" s="1114"/>
      <c r="AW260" s="1114" t="s">
        <v>500</v>
      </c>
      <c r="AX260" s="1114" t="s">
        <v>4196</v>
      </c>
      <c r="AY260" s="1356">
        <v>0.27</v>
      </c>
      <c r="AZ260" s="1114">
        <v>2.0000000000000001E-4</v>
      </c>
      <c r="BA260" s="1113">
        <v>0.51</v>
      </c>
      <c r="BB260" s="1114">
        <v>1.0500000000000001E-2</v>
      </c>
      <c r="BC260" s="1115">
        <v>4</v>
      </c>
      <c r="BD260" s="1115">
        <v>4</v>
      </c>
      <c r="BE260" s="1116">
        <v>3</v>
      </c>
      <c r="BF260" s="1115"/>
      <c r="BG260" s="1115"/>
      <c r="BH260" s="1115"/>
      <c r="BI260" s="1115">
        <v>1</v>
      </c>
      <c r="BJ260" s="1115"/>
      <c r="BK260" s="1115">
        <v>1</v>
      </c>
      <c r="BL260" s="1115"/>
      <c r="BM260" s="1115"/>
      <c r="BN260" s="1115"/>
      <c r="BO260" s="1115"/>
      <c r="BP260" s="1115"/>
      <c r="BQ260" s="1115">
        <v>1</v>
      </c>
      <c r="BR260" s="1115"/>
      <c r="BS260" s="1115"/>
      <c r="BT260" s="1115"/>
      <c r="BU260" s="1115"/>
      <c r="BV260" s="1115"/>
      <c r="BW260" s="1115"/>
      <c r="BX260" s="1115"/>
      <c r="BY260" s="1115"/>
      <c r="BZ260" s="1115"/>
      <c r="CA260" s="1117">
        <f t="shared" si="32"/>
        <v>3</v>
      </c>
      <c r="CB260" s="1117">
        <f t="shared" si="27"/>
        <v>3</v>
      </c>
      <c r="CC260" s="1117">
        <f t="shared" si="28"/>
        <v>0</v>
      </c>
      <c r="CD260" s="1113">
        <v>2.6</v>
      </c>
      <c r="CE260" s="1109" t="s">
        <v>4197</v>
      </c>
      <c r="CF260" s="1109"/>
      <c r="CG260" s="1109">
        <v>100</v>
      </c>
      <c r="CH260" s="1113">
        <v>2.6</v>
      </c>
      <c r="CI260" s="1114"/>
      <c r="CJ260" s="1109" t="s">
        <v>504</v>
      </c>
      <c r="CK260" s="1109"/>
      <c r="CL260" s="1109"/>
      <c r="CM260" s="1115"/>
      <c r="CN260" s="1115"/>
      <c r="CO260" s="1115"/>
      <c r="CP260" s="1109" t="s">
        <v>504</v>
      </c>
      <c r="CQ260" s="1109"/>
      <c r="CR260" s="1115"/>
      <c r="CS260" s="1109" t="s">
        <v>504</v>
      </c>
      <c r="CT260" s="1109"/>
      <c r="CU260" s="1115"/>
      <c r="CV260" s="1115" t="s">
        <v>504</v>
      </c>
      <c r="CW260" s="1115"/>
      <c r="CX260" s="1115"/>
      <c r="CY260" s="1115" t="s">
        <v>504</v>
      </c>
      <c r="CZ260" s="1115"/>
      <c r="DA260" s="1115"/>
      <c r="DB260" s="1109" t="s">
        <v>504</v>
      </c>
      <c r="DC260" s="1109"/>
      <c r="DD260" s="1115"/>
      <c r="DE260" s="1109" t="s">
        <v>504</v>
      </c>
      <c r="DF260" s="1109"/>
      <c r="DG260" s="1115"/>
      <c r="DH260" s="1109" t="s">
        <v>504</v>
      </c>
      <c r="DI260" s="1109"/>
      <c r="DJ260" s="1115"/>
      <c r="DK260" s="1109" t="s">
        <v>500</v>
      </c>
      <c r="DL260" s="1109"/>
      <c r="DM260" s="1115"/>
      <c r="DN260" s="1109" t="s">
        <v>504</v>
      </c>
      <c r="DO260" s="1109"/>
      <c r="DP260" s="1115"/>
      <c r="DQ260" s="1109" t="s">
        <v>504</v>
      </c>
      <c r="DR260" s="1109"/>
      <c r="DS260" s="1115"/>
      <c r="DT260" s="1109" t="s">
        <v>504</v>
      </c>
      <c r="DU260" s="1115"/>
      <c r="DV260" s="1115"/>
      <c r="DW260" s="1109" t="s">
        <v>504</v>
      </c>
      <c r="DX260" s="1109"/>
      <c r="DY260" s="1115"/>
      <c r="DZ260" s="1109" t="s">
        <v>504</v>
      </c>
      <c r="EA260" s="1109"/>
      <c r="EB260" s="1115"/>
      <c r="EC260" s="1109" t="s">
        <v>504</v>
      </c>
      <c r="ED260" s="1109"/>
      <c r="EE260" s="1115"/>
      <c r="EF260" s="1115" t="s">
        <v>500</v>
      </c>
      <c r="EG260" s="1351" t="s">
        <v>4259</v>
      </c>
      <c r="EH260" s="1115">
        <v>25</v>
      </c>
      <c r="EI260" s="1109"/>
      <c r="EJ260" s="1109"/>
      <c r="EK260" s="1115"/>
      <c r="EL260" s="1115"/>
      <c r="EM260" s="1115"/>
      <c r="EN260" s="1115"/>
      <c r="EO260" s="1109" t="s">
        <v>504</v>
      </c>
      <c r="EP260" s="1109"/>
      <c r="EQ260" s="1188" t="s">
        <v>4260</v>
      </c>
      <c r="ER260" s="1109"/>
      <c r="ES260" s="1109"/>
      <c r="ET260" s="1109" t="s">
        <v>4261</v>
      </c>
      <c r="EU260" s="1109"/>
      <c r="EV260" s="1109" t="s">
        <v>4262</v>
      </c>
      <c r="EW260" s="1109"/>
      <c r="EX260" s="1109"/>
    </row>
    <row r="261" spans="3:154" customFormat="1" ht="39.950000000000003" customHeight="1" x14ac:dyDescent="0.25">
      <c r="C261" s="1156" t="s">
        <v>693</v>
      </c>
      <c r="D261" s="1156" t="s">
        <v>5278</v>
      </c>
      <c r="E261" s="1104" t="s">
        <v>365</v>
      </c>
      <c r="F261" s="1104" t="s">
        <v>450</v>
      </c>
      <c r="G261" s="1109" t="s">
        <v>4263</v>
      </c>
      <c r="H261" s="1109" t="s">
        <v>1316</v>
      </c>
      <c r="I261" s="1109" t="s">
        <v>219</v>
      </c>
      <c r="J261" s="1110">
        <v>2018</v>
      </c>
      <c r="K261" s="1105">
        <v>44018</v>
      </c>
      <c r="L261" s="1105">
        <v>44075</v>
      </c>
      <c r="M261" s="1369">
        <f t="shared" si="29"/>
        <v>57</v>
      </c>
      <c r="N261" s="1105"/>
      <c r="O261" s="1105"/>
      <c r="P261" s="1105"/>
      <c r="Q261" s="1105"/>
      <c r="R261" s="1105"/>
      <c r="S261" s="1105"/>
      <c r="T261" s="1105"/>
      <c r="U261" s="1105"/>
      <c r="V261" s="1105"/>
      <c r="W261" s="1105"/>
      <c r="X261" s="1105"/>
      <c r="Y261" s="1109" t="s">
        <v>4264</v>
      </c>
      <c r="Z261" s="1188" t="s">
        <v>4265</v>
      </c>
      <c r="AA261" s="1109" t="s">
        <v>4266</v>
      </c>
      <c r="AB261" s="1109" t="s">
        <v>4266</v>
      </c>
      <c r="AC261" s="1109" t="s">
        <v>767</v>
      </c>
      <c r="AD261" s="1109" t="s">
        <v>4266</v>
      </c>
      <c r="AE261" s="1112">
        <v>2.3769999999999998</v>
      </c>
      <c r="AF261" s="1113">
        <f t="shared" si="25"/>
        <v>2.37744</v>
      </c>
      <c r="AG261" s="1113">
        <f t="shared" si="26"/>
        <v>4.4000000000021799E-4</v>
      </c>
      <c r="AH261" s="1112"/>
      <c r="AI261" s="1113"/>
      <c r="AJ261" s="1113"/>
      <c r="AK261" s="1112">
        <v>2.0459999999999998</v>
      </c>
      <c r="AL261" s="1114">
        <v>0.86099999999999999</v>
      </c>
      <c r="AM261" s="1114">
        <v>3.0099999999999998E-2</v>
      </c>
      <c r="AN261" s="1112">
        <v>1.2E-2</v>
      </c>
      <c r="AO261" s="1114">
        <v>5.0499999999999998E-3</v>
      </c>
      <c r="AP261" s="1112">
        <v>0.31944</v>
      </c>
      <c r="AQ261" s="1114">
        <v>0.13389999999999999</v>
      </c>
      <c r="AR261" s="1112"/>
      <c r="AS261" s="1114"/>
      <c r="AT261" s="1114"/>
      <c r="AU261" s="1114"/>
      <c r="AV261" s="1114"/>
      <c r="AW261" s="1114" t="s">
        <v>504</v>
      </c>
      <c r="AX261" s="1114"/>
      <c r="AY261" s="1114"/>
      <c r="AZ261" s="1114"/>
      <c r="BA261" s="1113">
        <v>1</v>
      </c>
      <c r="BB261" s="1114">
        <v>1.54E-2</v>
      </c>
      <c r="BC261" s="1115">
        <v>2</v>
      </c>
      <c r="BD261" s="1115">
        <v>2</v>
      </c>
      <c r="BE261" s="1116">
        <v>2</v>
      </c>
      <c r="BF261" s="1115"/>
      <c r="BG261" s="1115">
        <v>1</v>
      </c>
      <c r="BH261" s="1115"/>
      <c r="BI261" s="1115"/>
      <c r="BJ261" s="1115"/>
      <c r="BK261" s="1115"/>
      <c r="BL261" s="1115"/>
      <c r="BM261" s="1115"/>
      <c r="BN261" s="1115"/>
      <c r="BO261" s="1115"/>
      <c r="BP261" s="1115"/>
      <c r="BQ261" s="1115">
        <v>1</v>
      </c>
      <c r="BR261" s="1115"/>
      <c r="BS261" s="1115"/>
      <c r="BT261" s="1115"/>
      <c r="BU261" s="1115"/>
      <c r="BV261" s="1115"/>
      <c r="BW261" s="1115"/>
      <c r="BX261" s="1115"/>
      <c r="BY261" s="1115"/>
      <c r="BZ261" s="1115"/>
      <c r="CA261" s="1117">
        <f t="shared" si="32"/>
        <v>2</v>
      </c>
      <c r="CB261" s="1117">
        <f t="shared" si="27"/>
        <v>2</v>
      </c>
      <c r="CC261" s="1117">
        <f t="shared" si="28"/>
        <v>0</v>
      </c>
      <c r="CD261" s="1113">
        <v>1.177</v>
      </c>
      <c r="CE261" s="1115" t="s">
        <v>4197</v>
      </c>
      <c r="CF261" s="1109"/>
      <c r="CG261" s="1109">
        <v>40.700000000000003</v>
      </c>
      <c r="CH261" s="1113">
        <v>2.8919999999999999</v>
      </c>
      <c r="CI261" s="1191" t="s">
        <v>4267</v>
      </c>
      <c r="CJ261" s="1109" t="s">
        <v>504</v>
      </c>
      <c r="CK261" s="1109"/>
      <c r="CL261" s="1109"/>
      <c r="CM261" s="1115"/>
      <c r="CN261" s="1115"/>
      <c r="CO261" s="1115"/>
      <c r="CP261" s="1109" t="s">
        <v>504</v>
      </c>
      <c r="CQ261" s="1109"/>
      <c r="CR261" s="1115"/>
      <c r="CS261" s="1109" t="s">
        <v>504</v>
      </c>
      <c r="CT261" s="1109"/>
      <c r="CU261" s="1115"/>
      <c r="CV261" s="1115" t="s">
        <v>504</v>
      </c>
      <c r="CW261" s="1115"/>
      <c r="CX261" s="1115"/>
      <c r="CY261" s="1115" t="s">
        <v>504</v>
      </c>
      <c r="CZ261" s="1115"/>
      <c r="DA261" s="1115"/>
      <c r="DB261" s="1109" t="s">
        <v>504</v>
      </c>
      <c r="DC261" s="1109"/>
      <c r="DD261" s="1115"/>
      <c r="DE261" s="1109" t="s">
        <v>504</v>
      </c>
      <c r="DF261" s="1109"/>
      <c r="DG261" s="1115"/>
      <c r="DH261" s="1109" t="s">
        <v>504</v>
      </c>
      <c r="DI261" s="1109"/>
      <c r="DJ261" s="1115"/>
      <c r="DK261" s="1109" t="s">
        <v>504</v>
      </c>
      <c r="DL261" s="1109"/>
      <c r="DM261" s="1115"/>
      <c r="DN261" s="1109" t="s">
        <v>504</v>
      </c>
      <c r="DO261" s="1109"/>
      <c r="DP261" s="1115"/>
      <c r="DQ261" s="1109" t="s">
        <v>504</v>
      </c>
      <c r="DR261" s="1109"/>
      <c r="DS261" s="1115"/>
      <c r="DT261" s="1115" t="s">
        <v>504</v>
      </c>
      <c r="DU261" s="1115"/>
      <c r="DV261" s="1115"/>
      <c r="DW261" s="1109" t="s">
        <v>504</v>
      </c>
      <c r="DX261" s="1109"/>
      <c r="DY261" s="1115"/>
      <c r="DZ261" s="1109" t="s">
        <v>504</v>
      </c>
      <c r="EA261" s="1109"/>
      <c r="EB261" s="1115"/>
      <c r="EC261" s="1109" t="s">
        <v>500</v>
      </c>
      <c r="ED261" s="1188" t="s">
        <v>4268</v>
      </c>
      <c r="EE261" s="1115">
        <v>20</v>
      </c>
      <c r="EF261" s="1115" t="s">
        <v>504</v>
      </c>
      <c r="EG261" s="1115"/>
      <c r="EH261" s="1115"/>
      <c r="EI261" s="1109"/>
      <c r="EJ261" s="1109"/>
      <c r="EK261" s="1115"/>
      <c r="EL261" s="1115"/>
      <c r="EM261" s="1115"/>
      <c r="EN261" s="1115"/>
      <c r="EO261" s="1109" t="s">
        <v>504</v>
      </c>
      <c r="EP261" s="1109"/>
      <c r="EQ261" s="1188" t="s">
        <v>4268</v>
      </c>
      <c r="ER261" s="1109"/>
      <c r="ES261" s="1109"/>
      <c r="ET261" s="1109"/>
      <c r="EU261" s="1109"/>
      <c r="EV261" s="1109"/>
      <c r="EW261" s="1109"/>
      <c r="EX261" s="1109"/>
    </row>
    <row r="262" spans="3:154" ht="39.950000000000003" customHeight="1" x14ac:dyDescent="0.2">
      <c r="C262" s="1156" t="s">
        <v>693</v>
      </c>
      <c r="D262" s="1156" t="s">
        <v>5278</v>
      </c>
      <c r="E262" s="1104" t="s">
        <v>365</v>
      </c>
      <c r="F262" s="1104" t="s">
        <v>450</v>
      </c>
      <c r="G262" s="1109" t="s">
        <v>4269</v>
      </c>
      <c r="H262" s="1109" t="s">
        <v>4270</v>
      </c>
      <c r="I262" s="1109" t="s">
        <v>219</v>
      </c>
      <c r="J262" s="1110">
        <v>2019</v>
      </c>
      <c r="K262" s="1105">
        <v>43887</v>
      </c>
      <c r="L262" s="1105">
        <v>44138</v>
      </c>
      <c r="M262" s="1369">
        <f t="shared" si="29"/>
        <v>251</v>
      </c>
      <c r="N262" s="1105"/>
      <c r="O262" s="1105"/>
      <c r="P262" s="1105"/>
      <c r="Q262" s="1105"/>
      <c r="R262" s="1105"/>
      <c r="S262" s="1105"/>
      <c r="T262" s="1105"/>
      <c r="U262" s="1105"/>
      <c r="V262" s="1105"/>
      <c r="W262" s="1105"/>
      <c r="X262" s="1105"/>
      <c r="Y262" s="1109" t="s">
        <v>4271</v>
      </c>
      <c r="Z262" s="1188" t="s">
        <v>4272</v>
      </c>
      <c r="AA262" s="1109" t="s">
        <v>4273</v>
      </c>
      <c r="AB262" s="1109" t="s">
        <v>4273</v>
      </c>
      <c r="AC262" s="1109" t="s">
        <v>4274</v>
      </c>
      <c r="AD262" s="1109" t="s">
        <v>4273</v>
      </c>
      <c r="AE262" s="1112">
        <f>4.545</f>
        <v>4.5449999999999999</v>
      </c>
      <c r="AF262" s="1113">
        <f t="shared" si="25"/>
        <v>4.5449999999999999</v>
      </c>
      <c r="AG262" s="1113">
        <f t="shared" si="26"/>
        <v>0</v>
      </c>
      <c r="AH262" s="1112"/>
      <c r="AI262" s="1113"/>
      <c r="AJ262" s="1113"/>
      <c r="AK262" s="1112">
        <v>4.4820000000000002</v>
      </c>
      <c r="AL262" s="1114">
        <f>AK262/AE262</f>
        <v>0.98613861386138624</v>
      </c>
      <c r="AM262" s="1114">
        <f>AE262/210.848</f>
        <v>2.1555812718166641E-2</v>
      </c>
      <c r="AN262" s="1112">
        <v>1.2999999999999999E-2</v>
      </c>
      <c r="AO262" s="1114">
        <f>AN262/AE262</f>
        <v>2.8602860286028602E-3</v>
      </c>
      <c r="AP262" s="1112">
        <v>0.05</v>
      </c>
      <c r="AQ262" s="1114">
        <f>AP262/AE262</f>
        <v>1.1001100110011002E-2</v>
      </c>
      <c r="AR262" s="1112"/>
      <c r="AS262" s="1114"/>
      <c r="AT262" s="1114"/>
      <c r="AU262" s="1114"/>
      <c r="AV262" s="1114"/>
      <c r="AW262" s="1114" t="s">
        <v>500</v>
      </c>
      <c r="AX262" s="1114" t="s">
        <v>4275</v>
      </c>
      <c r="AY262" s="1114"/>
      <c r="AZ262" s="1114"/>
      <c r="BA262" s="1113">
        <v>5</v>
      </c>
      <c r="BB262" s="1114">
        <v>4.3900000000000002E-2</v>
      </c>
      <c r="BC262" s="1115">
        <v>11</v>
      </c>
      <c r="BD262" s="1115">
        <v>5</v>
      </c>
      <c r="BE262" s="1116">
        <v>5</v>
      </c>
      <c r="BF262" s="1115"/>
      <c r="BG262" s="1115"/>
      <c r="BH262" s="1115">
        <v>1</v>
      </c>
      <c r="BI262" s="1115"/>
      <c r="BJ262" s="1115"/>
      <c r="BK262" s="1115">
        <v>1</v>
      </c>
      <c r="BL262" s="1115"/>
      <c r="BM262" s="1115"/>
      <c r="BN262" s="1115"/>
      <c r="BO262" s="1115"/>
      <c r="BP262" s="1115"/>
      <c r="BQ262" s="1115">
        <v>2</v>
      </c>
      <c r="BR262" s="1115"/>
      <c r="BS262" s="1115"/>
      <c r="BT262" s="1115"/>
      <c r="BU262" s="1115"/>
      <c r="BV262" s="1115"/>
      <c r="BW262" s="1115">
        <v>1</v>
      </c>
      <c r="BX262" s="1115"/>
      <c r="BY262" s="1115"/>
      <c r="BZ262" s="1115"/>
      <c r="CA262" s="1117">
        <f t="shared" si="32"/>
        <v>5</v>
      </c>
      <c r="CB262" s="1117">
        <f t="shared" si="27"/>
        <v>5</v>
      </c>
      <c r="CC262" s="1117">
        <f t="shared" si="28"/>
        <v>0</v>
      </c>
      <c r="CD262" s="1113">
        <v>6</v>
      </c>
      <c r="CE262" s="1109" t="s">
        <v>4197</v>
      </c>
      <c r="CF262" s="1109"/>
      <c r="CG262" s="1114">
        <v>0.54190000000000005</v>
      </c>
      <c r="CH262" s="1113">
        <v>11.071999999999999</v>
      </c>
      <c r="CI262" s="1188" t="s">
        <v>4276</v>
      </c>
      <c r="CJ262" s="1109"/>
      <c r="CK262" s="1109"/>
      <c r="CL262" s="1109"/>
      <c r="CM262" s="1115"/>
      <c r="CN262" s="1115"/>
      <c r="CO262" s="1115">
        <v>2</v>
      </c>
      <c r="CP262" s="1109" t="s">
        <v>504</v>
      </c>
      <c r="CQ262" s="1109"/>
      <c r="CR262" s="1115"/>
      <c r="CS262" s="1109" t="s">
        <v>500</v>
      </c>
      <c r="CT262" s="1109"/>
      <c r="CU262" s="1115">
        <v>12</v>
      </c>
      <c r="CV262" s="1115" t="s">
        <v>504</v>
      </c>
      <c r="CW262" s="1115"/>
      <c r="CX262" s="1115"/>
      <c r="CY262" s="1115" t="s">
        <v>504</v>
      </c>
      <c r="CZ262" s="1115"/>
      <c r="DA262" s="1115"/>
      <c r="DB262" s="1109" t="s">
        <v>504</v>
      </c>
      <c r="DC262" s="1109"/>
      <c r="DD262" s="1115"/>
      <c r="DE262" s="1109" t="s">
        <v>504</v>
      </c>
      <c r="DF262" s="1109"/>
      <c r="DG262" s="1115"/>
      <c r="DH262" s="1109" t="s">
        <v>504</v>
      </c>
      <c r="DI262" s="1109"/>
      <c r="DJ262" s="1115"/>
      <c r="DK262" s="1109"/>
      <c r="DL262" s="1109"/>
      <c r="DM262" s="1115"/>
      <c r="DN262" s="1109" t="s">
        <v>504</v>
      </c>
      <c r="DO262" s="1109"/>
      <c r="DP262" s="1115"/>
      <c r="DQ262" s="1109" t="s">
        <v>504</v>
      </c>
      <c r="DR262" s="1109"/>
      <c r="DS262" s="1115"/>
      <c r="DT262" s="1115" t="s">
        <v>504</v>
      </c>
      <c r="DU262" s="1115"/>
      <c r="DV262" s="1115"/>
      <c r="DW262" s="1109" t="s">
        <v>504</v>
      </c>
      <c r="DX262" s="1109"/>
      <c r="DY262" s="1115"/>
      <c r="DZ262" s="1109" t="s">
        <v>504</v>
      </c>
      <c r="EA262" s="1109"/>
      <c r="EB262" s="1115"/>
      <c r="EC262" s="1109" t="s">
        <v>500</v>
      </c>
      <c r="ED262" s="1188" t="s">
        <v>4277</v>
      </c>
      <c r="EE262" s="1115">
        <v>14</v>
      </c>
      <c r="EF262" s="1115" t="s">
        <v>504</v>
      </c>
      <c r="EG262" s="1115"/>
      <c r="EH262" s="1115"/>
      <c r="EI262" s="1109"/>
      <c r="EJ262" s="1109"/>
      <c r="EK262" s="1115"/>
      <c r="EL262" s="1115"/>
      <c r="EM262" s="1115"/>
      <c r="EN262" s="1115"/>
      <c r="EO262" s="1109" t="s">
        <v>504</v>
      </c>
      <c r="EP262" s="1109"/>
      <c r="EQ262" s="1188" t="s">
        <v>4278</v>
      </c>
      <c r="ER262" s="1188" t="s">
        <v>4279</v>
      </c>
      <c r="ES262" s="1109"/>
      <c r="ET262" s="1109" t="s">
        <v>4280</v>
      </c>
      <c r="EU262" s="1109"/>
      <c r="EV262" s="1109"/>
      <c r="EW262" s="1109"/>
      <c r="EX262" s="1109"/>
    </row>
    <row r="263" spans="3:154" ht="39.950000000000003" customHeight="1" x14ac:dyDescent="0.2">
      <c r="C263" s="1156" t="s">
        <v>693</v>
      </c>
      <c r="D263" s="1156" t="s">
        <v>5278</v>
      </c>
      <c r="E263" s="1104" t="s">
        <v>365</v>
      </c>
      <c r="F263" s="1104" t="s">
        <v>450</v>
      </c>
      <c r="G263" s="1187" t="s">
        <v>4281</v>
      </c>
      <c r="H263" s="1109" t="s">
        <v>4282</v>
      </c>
      <c r="I263" s="1109" t="s">
        <v>219</v>
      </c>
      <c r="J263" s="1110">
        <v>2018</v>
      </c>
      <c r="K263" s="1105">
        <v>43887</v>
      </c>
      <c r="L263" s="1105">
        <v>44120</v>
      </c>
      <c r="M263" s="1369">
        <f t="shared" si="29"/>
        <v>233</v>
      </c>
      <c r="N263" s="1105"/>
      <c r="O263" s="1105"/>
      <c r="P263" s="1105"/>
      <c r="Q263" s="1105"/>
      <c r="R263" s="1105"/>
      <c r="S263" s="1105"/>
      <c r="T263" s="1105"/>
      <c r="U263" s="1105"/>
      <c r="V263" s="1105"/>
      <c r="W263" s="1105"/>
      <c r="X263" s="1105"/>
      <c r="Y263" s="1109" t="s">
        <v>4283</v>
      </c>
      <c r="Z263" s="1188" t="s">
        <v>4284</v>
      </c>
      <c r="AA263" s="1109" t="s">
        <v>4285</v>
      </c>
      <c r="AB263" s="1109" t="s">
        <v>4285</v>
      </c>
      <c r="AC263" s="1109"/>
      <c r="AD263" s="1109" t="s">
        <v>4285</v>
      </c>
      <c r="AE263" s="1112">
        <v>17.393999999999998</v>
      </c>
      <c r="AF263" s="1113">
        <f t="shared" si="25"/>
        <v>17.394106709999996</v>
      </c>
      <c r="AG263" s="1113">
        <f t="shared" si="26"/>
        <v>1.0670999999717878E-4</v>
      </c>
      <c r="AH263" s="1112"/>
      <c r="AI263" s="1113"/>
      <c r="AJ263" s="1113"/>
      <c r="AK263" s="1112">
        <f>(2299664.4+15000000+94442.31)/1000000</f>
        <v>17.394106709999996</v>
      </c>
      <c r="AL263" s="1114">
        <f>AK263/AE263</f>
        <v>1.0000061348740943</v>
      </c>
      <c r="AM263" s="1114">
        <f>AE263/5421.1</f>
        <v>3.2085739056649013E-3</v>
      </c>
      <c r="AN263" s="1112"/>
      <c r="AO263" s="1114"/>
      <c r="AP263" s="1112"/>
      <c r="AQ263" s="1114"/>
      <c r="AR263" s="1112"/>
      <c r="AS263" s="1114"/>
      <c r="AT263" s="1114"/>
      <c r="AU263" s="1114"/>
      <c r="AV263" s="1114"/>
      <c r="AW263" s="1114" t="s">
        <v>504</v>
      </c>
      <c r="AX263" s="1114"/>
      <c r="AY263" s="1114"/>
      <c r="AZ263" s="1114"/>
      <c r="BA263" s="1113">
        <v>0</v>
      </c>
      <c r="BB263" s="1114">
        <f>BA263/4652.554</f>
        <v>0</v>
      </c>
      <c r="BC263" s="1115">
        <v>3</v>
      </c>
      <c r="BD263" s="1115">
        <v>3</v>
      </c>
      <c r="BE263" s="1116">
        <v>3</v>
      </c>
      <c r="BF263" s="1115"/>
      <c r="BG263" s="1115">
        <v>2</v>
      </c>
      <c r="BH263" s="1115"/>
      <c r="BI263" s="1115"/>
      <c r="BJ263" s="1115"/>
      <c r="BK263" s="1115">
        <v>1</v>
      </c>
      <c r="BL263" s="1115"/>
      <c r="BM263" s="1115"/>
      <c r="BN263" s="1115"/>
      <c r="BO263" s="1115"/>
      <c r="BP263" s="1115"/>
      <c r="BQ263" s="1115"/>
      <c r="BR263" s="1115"/>
      <c r="BS263" s="1115"/>
      <c r="BT263" s="1115"/>
      <c r="BU263" s="1115"/>
      <c r="BV263" s="1115"/>
      <c r="BW263" s="1115"/>
      <c r="BX263" s="1115"/>
      <c r="BY263" s="1115"/>
      <c r="BZ263" s="1115"/>
      <c r="CA263" s="1117">
        <f t="shared" si="32"/>
        <v>3</v>
      </c>
      <c r="CB263" s="1117">
        <f t="shared" si="27"/>
        <v>3</v>
      </c>
      <c r="CC263" s="1117">
        <f t="shared" si="28"/>
        <v>0</v>
      </c>
      <c r="CD263" s="1113">
        <v>10</v>
      </c>
      <c r="CE263" s="1109"/>
      <c r="CF263" s="1109"/>
      <c r="CG263" s="1109">
        <v>30.3</v>
      </c>
      <c r="CH263" s="1113"/>
      <c r="CI263" s="1114"/>
      <c r="CJ263" s="1109" t="s">
        <v>504</v>
      </c>
      <c r="CK263" s="1109"/>
      <c r="CL263" s="1109"/>
      <c r="CM263" s="1115"/>
      <c r="CN263" s="1115"/>
      <c r="CO263" s="1115"/>
      <c r="CP263" s="1109" t="s">
        <v>500</v>
      </c>
      <c r="CQ263" s="1188" t="s">
        <v>4286</v>
      </c>
      <c r="CR263" s="1115"/>
      <c r="CS263" s="1109" t="s">
        <v>504</v>
      </c>
      <c r="CT263" s="1109"/>
      <c r="CU263" s="1115"/>
      <c r="CV263" s="1115" t="s">
        <v>504</v>
      </c>
      <c r="CW263" s="1115"/>
      <c r="CX263" s="1115"/>
      <c r="CY263" s="1115" t="s">
        <v>504</v>
      </c>
      <c r="CZ263" s="1115"/>
      <c r="DA263" s="1115"/>
      <c r="DB263" s="1109" t="s">
        <v>504</v>
      </c>
      <c r="DC263" s="1109"/>
      <c r="DD263" s="1115"/>
      <c r="DE263" s="1109" t="s">
        <v>504</v>
      </c>
      <c r="DF263" s="1109"/>
      <c r="DG263" s="1115"/>
      <c r="DH263" s="1109" t="s">
        <v>504</v>
      </c>
      <c r="DI263" s="1109"/>
      <c r="DJ263" s="1115"/>
      <c r="DK263" s="1109"/>
      <c r="DL263" s="1109"/>
      <c r="DM263" s="1115"/>
      <c r="DN263" s="1109" t="s">
        <v>500</v>
      </c>
      <c r="DO263" s="1188" t="s">
        <v>4286</v>
      </c>
      <c r="DP263" s="1115"/>
      <c r="DQ263" s="1109" t="s">
        <v>504</v>
      </c>
      <c r="DR263" s="1109"/>
      <c r="DS263" s="1115"/>
      <c r="DT263" s="1115" t="s">
        <v>504</v>
      </c>
      <c r="DU263" s="1115"/>
      <c r="DV263" s="1115"/>
      <c r="DW263" s="1109" t="s">
        <v>504</v>
      </c>
      <c r="DX263" s="1109"/>
      <c r="DY263" s="1115"/>
      <c r="DZ263" s="1109" t="s">
        <v>504</v>
      </c>
      <c r="EA263" s="1109"/>
      <c r="EB263" s="1115"/>
      <c r="EC263" s="1109" t="s">
        <v>504</v>
      </c>
      <c r="ED263" s="1109"/>
      <c r="EE263" s="1115"/>
      <c r="EF263" s="1115" t="s">
        <v>500</v>
      </c>
      <c r="EG263" s="1115" t="s">
        <v>1348</v>
      </c>
      <c r="EH263" s="1115">
        <v>14</v>
      </c>
      <c r="EI263" s="1109"/>
      <c r="EJ263" s="1109"/>
      <c r="EK263" s="1115"/>
      <c r="EL263" s="1115"/>
      <c r="EM263" s="1115"/>
      <c r="EN263" s="1115"/>
      <c r="EO263" s="1109" t="s">
        <v>504</v>
      </c>
      <c r="EP263" s="1109"/>
      <c r="EQ263" s="1188" t="s">
        <v>4287</v>
      </c>
      <c r="ER263" s="1188" t="s">
        <v>4288</v>
      </c>
      <c r="ES263" s="1109"/>
      <c r="ET263" s="1109" t="s">
        <v>4289</v>
      </c>
      <c r="EU263" s="1109"/>
      <c r="EV263" s="1109"/>
      <c r="EW263" s="1109"/>
      <c r="EX263" s="1109"/>
    </row>
    <row r="264" spans="3:154" ht="39.950000000000003" customHeight="1" x14ac:dyDescent="0.2">
      <c r="C264" s="1156" t="s">
        <v>693</v>
      </c>
      <c r="D264" s="1156" t="s">
        <v>5278</v>
      </c>
      <c r="E264" s="1104" t="s">
        <v>365</v>
      </c>
      <c r="F264" s="1104" t="s">
        <v>450</v>
      </c>
      <c r="G264" s="1109" t="s">
        <v>3823</v>
      </c>
      <c r="H264" s="1109" t="s">
        <v>3841</v>
      </c>
      <c r="I264" s="1109" t="s">
        <v>3841</v>
      </c>
      <c r="J264" s="1110" t="s">
        <v>2769</v>
      </c>
      <c r="K264" s="1105">
        <v>43710</v>
      </c>
      <c r="L264" s="1105">
        <v>44119</v>
      </c>
      <c r="M264" s="1369">
        <f t="shared" si="29"/>
        <v>409</v>
      </c>
      <c r="N264" s="1105"/>
      <c r="O264" s="1105"/>
      <c r="P264" s="1105"/>
      <c r="Q264" s="1105"/>
      <c r="R264" s="1105"/>
      <c r="S264" s="1105"/>
      <c r="T264" s="1105"/>
      <c r="U264" s="1105"/>
      <c r="V264" s="1105"/>
      <c r="W264" s="1105"/>
      <c r="X264" s="1105"/>
      <c r="Y264" s="1109" t="s">
        <v>4290</v>
      </c>
      <c r="Z264" s="1127" t="s">
        <v>4291</v>
      </c>
      <c r="AA264" s="1104" t="s">
        <v>4292</v>
      </c>
      <c r="AB264" s="1104" t="s">
        <v>4292</v>
      </c>
      <c r="AC264" s="1109" t="s">
        <v>4293</v>
      </c>
      <c r="AD264" s="1109"/>
      <c r="AE264" s="1112">
        <v>0.25</v>
      </c>
      <c r="AF264" s="1113">
        <f t="shared" si="25"/>
        <v>0.25</v>
      </c>
      <c r="AG264" s="1113">
        <f t="shared" si="26"/>
        <v>0</v>
      </c>
      <c r="AH264" s="1112"/>
      <c r="AI264" s="1113"/>
      <c r="AJ264" s="1113"/>
      <c r="AK264" s="1112">
        <v>0.24</v>
      </c>
      <c r="AL264" s="1114">
        <v>0.96</v>
      </c>
      <c r="AM264" s="1114">
        <v>9.0000000000000006E-5</v>
      </c>
      <c r="AN264" s="1112">
        <v>0.01</v>
      </c>
      <c r="AO264" s="1114">
        <v>0.04</v>
      </c>
      <c r="AP264" s="1112"/>
      <c r="AQ264" s="1114"/>
      <c r="AR264" s="1112"/>
      <c r="AS264" s="1114"/>
      <c r="AT264" s="1114"/>
      <c r="AU264" s="1114"/>
      <c r="AV264" s="1114"/>
      <c r="AW264" s="1114" t="s">
        <v>500</v>
      </c>
      <c r="AX264" s="1114" t="s">
        <v>4294</v>
      </c>
      <c r="AY264" s="1109">
        <v>4.3400000000000001E-2</v>
      </c>
      <c r="AZ264" s="1114">
        <v>0.1736</v>
      </c>
      <c r="BA264" s="1113">
        <v>0.373</v>
      </c>
      <c r="BB264" s="1114">
        <v>1.2E-4</v>
      </c>
      <c r="BC264" s="1115">
        <v>1</v>
      </c>
      <c r="BD264" s="1115">
        <v>1</v>
      </c>
      <c r="BE264" s="1116">
        <v>1</v>
      </c>
      <c r="BF264" s="1115"/>
      <c r="BG264" s="1115"/>
      <c r="BH264" s="1115"/>
      <c r="BI264" s="1115"/>
      <c r="BJ264" s="1115"/>
      <c r="BK264" s="1115"/>
      <c r="BL264" s="1115"/>
      <c r="BM264" s="1115"/>
      <c r="BN264" s="1115">
        <v>1</v>
      </c>
      <c r="BO264" s="1115"/>
      <c r="BP264" s="1115"/>
      <c r="BQ264" s="1115"/>
      <c r="BR264" s="1115"/>
      <c r="BS264" s="1115"/>
      <c r="BT264" s="1115"/>
      <c r="BU264" s="1115"/>
      <c r="BV264" s="1115"/>
      <c r="BW264" s="1115"/>
      <c r="BX264" s="1115"/>
      <c r="BY264" s="1115"/>
      <c r="BZ264" s="1115"/>
      <c r="CA264" s="1117">
        <v>1</v>
      </c>
      <c r="CB264" s="1117">
        <f t="shared" si="27"/>
        <v>1</v>
      </c>
      <c r="CC264" s="1117">
        <f t="shared" si="28"/>
        <v>0</v>
      </c>
      <c r="CD264" s="1113">
        <v>0.96699999999999997</v>
      </c>
      <c r="CE264" s="1109" t="s">
        <v>4295</v>
      </c>
      <c r="CF264" s="1109"/>
      <c r="CG264" s="1109">
        <v>100</v>
      </c>
      <c r="CH264" s="1113">
        <v>0.96699999999999997</v>
      </c>
      <c r="CI264" s="1139" t="s">
        <v>3835</v>
      </c>
      <c r="CJ264" s="1109" t="s">
        <v>504</v>
      </c>
      <c r="CK264" s="1109"/>
      <c r="CL264" s="1109"/>
      <c r="CM264" s="1115"/>
      <c r="CN264" s="1115"/>
      <c r="CO264" s="1115">
        <v>1</v>
      </c>
      <c r="CP264" s="1109" t="s">
        <v>504</v>
      </c>
      <c r="CQ264" s="1109"/>
      <c r="CR264" s="1115"/>
      <c r="CS264" s="1109" t="s">
        <v>500</v>
      </c>
      <c r="CT264" s="1109" t="s">
        <v>4296</v>
      </c>
      <c r="CU264" s="1115">
        <v>8</v>
      </c>
      <c r="CV264" s="1115" t="s">
        <v>504</v>
      </c>
      <c r="CW264" s="1115"/>
      <c r="CX264" s="1115"/>
      <c r="CY264" s="1115" t="s">
        <v>504</v>
      </c>
      <c r="CZ264" s="1115"/>
      <c r="DA264" s="1115"/>
      <c r="DB264" s="1109" t="s">
        <v>504</v>
      </c>
      <c r="DC264" s="1109"/>
      <c r="DD264" s="1115"/>
      <c r="DE264" s="1109" t="s">
        <v>504</v>
      </c>
      <c r="DF264" s="1109"/>
      <c r="DG264" s="1115"/>
      <c r="DH264" s="1109" t="s">
        <v>504</v>
      </c>
      <c r="DI264" s="1109"/>
      <c r="DJ264" s="1115"/>
      <c r="DK264" s="1109"/>
      <c r="DL264" s="1109"/>
      <c r="DM264" s="1115"/>
      <c r="DN264" s="1109" t="s">
        <v>504</v>
      </c>
      <c r="DO264" s="1109"/>
      <c r="DP264" s="1115"/>
      <c r="DQ264" s="1109" t="s">
        <v>500</v>
      </c>
      <c r="DR264" s="1189" t="s">
        <v>935</v>
      </c>
      <c r="DS264" s="1115">
        <v>80</v>
      </c>
      <c r="DT264" s="1115" t="s">
        <v>504</v>
      </c>
      <c r="DU264" s="1115"/>
      <c r="DV264" s="1115"/>
      <c r="DW264" s="1109" t="s">
        <v>504</v>
      </c>
      <c r="DX264" s="1109"/>
      <c r="DY264" s="1115"/>
      <c r="DZ264" s="1109" t="s">
        <v>504</v>
      </c>
      <c r="EA264" s="1109"/>
      <c r="EB264" s="1115"/>
      <c r="EC264" s="1109" t="s">
        <v>504</v>
      </c>
      <c r="ED264" s="1109"/>
      <c r="EE264" s="1115"/>
      <c r="EF264" s="1115" t="s">
        <v>504</v>
      </c>
      <c r="EG264" s="1115"/>
      <c r="EH264" s="1115"/>
      <c r="EI264" s="1109"/>
      <c r="EJ264" s="1109"/>
      <c r="EK264" s="1115"/>
      <c r="EL264" s="1115"/>
      <c r="EM264" s="1115"/>
      <c r="EN264" s="1115"/>
      <c r="EO264" s="1109" t="s">
        <v>504</v>
      </c>
      <c r="EP264" s="1109"/>
      <c r="EQ264" s="1127" t="s">
        <v>4297</v>
      </c>
      <c r="ER264" s="1109"/>
      <c r="ES264" s="1109"/>
      <c r="ET264" s="1109"/>
      <c r="EU264" s="1109"/>
      <c r="EV264" s="1109" t="s">
        <v>504</v>
      </c>
      <c r="EW264" s="1109"/>
      <c r="EX264" s="1109"/>
    </row>
    <row r="265" spans="3:154" customFormat="1" ht="39.950000000000003" customHeight="1" x14ac:dyDescent="0.25">
      <c r="C265" s="1156" t="s">
        <v>693</v>
      </c>
      <c r="D265" s="1156" t="s">
        <v>5278</v>
      </c>
      <c r="E265" s="1104" t="s">
        <v>365</v>
      </c>
      <c r="F265" s="1104" t="s">
        <v>450</v>
      </c>
      <c r="G265" s="1109" t="s">
        <v>3823</v>
      </c>
      <c r="H265" s="1109" t="s">
        <v>3841</v>
      </c>
      <c r="I265" s="1109" t="s">
        <v>3841</v>
      </c>
      <c r="J265" s="1110" t="s">
        <v>3908</v>
      </c>
      <c r="K265" s="1105">
        <v>43983</v>
      </c>
      <c r="L265" s="1105">
        <v>44104</v>
      </c>
      <c r="M265" s="1369">
        <f t="shared" si="29"/>
        <v>121</v>
      </c>
      <c r="N265" s="1105"/>
      <c r="O265" s="1105"/>
      <c r="P265" s="1105"/>
      <c r="Q265" s="1105"/>
      <c r="R265" s="1105"/>
      <c r="S265" s="1105"/>
      <c r="T265" s="1105"/>
      <c r="U265" s="1105"/>
      <c r="V265" s="1105"/>
      <c r="W265" s="1105"/>
      <c r="X265" s="1105"/>
      <c r="Y265" s="1109" t="s">
        <v>4299</v>
      </c>
      <c r="Z265" s="1127" t="s">
        <v>4300</v>
      </c>
      <c r="AA265" s="1104" t="s">
        <v>4301</v>
      </c>
      <c r="AB265" s="1104" t="s">
        <v>4302</v>
      </c>
      <c r="AC265" s="1109" t="s">
        <v>4293</v>
      </c>
      <c r="AD265" s="1109"/>
      <c r="AE265" s="1112">
        <v>0.505</v>
      </c>
      <c r="AF265" s="1113">
        <f t="shared" si="25"/>
        <v>0.505</v>
      </c>
      <c r="AG265" s="1113">
        <f t="shared" si="26"/>
        <v>0</v>
      </c>
      <c r="AH265" s="1112"/>
      <c r="AI265" s="1113"/>
      <c r="AJ265" s="1113"/>
      <c r="AK265" s="1112">
        <v>0.5</v>
      </c>
      <c r="AL265" s="1114">
        <v>0.99</v>
      </c>
      <c r="AM265" s="1114">
        <v>6.9999999999999994E-5</v>
      </c>
      <c r="AN265" s="1112">
        <v>5.0000000000000001E-3</v>
      </c>
      <c r="AO265" s="1114">
        <v>0.01</v>
      </c>
      <c r="AP265" s="1112"/>
      <c r="AQ265" s="1114"/>
      <c r="AR265" s="1112"/>
      <c r="AS265" s="1114"/>
      <c r="AT265" s="1114"/>
      <c r="AU265" s="1114"/>
      <c r="AV265" s="1114"/>
      <c r="AW265" s="1114" t="s">
        <v>500</v>
      </c>
      <c r="AX265" s="1114" t="s">
        <v>4303</v>
      </c>
      <c r="AY265" s="1114"/>
      <c r="AZ265" s="1114"/>
      <c r="BA265" s="1113"/>
      <c r="BB265" s="1114"/>
      <c r="BC265" s="1115">
        <v>2</v>
      </c>
      <c r="BD265" s="1115">
        <v>2</v>
      </c>
      <c r="BE265" s="1116">
        <v>2</v>
      </c>
      <c r="BF265" s="1115"/>
      <c r="BG265" s="1115"/>
      <c r="BH265" s="1115"/>
      <c r="BI265" s="1115"/>
      <c r="BJ265" s="1115"/>
      <c r="BK265" s="1115"/>
      <c r="BL265" s="1115"/>
      <c r="BM265" s="1115"/>
      <c r="BN265" s="1115"/>
      <c r="BO265" s="1115"/>
      <c r="BP265" s="1115">
        <v>2</v>
      </c>
      <c r="BQ265" s="1115"/>
      <c r="BR265" s="1115"/>
      <c r="BS265" s="1115"/>
      <c r="BT265" s="1115"/>
      <c r="BU265" s="1115"/>
      <c r="BV265" s="1115"/>
      <c r="BW265" s="1115"/>
      <c r="BX265" s="1115"/>
      <c r="BY265" s="1115"/>
      <c r="BZ265" s="1115"/>
      <c r="CA265" s="1117">
        <f t="shared" ref="CA265:CA274" si="33">SUM(BF265:BZ265)</f>
        <v>2</v>
      </c>
      <c r="CB265" s="1117">
        <f t="shared" si="27"/>
        <v>2</v>
      </c>
      <c r="CC265" s="1117">
        <f t="shared" si="28"/>
        <v>0</v>
      </c>
      <c r="CD265" s="1113">
        <v>0.878</v>
      </c>
      <c r="CE265" s="1109" t="s">
        <v>4304</v>
      </c>
      <c r="CF265" s="1109" t="s">
        <v>504</v>
      </c>
      <c r="CG265" s="1109">
        <v>100</v>
      </c>
      <c r="CH265" s="1113">
        <v>0.878</v>
      </c>
      <c r="CI265" s="1114" t="s">
        <v>4305</v>
      </c>
      <c r="CJ265" s="1109" t="s">
        <v>504</v>
      </c>
      <c r="CK265" s="1109"/>
      <c r="CL265" s="1109"/>
      <c r="CM265" s="1115"/>
      <c r="CN265" s="1115"/>
      <c r="CO265" s="1115">
        <v>1</v>
      </c>
      <c r="CP265" s="1109" t="s">
        <v>504</v>
      </c>
      <c r="CQ265" s="1109"/>
      <c r="CR265" s="1115"/>
      <c r="CS265" s="1109" t="s">
        <v>500</v>
      </c>
      <c r="CT265" s="1109" t="s">
        <v>4306</v>
      </c>
      <c r="CU265" s="1115">
        <v>40</v>
      </c>
      <c r="CV265" s="1115" t="s">
        <v>504</v>
      </c>
      <c r="CW265" s="1115"/>
      <c r="CX265" s="1115"/>
      <c r="CY265" s="1115" t="s">
        <v>504</v>
      </c>
      <c r="CZ265" s="1115"/>
      <c r="DA265" s="1115"/>
      <c r="DB265" s="1109" t="s">
        <v>504</v>
      </c>
      <c r="DC265" s="1109"/>
      <c r="DD265" s="1115"/>
      <c r="DE265" s="1109" t="s">
        <v>504</v>
      </c>
      <c r="DF265" s="1109"/>
      <c r="DG265" s="1115"/>
      <c r="DH265" s="1109" t="s">
        <v>504</v>
      </c>
      <c r="DI265" s="1109"/>
      <c r="DJ265" s="1115"/>
      <c r="DK265" s="1109" t="s">
        <v>504</v>
      </c>
      <c r="DL265" s="1109"/>
      <c r="DM265" s="1115"/>
      <c r="DN265" s="1109" t="s">
        <v>504</v>
      </c>
      <c r="DO265" s="1109"/>
      <c r="DP265" s="1115"/>
      <c r="DQ265" s="1109" t="s">
        <v>504</v>
      </c>
      <c r="DR265" s="1109"/>
      <c r="DS265" s="1115"/>
      <c r="DT265" s="1115" t="s">
        <v>504</v>
      </c>
      <c r="DU265" s="1115"/>
      <c r="DV265" s="1115"/>
      <c r="DW265" s="1109" t="s">
        <v>504</v>
      </c>
      <c r="DX265" s="1109"/>
      <c r="DY265" s="1115"/>
      <c r="DZ265" s="1109" t="s">
        <v>504</v>
      </c>
      <c r="EA265" s="1109"/>
      <c r="EB265" s="1115"/>
      <c r="EC265" s="1109" t="s">
        <v>500</v>
      </c>
      <c r="ED265" s="1109" t="s">
        <v>4306</v>
      </c>
      <c r="EE265" s="1115">
        <v>40</v>
      </c>
      <c r="EF265" s="1115" t="s">
        <v>504</v>
      </c>
      <c r="EG265" s="1115"/>
      <c r="EH265" s="1115"/>
      <c r="EI265" s="1109" t="s">
        <v>504</v>
      </c>
      <c r="EJ265" s="1109"/>
      <c r="EK265" s="1115"/>
      <c r="EL265" s="1115"/>
      <c r="EM265" s="1115"/>
      <c r="EN265" s="1115"/>
      <c r="EO265" s="1109" t="s">
        <v>504</v>
      </c>
      <c r="EP265" s="1109"/>
      <c r="EQ265" s="1127" t="s">
        <v>4307</v>
      </c>
      <c r="ER265" s="1127" t="s">
        <v>4308</v>
      </c>
      <c r="ES265" s="1109" t="s">
        <v>504</v>
      </c>
      <c r="ET265" s="1109"/>
      <c r="EU265" s="1109"/>
      <c r="EV265" s="1109" t="s">
        <v>504</v>
      </c>
      <c r="EW265" s="1109"/>
      <c r="EX265" s="1109"/>
    </row>
    <row r="266" spans="3:154" ht="39.950000000000003" customHeight="1" x14ac:dyDescent="0.2">
      <c r="C266" s="1156" t="s">
        <v>693</v>
      </c>
      <c r="D266" s="1156" t="s">
        <v>5278</v>
      </c>
      <c r="E266" s="1104" t="s">
        <v>365</v>
      </c>
      <c r="F266" s="1104" t="s">
        <v>450</v>
      </c>
      <c r="G266" s="1319" t="s">
        <v>4309</v>
      </c>
      <c r="H266" s="1319" t="s">
        <v>4310</v>
      </c>
      <c r="I266" s="1319" t="s">
        <v>1035</v>
      </c>
      <c r="J266" s="1320">
        <v>2018</v>
      </c>
      <c r="K266" s="1105">
        <v>43905</v>
      </c>
      <c r="L266" s="1105">
        <v>43922</v>
      </c>
      <c r="M266" s="1369">
        <f t="shared" si="29"/>
        <v>17</v>
      </c>
      <c r="N266" s="1133"/>
      <c r="O266" s="1133"/>
      <c r="P266" s="1133"/>
      <c r="Q266" s="1133"/>
      <c r="R266" s="1133"/>
      <c r="S266" s="1133"/>
      <c r="T266" s="1133"/>
      <c r="U266" s="1133"/>
      <c r="V266" s="1133"/>
      <c r="W266" s="1133"/>
      <c r="X266" s="1133"/>
      <c r="Y266" s="1319" t="s">
        <v>4311</v>
      </c>
      <c r="Z266" s="1319" t="s">
        <v>504</v>
      </c>
      <c r="AA266" s="1319" t="s">
        <v>4312</v>
      </c>
      <c r="AB266" s="1319" t="s">
        <v>4312</v>
      </c>
      <c r="AC266" s="1319" t="s">
        <v>4313</v>
      </c>
      <c r="AD266" s="1319" t="s">
        <v>4314</v>
      </c>
      <c r="AE266" s="1321">
        <f>0.6</f>
        <v>0.6</v>
      </c>
      <c r="AF266" s="1113">
        <f t="shared" si="25"/>
        <v>0.60019999999999996</v>
      </c>
      <c r="AG266" s="1113">
        <f t="shared" si="26"/>
        <v>1.9999999999997797E-4</v>
      </c>
      <c r="AH266" s="1321"/>
      <c r="AI266" s="1322"/>
      <c r="AJ266" s="1322"/>
      <c r="AK266" s="1321">
        <f>539.9/1000</f>
        <v>0.53989999999999994</v>
      </c>
      <c r="AL266" s="1323">
        <v>1</v>
      </c>
      <c r="AM266" s="1323">
        <f>AK266/216.773</f>
        <v>2.4906238323038382E-3</v>
      </c>
      <c r="AN266" s="1357">
        <v>6.0299999999999999E-2</v>
      </c>
      <c r="AO266" s="1358">
        <v>0.1116</v>
      </c>
      <c r="AP266" s="1357"/>
      <c r="AQ266" s="1358"/>
      <c r="AR266" s="1357"/>
      <c r="AS266" s="1358"/>
      <c r="AT266" s="1358"/>
      <c r="AU266" s="1358"/>
      <c r="AV266" s="1358"/>
      <c r="AW266" s="1323" t="s">
        <v>500</v>
      </c>
      <c r="AX266" s="1323" t="s">
        <v>3815</v>
      </c>
      <c r="AY266" s="1323"/>
      <c r="AZ266" s="1323"/>
      <c r="BA266" s="1322">
        <v>0.75</v>
      </c>
      <c r="BB266" s="1323">
        <f>BA266/175.731</f>
        <v>4.2678867132150845E-3</v>
      </c>
      <c r="BC266" s="1359">
        <v>6</v>
      </c>
      <c r="BD266" s="1359">
        <v>5</v>
      </c>
      <c r="BE266" s="1325">
        <v>5</v>
      </c>
      <c r="BF266" s="1324"/>
      <c r="BG266" s="1324"/>
      <c r="BH266" s="1324"/>
      <c r="BI266" s="1324"/>
      <c r="BJ266" s="1324"/>
      <c r="BK266" s="1324"/>
      <c r="BL266" s="1324"/>
      <c r="BM266" s="1324"/>
      <c r="BN266" s="1324"/>
      <c r="BO266" s="1324">
        <f>1+1+1</f>
        <v>3</v>
      </c>
      <c r="BP266" s="1324"/>
      <c r="BQ266" s="1324">
        <f>1+1</f>
        <v>2</v>
      </c>
      <c r="BR266" s="1324"/>
      <c r="BS266" s="1324"/>
      <c r="BT266" s="1324"/>
      <c r="BU266" s="1324"/>
      <c r="BV266" s="1324"/>
      <c r="BW266" s="1324"/>
      <c r="BX266" s="1324"/>
      <c r="BY266" s="1324"/>
      <c r="BZ266" s="1324"/>
      <c r="CA266" s="1326">
        <f t="shared" si="33"/>
        <v>5</v>
      </c>
      <c r="CB266" s="1117">
        <f t="shared" si="27"/>
        <v>5</v>
      </c>
      <c r="CC266" s="1117">
        <f t="shared" si="28"/>
        <v>0</v>
      </c>
      <c r="CD266" s="1322">
        <v>0.39800000000000002</v>
      </c>
      <c r="CE266" s="1319" t="s">
        <v>504</v>
      </c>
      <c r="CF266" s="1319" t="s">
        <v>504</v>
      </c>
      <c r="CG266" s="1319">
        <v>2.02</v>
      </c>
      <c r="CH266" s="1322">
        <f>19622/1000</f>
        <v>19.622</v>
      </c>
      <c r="CI266" s="1346" t="s">
        <v>3816</v>
      </c>
      <c r="CJ266" s="1319" t="s">
        <v>504</v>
      </c>
      <c r="CK266" s="1319" t="s">
        <v>504</v>
      </c>
      <c r="CL266" s="1319" t="s">
        <v>504</v>
      </c>
      <c r="CM266" s="1324" t="s">
        <v>504</v>
      </c>
      <c r="CN266" s="1324" t="s">
        <v>504</v>
      </c>
      <c r="CO266" s="1324" t="s">
        <v>4312</v>
      </c>
      <c r="CP266" s="1319" t="s">
        <v>500</v>
      </c>
      <c r="CQ266" s="1319" t="s">
        <v>2761</v>
      </c>
      <c r="CR266" s="1324">
        <v>205</v>
      </c>
      <c r="CS266" s="1319" t="s">
        <v>500</v>
      </c>
      <c r="CT266" s="1319" t="s">
        <v>2761</v>
      </c>
      <c r="CU266" s="1324">
        <v>205</v>
      </c>
      <c r="CV266" s="1324" t="s">
        <v>500</v>
      </c>
      <c r="CW266" s="1324" t="s">
        <v>2017</v>
      </c>
      <c r="CX266" s="1324">
        <v>43</v>
      </c>
      <c r="CY266" s="1324" t="s">
        <v>504</v>
      </c>
      <c r="CZ266" s="1324" t="s">
        <v>504</v>
      </c>
      <c r="DA266" s="1324"/>
      <c r="DB266" s="1319" t="s">
        <v>504</v>
      </c>
      <c r="DC266" s="1319" t="s">
        <v>504</v>
      </c>
      <c r="DD266" s="1324"/>
      <c r="DE266" s="1319" t="s">
        <v>504</v>
      </c>
      <c r="DF266" s="1319" t="s">
        <v>504</v>
      </c>
      <c r="DG266" s="1324"/>
      <c r="DH266" s="1319" t="s">
        <v>504</v>
      </c>
      <c r="DI266" s="1319" t="s">
        <v>504</v>
      </c>
      <c r="DJ266" s="1324"/>
      <c r="DK266" s="1319" t="s">
        <v>504</v>
      </c>
      <c r="DL266" s="1319" t="s">
        <v>504</v>
      </c>
      <c r="DM266" s="1324"/>
      <c r="DN266" s="1319" t="s">
        <v>504</v>
      </c>
      <c r="DO266" s="1319" t="s">
        <v>504</v>
      </c>
      <c r="DP266" s="1324"/>
      <c r="DQ266" s="1319" t="s">
        <v>504</v>
      </c>
      <c r="DR266" s="1319" t="s">
        <v>504</v>
      </c>
      <c r="DS266" s="1324"/>
      <c r="DT266" s="1319" t="s">
        <v>504</v>
      </c>
      <c r="DU266" s="1319" t="s">
        <v>504</v>
      </c>
      <c r="DV266" s="1324"/>
      <c r="DW266" s="1319" t="s">
        <v>504</v>
      </c>
      <c r="DX266" s="1319" t="s">
        <v>504</v>
      </c>
      <c r="DY266" s="1324"/>
      <c r="DZ266" s="1319" t="s">
        <v>504</v>
      </c>
      <c r="EA266" s="1319" t="s">
        <v>504</v>
      </c>
      <c r="EB266" s="1324"/>
      <c r="EC266" s="1319" t="s">
        <v>504</v>
      </c>
      <c r="ED266" s="1319" t="s">
        <v>504</v>
      </c>
      <c r="EE266" s="1324">
        <v>0</v>
      </c>
      <c r="EF266" s="1324" t="s">
        <v>500</v>
      </c>
      <c r="EG266" s="1360" t="s">
        <v>4315</v>
      </c>
      <c r="EH266" s="1324">
        <v>7</v>
      </c>
      <c r="EI266" s="1319" t="s">
        <v>504</v>
      </c>
      <c r="EJ266" s="1319" t="s">
        <v>504</v>
      </c>
      <c r="EK266" s="1324">
        <v>0</v>
      </c>
      <c r="EL266" s="1324"/>
      <c r="EM266" s="1324"/>
      <c r="EN266" s="1324"/>
      <c r="EO266" s="1319" t="s">
        <v>504</v>
      </c>
      <c r="EP266" s="1319" t="s">
        <v>504</v>
      </c>
      <c r="EQ266" s="1319">
        <v>0</v>
      </c>
      <c r="ER266" s="1319" t="s">
        <v>4316</v>
      </c>
      <c r="ES266" s="1319" t="s">
        <v>504</v>
      </c>
      <c r="ET266" s="1319" t="s">
        <v>4317</v>
      </c>
      <c r="EU266" s="1319" t="s">
        <v>504</v>
      </c>
      <c r="EV266" s="1319" t="s">
        <v>3822</v>
      </c>
      <c r="EW266" s="1319">
        <v>1</v>
      </c>
      <c r="EX266" s="1319">
        <v>31</v>
      </c>
    </row>
    <row r="267" spans="3:154" ht="39.950000000000003" customHeight="1" x14ac:dyDescent="0.2">
      <c r="C267" s="1156" t="s">
        <v>693</v>
      </c>
      <c r="D267" s="1156" t="s">
        <v>5278</v>
      </c>
      <c r="E267" s="1104" t="s">
        <v>365</v>
      </c>
      <c r="F267" s="1104" t="s">
        <v>450</v>
      </c>
      <c r="G267" s="1319" t="s">
        <v>4318</v>
      </c>
      <c r="H267" s="1319" t="s">
        <v>4310</v>
      </c>
      <c r="I267" s="1319" t="s">
        <v>1035</v>
      </c>
      <c r="J267" s="1320">
        <v>2018</v>
      </c>
      <c r="K267" s="1105">
        <v>43829</v>
      </c>
      <c r="L267" s="1105">
        <v>44104</v>
      </c>
      <c r="M267" s="1369">
        <f t="shared" si="29"/>
        <v>275</v>
      </c>
      <c r="N267" s="1133"/>
      <c r="O267" s="1133"/>
      <c r="P267" s="1133"/>
      <c r="Q267" s="1133"/>
      <c r="R267" s="1133"/>
      <c r="S267" s="1133"/>
      <c r="T267" s="1133"/>
      <c r="U267" s="1133"/>
      <c r="V267" s="1133"/>
      <c r="W267" s="1133"/>
      <c r="X267" s="1133"/>
      <c r="Y267" s="1319" t="s">
        <v>4319</v>
      </c>
      <c r="Z267" s="1344" t="s">
        <v>4320</v>
      </c>
      <c r="AA267" s="1319" t="s">
        <v>4321</v>
      </c>
      <c r="AB267" s="1319" t="s">
        <v>4321</v>
      </c>
      <c r="AC267" s="1319"/>
      <c r="AD267" s="1319" t="s">
        <v>4321</v>
      </c>
      <c r="AE267" s="1321">
        <v>1.4985599999999999</v>
      </c>
      <c r="AF267" s="1113">
        <f t="shared" ref="AF267:AF311" si="34">AH267+AK267+AN267+AP267+AR267</f>
        <v>1.4985599999999999</v>
      </c>
      <c r="AG267" s="1113">
        <f t="shared" ref="AG267:AG311" si="35">AF267-AE267</f>
        <v>0</v>
      </c>
      <c r="AH267" s="1321"/>
      <c r="AI267" s="1322"/>
      <c r="AJ267" s="1322"/>
      <c r="AK267" s="1321">
        <f>1.42363</f>
        <v>1.42363</v>
      </c>
      <c r="AL267" s="1323">
        <f t="shared" ref="AL267:AL272" si="36">AK267/AE267</f>
        <v>0.94999866538543676</v>
      </c>
      <c r="AM267" s="1323">
        <f>AK267/29.847</f>
        <v>4.7697591047676478E-2</v>
      </c>
      <c r="AN267" s="1321">
        <f>74.93/1000</f>
        <v>7.493000000000001E-2</v>
      </c>
      <c r="AO267" s="1323">
        <f>AN267/AE267</f>
        <v>5.0001334614563325E-2</v>
      </c>
      <c r="AP267" s="1321"/>
      <c r="AQ267" s="1323"/>
      <c r="AR267" s="1321"/>
      <c r="AS267" s="1323"/>
      <c r="AT267" s="1323"/>
      <c r="AU267" s="1323"/>
      <c r="AV267" s="1323"/>
      <c r="AW267" s="1323" t="s">
        <v>500</v>
      </c>
      <c r="AX267" s="1323" t="s">
        <v>4322</v>
      </c>
      <c r="AY267" s="1323" t="s">
        <v>504</v>
      </c>
      <c r="AZ267" s="1323"/>
      <c r="BA267" s="1322">
        <f>157.3/1000</f>
        <v>0.15730000000000002</v>
      </c>
      <c r="BB267" s="1323">
        <f>BA267/31.11956</f>
        <v>5.0546987168199045E-3</v>
      </c>
      <c r="BC267" s="1324">
        <v>1</v>
      </c>
      <c r="BD267" s="1324">
        <v>1</v>
      </c>
      <c r="BE267" s="1325">
        <v>1</v>
      </c>
      <c r="BF267" s="1324"/>
      <c r="BG267" s="1324">
        <v>1</v>
      </c>
      <c r="BH267" s="1324"/>
      <c r="BI267" s="1324"/>
      <c r="BJ267" s="1324"/>
      <c r="BK267" s="1324"/>
      <c r="BL267" s="1324"/>
      <c r="BM267" s="1324"/>
      <c r="BN267" s="1324"/>
      <c r="BO267" s="1324"/>
      <c r="BP267" s="1324"/>
      <c r="BQ267" s="1324"/>
      <c r="BR267" s="1324"/>
      <c r="BS267" s="1324"/>
      <c r="BT267" s="1324"/>
      <c r="BU267" s="1324"/>
      <c r="BV267" s="1324"/>
      <c r="BW267" s="1324"/>
      <c r="BX267" s="1324"/>
      <c r="BY267" s="1324"/>
      <c r="BZ267" s="1324"/>
      <c r="CA267" s="1326">
        <f t="shared" si="33"/>
        <v>1</v>
      </c>
      <c r="CB267" s="1117">
        <f t="shared" ref="CB267:CB311" si="37">SUM(BF267:BZ267)</f>
        <v>1</v>
      </c>
      <c r="CC267" s="1117">
        <f t="shared" ref="CC267:CC311" si="38">CB267-CA267</f>
        <v>0</v>
      </c>
      <c r="CD267" s="1322">
        <v>1.742</v>
      </c>
      <c r="CE267" s="1319" t="s">
        <v>504</v>
      </c>
      <c r="CF267" s="1319" t="s">
        <v>504</v>
      </c>
      <c r="CG267" s="1319">
        <v>100</v>
      </c>
      <c r="CH267" s="1322">
        <f>1742/1000</f>
        <v>1.742</v>
      </c>
      <c r="CI267" s="1346" t="s">
        <v>4323</v>
      </c>
      <c r="CJ267" s="1319" t="s">
        <v>504</v>
      </c>
      <c r="CK267" s="1319" t="s">
        <v>504</v>
      </c>
      <c r="CL267" s="1319" t="s">
        <v>504</v>
      </c>
      <c r="CM267" s="1324" t="s">
        <v>504</v>
      </c>
      <c r="CN267" s="1324" t="s">
        <v>504</v>
      </c>
      <c r="CO267" s="1324" t="s">
        <v>4321</v>
      </c>
      <c r="CP267" s="1319" t="s">
        <v>500</v>
      </c>
      <c r="CQ267" s="1344" t="s">
        <v>4324</v>
      </c>
      <c r="CR267" s="1324">
        <v>48</v>
      </c>
      <c r="CS267" s="1319" t="s">
        <v>504</v>
      </c>
      <c r="CT267" s="1319" t="s">
        <v>504</v>
      </c>
      <c r="CU267" s="1324">
        <v>0</v>
      </c>
      <c r="CV267" s="1319" t="s">
        <v>504</v>
      </c>
      <c r="CW267" s="1319" t="s">
        <v>504</v>
      </c>
      <c r="CX267" s="1324">
        <v>0</v>
      </c>
      <c r="CY267" s="1319" t="s">
        <v>504</v>
      </c>
      <c r="CZ267" s="1319" t="s">
        <v>504</v>
      </c>
      <c r="DA267" s="1324">
        <v>0</v>
      </c>
      <c r="DB267" s="1319" t="s">
        <v>504</v>
      </c>
      <c r="DC267" s="1319" t="s">
        <v>504</v>
      </c>
      <c r="DD267" s="1324">
        <v>0</v>
      </c>
      <c r="DE267" s="1319" t="s">
        <v>504</v>
      </c>
      <c r="DF267" s="1319" t="s">
        <v>504</v>
      </c>
      <c r="DG267" s="1324"/>
      <c r="DH267" s="1319" t="s">
        <v>504</v>
      </c>
      <c r="DI267" s="1319" t="s">
        <v>504</v>
      </c>
      <c r="DJ267" s="1324"/>
      <c r="DK267" s="1319" t="s">
        <v>504</v>
      </c>
      <c r="DL267" s="1319" t="s">
        <v>504</v>
      </c>
      <c r="DM267" s="1324"/>
      <c r="DN267" s="1319" t="s">
        <v>504</v>
      </c>
      <c r="DO267" s="1319" t="s">
        <v>504</v>
      </c>
      <c r="DP267" s="1324">
        <v>0</v>
      </c>
      <c r="DQ267" s="1319" t="s">
        <v>504</v>
      </c>
      <c r="DR267" s="1319" t="s">
        <v>504</v>
      </c>
      <c r="DS267" s="1324">
        <v>0</v>
      </c>
      <c r="DT267" s="1319" t="s">
        <v>504</v>
      </c>
      <c r="DU267" s="1319" t="s">
        <v>504</v>
      </c>
      <c r="DV267" s="1324"/>
      <c r="DW267" s="1319" t="s">
        <v>504</v>
      </c>
      <c r="DX267" s="1319" t="s">
        <v>504</v>
      </c>
      <c r="DY267" s="1324"/>
      <c r="DZ267" s="1319" t="s">
        <v>504</v>
      </c>
      <c r="EA267" s="1319" t="s">
        <v>504</v>
      </c>
      <c r="EB267" s="1324"/>
      <c r="EC267" s="1319" t="s">
        <v>504</v>
      </c>
      <c r="ED267" s="1319" t="s">
        <v>504</v>
      </c>
      <c r="EE267" s="1324"/>
      <c r="EF267" s="1324" t="s">
        <v>500</v>
      </c>
      <c r="EG267" s="1360" t="s">
        <v>4325</v>
      </c>
      <c r="EH267" s="1324">
        <v>6</v>
      </c>
      <c r="EI267" s="1319" t="s">
        <v>504</v>
      </c>
      <c r="EJ267" s="1319" t="s">
        <v>504</v>
      </c>
      <c r="EK267" s="1324">
        <v>0</v>
      </c>
      <c r="EL267" s="1324"/>
      <c r="EM267" s="1324"/>
      <c r="EN267" s="1324"/>
      <c r="EO267" s="1319" t="s">
        <v>504</v>
      </c>
      <c r="EP267" s="1319" t="s">
        <v>504</v>
      </c>
      <c r="EQ267" s="1319" t="s">
        <v>504</v>
      </c>
      <c r="ER267" s="1319" t="s">
        <v>504</v>
      </c>
      <c r="ES267" s="1319" t="s">
        <v>504</v>
      </c>
      <c r="ET267" s="1319" t="s">
        <v>4326</v>
      </c>
      <c r="EU267" s="1319" t="s">
        <v>504</v>
      </c>
      <c r="EV267" s="1319" t="s">
        <v>3822</v>
      </c>
      <c r="EW267" s="1319">
        <v>1</v>
      </c>
      <c r="EX267" s="1319">
        <v>3</v>
      </c>
    </row>
    <row r="268" spans="3:154" customFormat="1" ht="39.950000000000003" customHeight="1" x14ac:dyDescent="0.25">
      <c r="C268" s="1156" t="s">
        <v>693</v>
      </c>
      <c r="D268" s="1156" t="s">
        <v>5278</v>
      </c>
      <c r="E268" s="1104" t="s">
        <v>365</v>
      </c>
      <c r="F268" s="1104" t="s">
        <v>450</v>
      </c>
      <c r="G268" s="1319" t="s">
        <v>4327</v>
      </c>
      <c r="H268" s="1319" t="s">
        <v>4310</v>
      </c>
      <c r="I268" s="1319" t="s">
        <v>1035</v>
      </c>
      <c r="J268" s="1320">
        <v>2018</v>
      </c>
      <c r="K268" s="1105">
        <v>43868</v>
      </c>
      <c r="L268" s="1105">
        <v>44104</v>
      </c>
      <c r="M268" s="1369">
        <f t="shared" ref="M268:M311" si="39">L268-K268</f>
        <v>236</v>
      </c>
      <c r="N268" s="1133"/>
      <c r="O268" s="1133"/>
      <c r="P268" s="1133"/>
      <c r="Q268" s="1133"/>
      <c r="R268" s="1133"/>
      <c r="S268" s="1133"/>
      <c r="T268" s="1133"/>
      <c r="U268" s="1133"/>
      <c r="V268" s="1133"/>
      <c r="W268" s="1133"/>
      <c r="X268" s="1133"/>
      <c r="Y268" s="1319" t="s">
        <v>4328</v>
      </c>
      <c r="Z268" s="1344" t="s">
        <v>4329</v>
      </c>
      <c r="AA268" s="1319" t="s">
        <v>4330</v>
      </c>
      <c r="AB268" s="1319" t="s">
        <v>4330</v>
      </c>
      <c r="AC268" s="1319"/>
      <c r="AD268" s="1319" t="s">
        <v>4330</v>
      </c>
      <c r="AE268" s="1321">
        <f>630.96/1000</f>
        <v>0.63096000000000008</v>
      </c>
      <c r="AF268" s="1113">
        <f t="shared" si="34"/>
        <v>0.63096000000000008</v>
      </c>
      <c r="AG268" s="1113">
        <f t="shared" si="35"/>
        <v>0</v>
      </c>
      <c r="AH268" s="1321"/>
      <c r="AI268" s="1322"/>
      <c r="AJ268" s="1322"/>
      <c r="AK268" s="1321">
        <f>567.76/1000</f>
        <v>0.56776000000000004</v>
      </c>
      <c r="AL268" s="1335">
        <f t="shared" si="36"/>
        <v>0.89983517180169892</v>
      </c>
      <c r="AM268" s="1323">
        <f>AK268/59.778612</f>
        <v>9.4977113219022226E-3</v>
      </c>
      <c r="AN268" s="1321">
        <f>(29.74+33.46)/1000</f>
        <v>6.3200000000000006E-2</v>
      </c>
      <c r="AO268" s="1335">
        <f>AN268/AE268</f>
        <v>0.100164828198301</v>
      </c>
      <c r="AP268" s="1321"/>
      <c r="AQ268" s="1323"/>
      <c r="AR268" s="1321"/>
      <c r="AS268" s="1323"/>
      <c r="AT268" s="1323"/>
      <c r="AU268" s="1323"/>
      <c r="AV268" s="1323"/>
      <c r="AW268" s="1323" t="s">
        <v>500</v>
      </c>
      <c r="AX268" s="1323" t="s">
        <v>4322</v>
      </c>
      <c r="AY268" s="1323" t="s">
        <v>504</v>
      </c>
      <c r="AZ268" s="1323"/>
      <c r="BA268" s="1322">
        <f>58.3/1000</f>
        <v>5.8299999999999998E-2</v>
      </c>
      <c r="BB268" s="1323">
        <f>BA268/51.397</f>
        <v>1.1343074498511587E-3</v>
      </c>
      <c r="BC268" s="1324">
        <v>2</v>
      </c>
      <c r="BD268" s="1324">
        <v>1</v>
      </c>
      <c r="BE268" s="1325">
        <v>1</v>
      </c>
      <c r="BF268" s="1324"/>
      <c r="BG268" s="1324"/>
      <c r="BH268" s="1324"/>
      <c r="BI268" s="1324"/>
      <c r="BJ268" s="1324"/>
      <c r="BK268" s="1324">
        <v>1</v>
      </c>
      <c r="BL268" s="1324"/>
      <c r="BM268" s="1324"/>
      <c r="BN268" s="1324"/>
      <c r="BO268" s="1324"/>
      <c r="BP268" s="1324">
        <v>1</v>
      </c>
      <c r="BQ268" s="1324"/>
      <c r="BR268" s="1324"/>
      <c r="BS268" s="1324"/>
      <c r="BT268" s="1324"/>
      <c r="BU268" s="1324"/>
      <c r="BV268" s="1324"/>
      <c r="BW268" s="1324"/>
      <c r="BX268" s="1324"/>
      <c r="BY268" s="1324"/>
      <c r="BZ268" s="1324"/>
      <c r="CA268" s="1326">
        <f t="shared" si="33"/>
        <v>2</v>
      </c>
      <c r="CB268" s="1117">
        <f t="shared" si="37"/>
        <v>2</v>
      </c>
      <c r="CC268" s="1117">
        <f t="shared" si="38"/>
        <v>0</v>
      </c>
      <c r="CD268" s="1322">
        <v>1.5269999999999999</v>
      </c>
      <c r="CE268" s="1319" t="s">
        <v>504</v>
      </c>
      <c r="CF268" s="1319" t="s">
        <v>504</v>
      </c>
      <c r="CG268" s="1327">
        <v>1</v>
      </c>
      <c r="CH268" s="1322">
        <f>1527/1000</f>
        <v>1.5269999999999999</v>
      </c>
      <c r="CI268" s="1346" t="s">
        <v>4331</v>
      </c>
      <c r="CJ268" s="1319" t="s">
        <v>504</v>
      </c>
      <c r="CK268" s="1319" t="s">
        <v>504</v>
      </c>
      <c r="CL268" s="1319" t="s">
        <v>504</v>
      </c>
      <c r="CM268" s="1324" t="s">
        <v>504</v>
      </c>
      <c r="CN268" s="1324" t="s">
        <v>504</v>
      </c>
      <c r="CO268" s="1324" t="s">
        <v>4330</v>
      </c>
      <c r="CP268" s="1319" t="s">
        <v>500</v>
      </c>
      <c r="CQ268" s="1347" t="s">
        <v>4332</v>
      </c>
      <c r="CR268" s="1324">
        <v>122</v>
      </c>
      <c r="CS268" s="1319" t="s">
        <v>504</v>
      </c>
      <c r="CT268" s="1319" t="s">
        <v>504</v>
      </c>
      <c r="CU268" s="1324">
        <v>0</v>
      </c>
      <c r="CV268" s="1319" t="s">
        <v>504</v>
      </c>
      <c r="CW268" s="1319" t="s">
        <v>504</v>
      </c>
      <c r="CX268" s="1324"/>
      <c r="CY268" s="1319" t="s">
        <v>504</v>
      </c>
      <c r="CZ268" s="1319" t="s">
        <v>504</v>
      </c>
      <c r="DA268" s="1324"/>
      <c r="DB268" s="1319" t="s">
        <v>504</v>
      </c>
      <c r="DC268" s="1319" t="s">
        <v>504</v>
      </c>
      <c r="DD268" s="1324"/>
      <c r="DE268" s="1319" t="s">
        <v>504</v>
      </c>
      <c r="DF268" s="1319" t="s">
        <v>504</v>
      </c>
      <c r="DG268" s="1324"/>
      <c r="DH268" s="1319" t="s">
        <v>504</v>
      </c>
      <c r="DI268" s="1319" t="s">
        <v>504</v>
      </c>
      <c r="DJ268" s="1324"/>
      <c r="DK268" s="1319" t="s">
        <v>504</v>
      </c>
      <c r="DL268" s="1319" t="s">
        <v>504</v>
      </c>
      <c r="DM268" s="1324"/>
      <c r="DN268" s="1319" t="s">
        <v>504</v>
      </c>
      <c r="DO268" s="1319" t="s">
        <v>504</v>
      </c>
      <c r="DP268" s="1324"/>
      <c r="DQ268" s="1319" t="s">
        <v>504</v>
      </c>
      <c r="DR268" s="1319" t="s">
        <v>504</v>
      </c>
      <c r="DS268" s="1324"/>
      <c r="DT268" s="1319" t="s">
        <v>504</v>
      </c>
      <c r="DU268" s="1319" t="s">
        <v>504</v>
      </c>
      <c r="DV268" s="1324"/>
      <c r="DW268" s="1319" t="s">
        <v>504</v>
      </c>
      <c r="DX268" s="1319" t="s">
        <v>504</v>
      </c>
      <c r="DY268" s="1324"/>
      <c r="DZ268" s="1319" t="s">
        <v>504</v>
      </c>
      <c r="EA268" s="1319" t="s">
        <v>504</v>
      </c>
      <c r="EB268" s="1324"/>
      <c r="EC268" s="1319" t="s">
        <v>504</v>
      </c>
      <c r="ED268" s="1319" t="s">
        <v>504</v>
      </c>
      <c r="EE268" s="1324"/>
      <c r="EF268" s="1324" t="s">
        <v>500</v>
      </c>
      <c r="EG268" s="1360" t="s">
        <v>4333</v>
      </c>
      <c r="EH268" s="1324">
        <v>6</v>
      </c>
      <c r="EI268" s="1319" t="s">
        <v>504</v>
      </c>
      <c r="EJ268" s="1319" t="s">
        <v>504</v>
      </c>
      <c r="EK268" s="1324"/>
      <c r="EL268" s="1324"/>
      <c r="EM268" s="1324"/>
      <c r="EN268" s="1324"/>
      <c r="EO268" s="1319" t="s">
        <v>504</v>
      </c>
      <c r="EP268" s="1319" t="s">
        <v>504</v>
      </c>
      <c r="EQ268" s="1319" t="s">
        <v>504</v>
      </c>
      <c r="ER268" s="1319" t="s">
        <v>504</v>
      </c>
      <c r="ES268" s="1319" t="s">
        <v>504</v>
      </c>
      <c r="ET268" s="1319" t="s">
        <v>4326</v>
      </c>
      <c r="EU268" s="1319" t="s">
        <v>504</v>
      </c>
      <c r="EV268" s="1319" t="s">
        <v>3822</v>
      </c>
      <c r="EW268" s="1319">
        <v>1</v>
      </c>
      <c r="EX268" s="1319">
        <v>3</v>
      </c>
    </row>
    <row r="269" spans="3:154" customFormat="1" ht="39.950000000000003" customHeight="1" x14ac:dyDescent="0.25">
      <c r="C269" s="1156" t="s">
        <v>693</v>
      </c>
      <c r="D269" s="1156" t="s">
        <v>5278</v>
      </c>
      <c r="E269" s="1104" t="s">
        <v>365</v>
      </c>
      <c r="F269" s="1104" t="s">
        <v>450</v>
      </c>
      <c r="G269" s="1319" t="s">
        <v>4334</v>
      </c>
      <c r="H269" s="1319" t="s">
        <v>4310</v>
      </c>
      <c r="I269" s="1319" t="s">
        <v>1035</v>
      </c>
      <c r="J269" s="1320">
        <v>2018</v>
      </c>
      <c r="K269" s="1105">
        <v>43871</v>
      </c>
      <c r="L269" s="1105">
        <v>44075</v>
      </c>
      <c r="M269" s="1369">
        <f t="shared" si="39"/>
        <v>204</v>
      </c>
      <c r="N269" s="1133"/>
      <c r="O269" s="1133"/>
      <c r="P269" s="1133"/>
      <c r="Q269" s="1133"/>
      <c r="R269" s="1133"/>
      <c r="S269" s="1133"/>
      <c r="T269" s="1133"/>
      <c r="U269" s="1133"/>
      <c r="V269" s="1133"/>
      <c r="W269" s="1133"/>
      <c r="X269" s="1133"/>
      <c r="Y269" s="1319" t="s">
        <v>4335</v>
      </c>
      <c r="Z269" s="1344" t="s">
        <v>4336</v>
      </c>
      <c r="AA269" s="1319" t="s">
        <v>4337</v>
      </c>
      <c r="AB269" s="1319" t="s">
        <v>4337</v>
      </c>
      <c r="AC269" s="1319"/>
      <c r="AD269" s="1319" t="s">
        <v>4337</v>
      </c>
      <c r="AE269" s="1321">
        <f>0.31</f>
        <v>0.31</v>
      </c>
      <c r="AF269" s="1113">
        <f t="shared" si="34"/>
        <v>0.31000000000000005</v>
      </c>
      <c r="AG269" s="1113">
        <f t="shared" si="35"/>
        <v>0</v>
      </c>
      <c r="AH269" s="1321"/>
      <c r="AI269" s="1322"/>
      <c r="AJ269" s="1322"/>
      <c r="AK269" s="1321">
        <f>(123.1+156.9)/1000</f>
        <v>0.28000000000000003</v>
      </c>
      <c r="AL269" s="1323">
        <f t="shared" si="36"/>
        <v>0.90322580645161299</v>
      </c>
      <c r="AM269" s="1323">
        <f>AK269/27.391</f>
        <v>1.0222335803731154E-2</v>
      </c>
      <c r="AN269" s="1321">
        <f>30/1000</f>
        <v>0.03</v>
      </c>
      <c r="AO269" s="1323">
        <f>AN269/AE269</f>
        <v>9.6774193548387094E-2</v>
      </c>
      <c r="AP269" s="1321"/>
      <c r="AQ269" s="1323"/>
      <c r="AR269" s="1321"/>
      <c r="AS269" s="1323"/>
      <c r="AT269" s="1323"/>
      <c r="AU269" s="1323"/>
      <c r="AV269" s="1323"/>
      <c r="AW269" s="1323" t="s">
        <v>500</v>
      </c>
      <c r="AX269" s="1323" t="s">
        <v>4322</v>
      </c>
      <c r="AY269" s="1323" t="s">
        <v>504</v>
      </c>
      <c r="AZ269" s="1323"/>
      <c r="BA269" s="1322">
        <f>148.2/1000</f>
        <v>0.1482</v>
      </c>
      <c r="BB269" s="1323">
        <f>BA269/29.9518</f>
        <v>4.9479497058607502E-3</v>
      </c>
      <c r="BC269" s="1324">
        <v>2</v>
      </c>
      <c r="BD269" s="1324">
        <v>1</v>
      </c>
      <c r="BE269" s="1325">
        <v>1</v>
      </c>
      <c r="BF269" s="1324"/>
      <c r="BG269" s="1324"/>
      <c r="BH269" s="1324"/>
      <c r="BI269" s="1324"/>
      <c r="BJ269" s="1324"/>
      <c r="BK269" s="1324"/>
      <c r="BL269" s="1324"/>
      <c r="BM269" s="1324"/>
      <c r="BN269" s="1324"/>
      <c r="BO269" s="1324"/>
      <c r="BP269" s="1324">
        <v>1</v>
      </c>
      <c r="BQ269" s="1324"/>
      <c r="BR269" s="1324"/>
      <c r="BS269" s="1324"/>
      <c r="BT269" s="1324"/>
      <c r="BU269" s="1324"/>
      <c r="BV269" s="1324"/>
      <c r="BW269" s="1324"/>
      <c r="BX269" s="1324"/>
      <c r="BY269" s="1324"/>
      <c r="BZ269" s="1324"/>
      <c r="CA269" s="1326">
        <f t="shared" si="33"/>
        <v>1</v>
      </c>
      <c r="CB269" s="1117">
        <f t="shared" si="37"/>
        <v>1</v>
      </c>
      <c r="CC269" s="1117">
        <f t="shared" si="38"/>
        <v>0</v>
      </c>
      <c r="CD269" s="1322">
        <v>1.2929999999999999</v>
      </c>
      <c r="CE269" s="1319" t="s">
        <v>504</v>
      </c>
      <c r="CF269" s="1319" t="s">
        <v>504</v>
      </c>
      <c r="CG269" s="1319">
        <v>100</v>
      </c>
      <c r="CH269" s="1322">
        <f>1293/1000</f>
        <v>1.2929999999999999</v>
      </c>
      <c r="CI269" s="1346" t="s">
        <v>4338</v>
      </c>
      <c r="CJ269" s="1319" t="s">
        <v>504</v>
      </c>
      <c r="CK269" s="1319" t="s">
        <v>504</v>
      </c>
      <c r="CL269" s="1319" t="s">
        <v>504</v>
      </c>
      <c r="CM269" s="1324" t="s">
        <v>504</v>
      </c>
      <c r="CN269" s="1324" t="s">
        <v>504</v>
      </c>
      <c r="CO269" s="1324" t="s">
        <v>4337</v>
      </c>
      <c r="CP269" s="1319" t="s">
        <v>504</v>
      </c>
      <c r="CQ269" s="1319" t="s">
        <v>504</v>
      </c>
      <c r="CR269" s="1324"/>
      <c r="CS269" s="1319" t="s">
        <v>500</v>
      </c>
      <c r="CT269" s="1344" t="s">
        <v>4339</v>
      </c>
      <c r="CU269" s="1324">
        <v>75</v>
      </c>
      <c r="CV269" s="1324" t="s">
        <v>504</v>
      </c>
      <c r="CW269" s="1324" t="s">
        <v>504</v>
      </c>
      <c r="CX269" s="1324"/>
      <c r="CY269" s="1319" t="s">
        <v>504</v>
      </c>
      <c r="CZ269" s="1319" t="s">
        <v>504</v>
      </c>
      <c r="DA269" s="1324"/>
      <c r="DB269" s="1319" t="s">
        <v>504</v>
      </c>
      <c r="DC269" s="1319" t="s">
        <v>504</v>
      </c>
      <c r="DD269" s="1324"/>
      <c r="DE269" s="1319" t="s">
        <v>504</v>
      </c>
      <c r="DF269" s="1319" t="s">
        <v>504</v>
      </c>
      <c r="DG269" s="1324"/>
      <c r="DH269" s="1319" t="s">
        <v>504</v>
      </c>
      <c r="DI269" s="1319" t="s">
        <v>504</v>
      </c>
      <c r="DJ269" s="1324"/>
      <c r="DK269" s="1319" t="s">
        <v>504</v>
      </c>
      <c r="DL269" s="1319" t="s">
        <v>504</v>
      </c>
      <c r="DM269" s="1324"/>
      <c r="DN269" s="1319" t="s">
        <v>504</v>
      </c>
      <c r="DO269" s="1319" t="s">
        <v>504</v>
      </c>
      <c r="DP269" s="1324"/>
      <c r="DQ269" s="1319" t="s">
        <v>504</v>
      </c>
      <c r="DR269" s="1319" t="s">
        <v>504</v>
      </c>
      <c r="DS269" s="1324"/>
      <c r="DT269" s="1319" t="s">
        <v>504</v>
      </c>
      <c r="DU269" s="1319" t="s">
        <v>504</v>
      </c>
      <c r="DV269" s="1324"/>
      <c r="DW269" s="1319" t="s">
        <v>504</v>
      </c>
      <c r="DX269" s="1319" t="s">
        <v>504</v>
      </c>
      <c r="DY269" s="1324"/>
      <c r="DZ269" s="1319" t="s">
        <v>504</v>
      </c>
      <c r="EA269" s="1319" t="s">
        <v>504</v>
      </c>
      <c r="EB269" s="1324"/>
      <c r="EC269" s="1319" t="s">
        <v>504</v>
      </c>
      <c r="ED269" s="1319" t="s">
        <v>504</v>
      </c>
      <c r="EE269" s="1324"/>
      <c r="EF269" s="1324" t="s">
        <v>500</v>
      </c>
      <c r="EG269" s="1360" t="s">
        <v>4340</v>
      </c>
      <c r="EH269" s="1324">
        <v>6</v>
      </c>
      <c r="EI269" s="1319" t="s">
        <v>504</v>
      </c>
      <c r="EJ269" s="1319" t="s">
        <v>504</v>
      </c>
      <c r="EK269" s="1324"/>
      <c r="EL269" s="1324"/>
      <c r="EM269" s="1324"/>
      <c r="EN269" s="1324"/>
      <c r="EO269" s="1319" t="s">
        <v>504</v>
      </c>
      <c r="EP269" s="1319" t="s">
        <v>504</v>
      </c>
      <c r="EQ269" s="1319" t="s">
        <v>504</v>
      </c>
      <c r="ER269" s="1319" t="s">
        <v>504</v>
      </c>
      <c r="ES269" s="1319" t="s">
        <v>504</v>
      </c>
      <c r="ET269" s="1319" t="s">
        <v>4326</v>
      </c>
      <c r="EU269" s="1319" t="s">
        <v>504</v>
      </c>
      <c r="EV269" s="1319" t="s">
        <v>3822</v>
      </c>
      <c r="EW269" s="1319">
        <v>1</v>
      </c>
      <c r="EX269" s="1319">
        <v>3</v>
      </c>
    </row>
    <row r="270" spans="3:154" ht="39.950000000000003" customHeight="1" x14ac:dyDescent="0.2">
      <c r="C270" s="1156" t="s">
        <v>693</v>
      </c>
      <c r="D270" s="1156" t="s">
        <v>5278</v>
      </c>
      <c r="E270" s="1104" t="s">
        <v>365</v>
      </c>
      <c r="F270" s="1104" t="s">
        <v>450</v>
      </c>
      <c r="G270" s="1319" t="s">
        <v>4341</v>
      </c>
      <c r="H270" s="1319" t="s">
        <v>4310</v>
      </c>
      <c r="I270" s="1319" t="s">
        <v>1035</v>
      </c>
      <c r="J270" s="1320">
        <v>2018</v>
      </c>
      <c r="K270" s="1105">
        <v>43847</v>
      </c>
      <c r="L270" s="1105">
        <v>44075</v>
      </c>
      <c r="M270" s="1369">
        <f t="shared" si="39"/>
        <v>228</v>
      </c>
      <c r="N270" s="1133"/>
      <c r="O270" s="1133"/>
      <c r="P270" s="1133"/>
      <c r="Q270" s="1133"/>
      <c r="R270" s="1133"/>
      <c r="S270" s="1133"/>
      <c r="T270" s="1133"/>
      <c r="U270" s="1133"/>
      <c r="V270" s="1133"/>
      <c r="W270" s="1133"/>
      <c r="X270" s="1133"/>
      <c r="Y270" s="1319" t="s">
        <v>4342</v>
      </c>
      <c r="Z270" s="1344" t="s">
        <v>4343</v>
      </c>
      <c r="AA270" s="1319" t="s">
        <v>4344</v>
      </c>
      <c r="AB270" s="1319" t="s">
        <v>4344</v>
      </c>
      <c r="AC270" s="1319"/>
      <c r="AD270" s="1319" t="s">
        <v>4344</v>
      </c>
      <c r="AE270" s="1321">
        <f>151.1/1000</f>
        <v>0.15109999999999998</v>
      </c>
      <c r="AF270" s="1113">
        <f t="shared" si="34"/>
        <v>0.15109999999999998</v>
      </c>
      <c r="AG270" s="1113">
        <f t="shared" si="35"/>
        <v>0</v>
      </c>
      <c r="AH270" s="1321"/>
      <c r="AI270" s="1322"/>
      <c r="AJ270" s="1322"/>
      <c r="AK270" s="1321">
        <f>151.1/1000</f>
        <v>0.15109999999999998</v>
      </c>
      <c r="AL270" s="1323">
        <f t="shared" si="36"/>
        <v>1</v>
      </c>
      <c r="AM270" s="1323">
        <f>AK270/29.416156</f>
        <v>5.1366330801346028E-3</v>
      </c>
      <c r="AN270" s="1321"/>
      <c r="AO270" s="1323"/>
      <c r="AP270" s="1321"/>
      <c r="AQ270" s="1323"/>
      <c r="AR270" s="1321"/>
      <c r="AS270" s="1323"/>
      <c r="AT270" s="1323"/>
      <c r="AU270" s="1323"/>
      <c r="AV270" s="1323"/>
      <c r="AW270" s="1323" t="s">
        <v>500</v>
      </c>
      <c r="AX270" s="1323" t="s">
        <v>4322</v>
      </c>
      <c r="AY270" s="1323" t="s">
        <v>504</v>
      </c>
      <c r="AZ270" s="1323"/>
      <c r="BA270" s="1322">
        <f>151.4/1000</f>
        <v>0.15140000000000001</v>
      </c>
      <c r="BB270" s="1323">
        <f>BA270/30.028</f>
        <v>5.041960836552551E-3</v>
      </c>
      <c r="BC270" s="1324">
        <v>1</v>
      </c>
      <c r="BD270" s="1324">
        <v>1</v>
      </c>
      <c r="BE270" s="1325">
        <v>1</v>
      </c>
      <c r="BF270" s="1324">
        <v>0</v>
      </c>
      <c r="BG270" s="1324">
        <v>0</v>
      </c>
      <c r="BH270" s="1324">
        <v>0</v>
      </c>
      <c r="BI270" s="1324">
        <v>0</v>
      </c>
      <c r="BJ270" s="1324">
        <v>0</v>
      </c>
      <c r="BK270" s="1324">
        <v>0</v>
      </c>
      <c r="BL270" s="1324">
        <v>0</v>
      </c>
      <c r="BM270" s="1324">
        <v>0</v>
      </c>
      <c r="BN270" s="1324">
        <v>0</v>
      </c>
      <c r="BO270" s="1324">
        <v>0</v>
      </c>
      <c r="BP270" s="1324">
        <v>0</v>
      </c>
      <c r="BQ270" s="1324">
        <v>1</v>
      </c>
      <c r="BR270" s="1324">
        <v>0</v>
      </c>
      <c r="BS270" s="1324">
        <v>0</v>
      </c>
      <c r="BT270" s="1324">
        <v>0</v>
      </c>
      <c r="BU270" s="1324">
        <v>0</v>
      </c>
      <c r="BV270" s="1324">
        <v>0</v>
      </c>
      <c r="BW270" s="1324">
        <v>0</v>
      </c>
      <c r="BX270" s="1324">
        <v>0</v>
      </c>
      <c r="BY270" s="1324">
        <v>0</v>
      </c>
      <c r="BZ270" s="1324">
        <v>0</v>
      </c>
      <c r="CA270" s="1326">
        <f t="shared" si="33"/>
        <v>1</v>
      </c>
      <c r="CB270" s="1117">
        <f t="shared" si="37"/>
        <v>1</v>
      </c>
      <c r="CC270" s="1117">
        <f t="shared" si="38"/>
        <v>0</v>
      </c>
      <c r="CD270" s="1322">
        <v>1.502</v>
      </c>
      <c r="CE270" s="1319" t="s">
        <v>504</v>
      </c>
      <c r="CF270" s="1319" t="s">
        <v>504</v>
      </c>
      <c r="CG270" s="1327">
        <v>1</v>
      </c>
      <c r="CH270" s="1322">
        <f>1502/1000</f>
        <v>1.502</v>
      </c>
      <c r="CI270" s="1346" t="s">
        <v>4345</v>
      </c>
      <c r="CJ270" s="1319" t="s">
        <v>504</v>
      </c>
      <c r="CK270" s="1319" t="s">
        <v>504</v>
      </c>
      <c r="CL270" s="1319" t="s">
        <v>504</v>
      </c>
      <c r="CM270" s="1324" t="s">
        <v>504</v>
      </c>
      <c r="CN270" s="1324" t="s">
        <v>504</v>
      </c>
      <c r="CO270" s="1324" t="s">
        <v>4344</v>
      </c>
      <c r="CP270" s="1319" t="s">
        <v>500</v>
      </c>
      <c r="CQ270" s="1319" t="s">
        <v>2761</v>
      </c>
      <c r="CR270" s="1324">
        <v>112</v>
      </c>
      <c r="CS270" s="1319" t="s">
        <v>504</v>
      </c>
      <c r="CT270" s="1319" t="s">
        <v>504</v>
      </c>
      <c r="CU270" s="1324">
        <v>0</v>
      </c>
      <c r="CV270" s="1324" t="s">
        <v>504</v>
      </c>
      <c r="CW270" s="1324" t="s">
        <v>504</v>
      </c>
      <c r="CX270" s="1324"/>
      <c r="CY270" s="1319" t="s">
        <v>504</v>
      </c>
      <c r="CZ270" s="1319" t="s">
        <v>504</v>
      </c>
      <c r="DA270" s="1324"/>
      <c r="DB270" s="1319" t="s">
        <v>504</v>
      </c>
      <c r="DC270" s="1319" t="s">
        <v>504</v>
      </c>
      <c r="DD270" s="1324"/>
      <c r="DE270" s="1319" t="s">
        <v>504</v>
      </c>
      <c r="DF270" s="1319" t="s">
        <v>504</v>
      </c>
      <c r="DG270" s="1324"/>
      <c r="DH270" s="1319" t="s">
        <v>504</v>
      </c>
      <c r="DI270" s="1319" t="s">
        <v>504</v>
      </c>
      <c r="DJ270" s="1324"/>
      <c r="DK270" s="1319" t="s">
        <v>504</v>
      </c>
      <c r="DL270" s="1319" t="s">
        <v>504</v>
      </c>
      <c r="DM270" s="1324"/>
      <c r="DN270" s="1319" t="s">
        <v>504</v>
      </c>
      <c r="DO270" s="1319" t="s">
        <v>504</v>
      </c>
      <c r="DP270" s="1324"/>
      <c r="DQ270" s="1319" t="s">
        <v>504</v>
      </c>
      <c r="DR270" s="1319" t="s">
        <v>504</v>
      </c>
      <c r="DS270" s="1324"/>
      <c r="DT270" s="1319" t="s">
        <v>504</v>
      </c>
      <c r="DU270" s="1319" t="s">
        <v>504</v>
      </c>
      <c r="DV270" s="1324"/>
      <c r="DW270" s="1319" t="s">
        <v>504</v>
      </c>
      <c r="DX270" s="1319" t="s">
        <v>504</v>
      </c>
      <c r="DY270" s="1324"/>
      <c r="DZ270" s="1319" t="s">
        <v>504</v>
      </c>
      <c r="EA270" s="1319" t="s">
        <v>504</v>
      </c>
      <c r="EB270" s="1324"/>
      <c r="EC270" s="1319" t="s">
        <v>504</v>
      </c>
      <c r="ED270" s="1319" t="s">
        <v>504</v>
      </c>
      <c r="EE270" s="1324">
        <v>0</v>
      </c>
      <c r="EF270" s="1324" t="s">
        <v>500</v>
      </c>
      <c r="EG270" s="1360" t="s">
        <v>4346</v>
      </c>
      <c r="EH270" s="1324">
        <v>6</v>
      </c>
      <c r="EI270" s="1319" t="s">
        <v>504</v>
      </c>
      <c r="EJ270" s="1319" t="s">
        <v>504</v>
      </c>
      <c r="EK270" s="1324">
        <v>0</v>
      </c>
      <c r="EL270" s="1324"/>
      <c r="EM270" s="1324"/>
      <c r="EN270" s="1324"/>
      <c r="EO270" s="1319" t="s">
        <v>504</v>
      </c>
      <c r="EP270" s="1319" t="s">
        <v>504</v>
      </c>
      <c r="EQ270" s="1319" t="s">
        <v>504</v>
      </c>
      <c r="ER270" s="1319" t="s">
        <v>504</v>
      </c>
      <c r="ES270" s="1319" t="s">
        <v>504</v>
      </c>
      <c r="ET270" s="1319" t="s">
        <v>4326</v>
      </c>
      <c r="EU270" s="1319" t="s">
        <v>504</v>
      </c>
      <c r="EV270" s="1319" t="s">
        <v>3822</v>
      </c>
      <c r="EW270" s="1319">
        <v>1</v>
      </c>
      <c r="EX270" s="1319">
        <v>3</v>
      </c>
    </row>
    <row r="271" spans="3:154" ht="39.950000000000003" customHeight="1" x14ac:dyDescent="0.2">
      <c r="C271" s="1156" t="s">
        <v>693</v>
      </c>
      <c r="D271" s="1156" t="s">
        <v>5278</v>
      </c>
      <c r="E271" s="1104" t="s">
        <v>365</v>
      </c>
      <c r="F271" s="1104" t="s">
        <v>450</v>
      </c>
      <c r="G271" s="1319" t="s">
        <v>4347</v>
      </c>
      <c r="H271" s="1319" t="s">
        <v>4310</v>
      </c>
      <c r="I271" s="1319" t="s">
        <v>1035</v>
      </c>
      <c r="J271" s="1320">
        <v>2018</v>
      </c>
      <c r="K271" s="1105">
        <v>43822</v>
      </c>
      <c r="L271" s="1105">
        <v>44068</v>
      </c>
      <c r="M271" s="1369">
        <f t="shared" si="39"/>
        <v>246</v>
      </c>
      <c r="N271" s="1133"/>
      <c r="O271" s="1133"/>
      <c r="P271" s="1133"/>
      <c r="Q271" s="1133"/>
      <c r="R271" s="1133"/>
      <c r="S271" s="1133"/>
      <c r="T271" s="1133"/>
      <c r="U271" s="1133"/>
      <c r="V271" s="1133"/>
      <c r="W271" s="1133"/>
      <c r="X271" s="1133"/>
      <c r="Y271" s="1319" t="s">
        <v>4348</v>
      </c>
      <c r="Z271" s="1344" t="s">
        <v>4349</v>
      </c>
      <c r="AA271" s="1319" t="s">
        <v>4344</v>
      </c>
      <c r="AB271" s="1319" t="s">
        <v>4344</v>
      </c>
      <c r="AC271" s="1319"/>
      <c r="AD271" s="1319" t="s">
        <v>4344</v>
      </c>
      <c r="AE271" s="1321">
        <f>303.56/1000</f>
        <v>0.30356</v>
      </c>
      <c r="AF271" s="1113">
        <f t="shared" si="34"/>
        <v>0.30356</v>
      </c>
      <c r="AG271" s="1113">
        <f t="shared" si="35"/>
        <v>0</v>
      </c>
      <c r="AH271" s="1321"/>
      <c r="AI271" s="1322"/>
      <c r="AJ271" s="1322"/>
      <c r="AK271" s="1321">
        <f>AE271</f>
        <v>0.30356</v>
      </c>
      <c r="AL271" s="1323">
        <f t="shared" si="36"/>
        <v>1</v>
      </c>
      <c r="AM271" s="1323">
        <f>AK271/23.154731</f>
        <v>1.3110063770552981E-2</v>
      </c>
      <c r="AN271" s="1321"/>
      <c r="AO271" s="1323"/>
      <c r="AP271" s="1321"/>
      <c r="AQ271" s="1323"/>
      <c r="AR271" s="1321"/>
      <c r="AS271" s="1323"/>
      <c r="AT271" s="1323"/>
      <c r="AU271" s="1323"/>
      <c r="AV271" s="1323"/>
      <c r="AW271" s="1323" t="s">
        <v>500</v>
      </c>
      <c r="AX271" s="1323" t="s">
        <v>4322</v>
      </c>
      <c r="AY271" s="1323"/>
      <c r="AZ271" s="1323"/>
      <c r="BA271" s="1322">
        <f>168.1/1000</f>
        <v>0.1681</v>
      </c>
      <c r="BB271" s="1323">
        <f>BA271/30.775</f>
        <v>5.4622258326563772E-3</v>
      </c>
      <c r="BC271" s="1324">
        <v>1</v>
      </c>
      <c r="BD271" s="1324">
        <v>1</v>
      </c>
      <c r="BE271" s="1325">
        <v>1</v>
      </c>
      <c r="BF271" s="1324"/>
      <c r="BG271" s="1324"/>
      <c r="BH271" s="1324"/>
      <c r="BI271" s="1324"/>
      <c r="BJ271" s="1324"/>
      <c r="BK271" s="1324"/>
      <c r="BL271" s="1324"/>
      <c r="BM271" s="1324"/>
      <c r="BN271" s="1324"/>
      <c r="BO271" s="1324"/>
      <c r="BP271" s="1324">
        <v>1</v>
      </c>
      <c r="BQ271" s="1324"/>
      <c r="BR271" s="1324"/>
      <c r="BS271" s="1324"/>
      <c r="BT271" s="1324"/>
      <c r="BU271" s="1324"/>
      <c r="BV271" s="1324"/>
      <c r="BW271" s="1324"/>
      <c r="BX271" s="1324"/>
      <c r="BY271" s="1324"/>
      <c r="BZ271" s="1324"/>
      <c r="CA271" s="1326">
        <f t="shared" si="33"/>
        <v>1</v>
      </c>
      <c r="CB271" s="1117">
        <f t="shared" si="37"/>
        <v>1</v>
      </c>
      <c r="CC271" s="1117">
        <f t="shared" si="38"/>
        <v>0</v>
      </c>
      <c r="CD271" s="1322">
        <v>1.341</v>
      </c>
      <c r="CE271" s="1319" t="s">
        <v>504</v>
      </c>
      <c r="CF271" s="1319" t="s">
        <v>504</v>
      </c>
      <c r="CG271" s="1319">
        <v>100</v>
      </c>
      <c r="CH271" s="1322">
        <f>1341/1000</f>
        <v>1.341</v>
      </c>
      <c r="CI271" s="1346" t="s">
        <v>4350</v>
      </c>
      <c r="CJ271" s="1319" t="s">
        <v>504</v>
      </c>
      <c r="CK271" s="1319" t="s">
        <v>504</v>
      </c>
      <c r="CL271" s="1319" t="s">
        <v>504</v>
      </c>
      <c r="CM271" s="1324" t="s">
        <v>504</v>
      </c>
      <c r="CN271" s="1324" t="s">
        <v>504</v>
      </c>
      <c r="CO271" s="1324" t="s">
        <v>4351</v>
      </c>
      <c r="CP271" s="1319" t="s">
        <v>500</v>
      </c>
      <c r="CQ271" s="1319" t="s">
        <v>4352</v>
      </c>
      <c r="CR271" s="1324">
        <v>53</v>
      </c>
      <c r="CS271" s="1319" t="s">
        <v>500</v>
      </c>
      <c r="CT271" s="1319" t="s">
        <v>4353</v>
      </c>
      <c r="CU271" s="1324">
        <v>41</v>
      </c>
      <c r="CV271" s="1324" t="s">
        <v>504</v>
      </c>
      <c r="CW271" s="1324" t="s">
        <v>504</v>
      </c>
      <c r="CX271" s="1324"/>
      <c r="CY271" s="1319" t="s">
        <v>504</v>
      </c>
      <c r="CZ271" s="1319" t="s">
        <v>504</v>
      </c>
      <c r="DA271" s="1324"/>
      <c r="DB271" s="1319" t="s">
        <v>504</v>
      </c>
      <c r="DC271" s="1319" t="s">
        <v>504</v>
      </c>
      <c r="DD271" s="1324"/>
      <c r="DE271" s="1319" t="s">
        <v>504</v>
      </c>
      <c r="DF271" s="1319" t="s">
        <v>504</v>
      </c>
      <c r="DG271" s="1324"/>
      <c r="DH271" s="1319" t="s">
        <v>504</v>
      </c>
      <c r="DI271" s="1319" t="s">
        <v>504</v>
      </c>
      <c r="DJ271" s="1324"/>
      <c r="DK271" s="1319" t="s">
        <v>504</v>
      </c>
      <c r="DL271" s="1319" t="s">
        <v>504</v>
      </c>
      <c r="DM271" s="1324"/>
      <c r="DN271" s="1319" t="s">
        <v>504</v>
      </c>
      <c r="DO271" s="1319" t="s">
        <v>504</v>
      </c>
      <c r="DP271" s="1324"/>
      <c r="DQ271" s="1319" t="s">
        <v>504</v>
      </c>
      <c r="DR271" s="1319" t="s">
        <v>504</v>
      </c>
      <c r="DS271" s="1324"/>
      <c r="DT271" s="1319" t="s">
        <v>504</v>
      </c>
      <c r="DU271" s="1319" t="s">
        <v>504</v>
      </c>
      <c r="DV271" s="1324"/>
      <c r="DW271" s="1319" t="s">
        <v>504</v>
      </c>
      <c r="DX271" s="1319" t="s">
        <v>504</v>
      </c>
      <c r="DY271" s="1324"/>
      <c r="DZ271" s="1319" t="s">
        <v>504</v>
      </c>
      <c r="EA271" s="1319" t="s">
        <v>504</v>
      </c>
      <c r="EB271" s="1324"/>
      <c r="EC271" s="1319" t="s">
        <v>504</v>
      </c>
      <c r="ED271" s="1319" t="s">
        <v>504</v>
      </c>
      <c r="EE271" s="1324">
        <v>0</v>
      </c>
      <c r="EF271" s="1324" t="s">
        <v>500</v>
      </c>
      <c r="EG271" s="1360" t="s">
        <v>4354</v>
      </c>
      <c r="EH271" s="1324">
        <v>6</v>
      </c>
      <c r="EI271" s="1319" t="s">
        <v>504</v>
      </c>
      <c r="EJ271" s="1319" t="s">
        <v>504</v>
      </c>
      <c r="EK271" s="1324">
        <v>0</v>
      </c>
      <c r="EL271" s="1324"/>
      <c r="EM271" s="1324"/>
      <c r="EN271" s="1324"/>
      <c r="EO271" s="1319" t="s">
        <v>504</v>
      </c>
      <c r="EP271" s="1319" t="s">
        <v>504</v>
      </c>
      <c r="EQ271" s="1319" t="s">
        <v>504</v>
      </c>
      <c r="ER271" s="1319" t="s">
        <v>504</v>
      </c>
      <c r="ES271" s="1319" t="s">
        <v>504</v>
      </c>
      <c r="ET271" s="1319" t="s">
        <v>4326</v>
      </c>
      <c r="EU271" s="1319" t="s">
        <v>504</v>
      </c>
      <c r="EV271" s="1319" t="s">
        <v>3822</v>
      </c>
      <c r="EW271" s="1319">
        <v>1</v>
      </c>
      <c r="EX271" s="1319">
        <v>3</v>
      </c>
    </row>
    <row r="272" spans="3:154" ht="39.950000000000003" customHeight="1" x14ac:dyDescent="0.2">
      <c r="C272" s="1156" t="s">
        <v>693</v>
      </c>
      <c r="D272" s="1156" t="s">
        <v>5278</v>
      </c>
      <c r="E272" s="1104" t="s">
        <v>365</v>
      </c>
      <c r="F272" s="1104" t="s">
        <v>450</v>
      </c>
      <c r="G272" s="1319" t="s">
        <v>4355</v>
      </c>
      <c r="H272" s="1319" t="s">
        <v>4310</v>
      </c>
      <c r="I272" s="1319" t="s">
        <v>1035</v>
      </c>
      <c r="J272" s="1320">
        <v>2018</v>
      </c>
      <c r="K272" s="1105">
        <v>43941</v>
      </c>
      <c r="L272" s="1105">
        <v>44075</v>
      </c>
      <c r="M272" s="1369">
        <f t="shared" si="39"/>
        <v>134</v>
      </c>
      <c r="N272" s="1133"/>
      <c r="O272" s="1133"/>
      <c r="P272" s="1133"/>
      <c r="Q272" s="1133"/>
      <c r="R272" s="1133"/>
      <c r="S272" s="1133"/>
      <c r="T272" s="1133"/>
      <c r="U272" s="1133"/>
      <c r="V272" s="1133"/>
      <c r="W272" s="1133"/>
      <c r="X272" s="1133"/>
      <c r="Y272" s="1319" t="s">
        <v>4356</v>
      </c>
      <c r="Z272" s="1319"/>
      <c r="AA272" s="1319" t="s">
        <v>4357</v>
      </c>
      <c r="AB272" s="1319" t="s">
        <v>4358</v>
      </c>
      <c r="AC272" s="1319" t="s">
        <v>4358</v>
      </c>
      <c r="AD272" s="1319" t="s">
        <v>4358</v>
      </c>
      <c r="AE272" s="1321">
        <f>351.54/1000</f>
        <v>0.35154000000000002</v>
      </c>
      <c r="AF272" s="1113">
        <f t="shared" si="34"/>
        <v>0.35154000000000002</v>
      </c>
      <c r="AG272" s="1113">
        <f t="shared" si="35"/>
        <v>0</v>
      </c>
      <c r="AH272" s="1321"/>
      <c r="AI272" s="1322"/>
      <c r="AJ272" s="1322"/>
      <c r="AK272" s="1321">
        <f>(140.42+176.02)/1000</f>
        <v>0.31644</v>
      </c>
      <c r="AL272" s="1361">
        <f t="shared" si="36"/>
        <v>0.9001536098310291</v>
      </c>
      <c r="AM272" s="1323">
        <f>AK272/39.586888</f>
        <v>7.993555846067011E-3</v>
      </c>
      <c r="AN272" s="1321">
        <f>35.1/1000</f>
        <v>3.5099999999999999E-2</v>
      </c>
      <c r="AO272" s="1323">
        <f>AN272/AE272</f>
        <v>9.9846390168970803E-2</v>
      </c>
      <c r="AP272" s="1321"/>
      <c r="AQ272" s="1323"/>
      <c r="AR272" s="1321"/>
      <c r="AS272" s="1323"/>
      <c r="AT272" s="1323"/>
      <c r="AU272" s="1323"/>
      <c r="AV272" s="1323"/>
      <c r="AW272" s="1323" t="s">
        <v>500</v>
      </c>
      <c r="AX272" s="1323" t="s">
        <v>4359</v>
      </c>
      <c r="AY272" s="1323"/>
      <c r="AZ272" s="1323"/>
      <c r="BA272" s="1322">
        <f>50.5/1000</f>
        <v>5.0500000000000003E-2</v>
      </c>
      <c r="BB272" s="1323">
        <f>BA272/42.839843</f>
        <v>1.178809175374429E-3</v>
      </c>
      <c r="BC272" s="1324">
        <v>1</v>
      </c>
      <c r="BD272" s="1324">
        <v>1</v>
      </c>
      <c r="BE272" s="1325">
        <v>1</v>
      </c>
      <c r="BF272" s="1324"/>
      <c r="BG272" s="1324"/>
      <c r="BH272" s="1324"/>
      <c r="BI272" s="1324"/>
      <c r="BJ272" s="1324"/>
      <c r="BK272" s="1324"/>
      <c r="BL272" s="1324"/>
      <c r="BM272" s="1324"/>
      <c r="BN272" s="1324"/>
      <c r="BO272" s="1324"/>
      <c r="BP272" s="1324"/>
      <c r="BQ272" s="1324">
        <v>1</v>
      </c>
      <c r="BR272" s="1324"/>
      <c r="BS272" s="1324"/>
      <c r="BT272" s="1324"/>
      <c r="BU272" s="1324"/>
      <c r="BV272" s="1324"/>
      <c r="BW272" s="1324"/>
      <c r="BX272" s="1324"/>
      <c r="BY272" s="1324"/>
      <c r="BZ272" s="1324"/>
      <c r="CA272" s="1326">
        <f t="shared" si="33"/>
        <v>1</v>
      </c>
      <c r="CB272" s="1117">
        <f t="shared" si="37"/>
        <v>1</v>
      </c>
      <c r="CC272" s="1117">
        <f t="shared" si="38"/>
        <v>0</v>
      </c>
      <c r="CD272" s="1322">
        <v>1.3740000000000001</v>
      </c>
      <c r="CE272" s="1319" t="s">
        <v>504</v>
      </c>
      <c r="CF272" s="1319" t="s">
        <v>504</v>
      </c>
      <c r="CG272" s="1319" t="s">
        <v>504</v>
      </c>
      <c r="CH272" s="1322">
        <f>1374/1000</f>
        <v>1.3740000000000001</v>
      </c>
      <c r="CI272" s="1346" t="s">
        <v>4360</v>
      </c>
      <c r="CJ272" s="1319" t="s">
        <v>504</v>
      </c>
      <c r="CK272" s="1319" t="s">
        <v>504</v>
      </c>
      <c r="CL272" s="1319" t="s">
        <v>504</v>
      </c>
      <c r="CM272" s="1324" t="s">
        <v>504</v>
      </c>
      <c r="CN272" s="1324" t="s">
        <v>504</v>
      </c>
      <c r="CO272" s="1324" t="s">
        <v>4358</v>
      </c>
      <c r="CP272" s="1319" t="s">
        <v>500</v>
      </c>
      <c r="CQ272" s="1319" t="s">
        <v>4352</v>
      </c>
      <c r="CR272" s="1324">
        <v>66</v>
      </c>
      <c r="CS272" s="1319" t="s">
        <v>504</v>
      </c>
      <c r="CT272" s="1319" t="s">
        <v>504</v>
      </c>
      <c r="CU272" s="1324">
        <v>0</v>
      </c>
      <c r="CV272" s="1324" t="s">
        <v>504</v>
      </c>
      <c r="CW272" s="1324" t="s">
        <v>504</v>
      </c>
      <c r="CX272" s="1324">
        <v>0</v>
      </c>
      <c r="CY272" s="1319" t="s">
        <v>504</v>
      </c>
      <c r="CZ272" s="1319" t="s">
        <v>504</v>
      </c>
      <c r="DA272" s="1324"/>
      <c r="DB272" s="1319" t="s">
        <v>504</v>
      </c>
      <c r="DC272" s="1319" t="s">
        <v>504</v>
      </c>
      <c r="DD272" s="1324"/>
      <c r="DE272" s="1319" t="s">
        <v>504</v>
      </c>
      <c r="DF272" s="1319" t="s">
        <v>504</v>
      </c>
      <c r="DG272" s="1324"/>
      <c r="DH272" s="1319" t="s">
        <v>504</v>
      </c>
      <c r="DI272" s="1319" t="s">
        <v>504</v>
      </c>
      <c r="DJ272" s="1324"/>
      <c r="DK272" s="1319" t="s">
        <v>504</v>
      </c>
      <c r="DL272" s="1319" t="s">
        <v>504</v>
      </c>
      <c r="DM272" s="1324"/>
      <c r="DN272" s="1319" t="s">
        <v>504</v>
      </c>
      <c r="DO272" s="1319" t="s">
        <v>504</v>
      </c>
      <c r="DP272" s="1324"/>
      <c r="DQ272" s="1319" t="s">
        <v>504</v>
      </c>
      <c r="DR272" s="1319" t="s">
        <v>504</v>
      </c>
      <c r="DS272" s="1324"/>
      <c r="DT272" s="1319" t="s">
        <v>504</v>
      </c>
      <c r="DU272" s="1319" t="s">
        <v>504</v>
      </c>
      <c r="DV272" s="1324"/>
      <c r="DW272" s="1319" t="s">
        <v>504</v>
      </c>
      <c r="DX272" s="1319" t="s">
        <v>504</v>
      </c>
      <c r="DY272" s="1324"/>
      <c r="DZ272" s="1319" t="s">
        <v>504</v>
      </c>
      <c r="EA272" s="1319" t="s">
        <v>504</v>
      </c>
      <c r="EB272" s="1324"/>
      <c r="EC272" s="1319" t="s">
        <v>504</v>
      </c>
      <c r="ED272" s="1319" t="s">
        <v>504</v>
      </c>
      <c r="EE272" s="1324">
        <v>0</v>
      </c>
      <c r="EF272" s="1324" t="s">
        <v>500</v>
      </c>
      <c r="EG272" s="1360" t="s">
        <v>4361</v>
      </c>
      <c r="EH272" s="1324">
        <v>6</v>
      </c>
      <c r="EI272" s="1319" t="s">
        <v>504</v>
      </c>
      <c r="EJ272" s="1319" t="s">
        <v>504</v>
      </c>
      <c r="EK272" s="1324">
        <v>0</v>
      </c>
      <c r="EL272" s="1324"/>
      <c r="EM272" s="1324"/>
      <c r="EN272" s="1324"/>
      <c r="EO272" s="1319" t="s">
        <v>504</v>
      </c>
      <c r="EP272" s="1319" t="s">
        <v>504</v>
      </c>
      <c r="EQ272" s="1319" t="s">
        <v>504</v>
      </c>
      <c r="ER272" s="1319" t="s">
        <v>504</v>
      </c>
      <c r="ES272" s="1319" t="s">
        <v>504</v>
      </c>
      <c r="ET272" s="1319" t="s">
        <v>4326</v>
      </c>
      <c r="EU272" s="1319" t="s">
        <v>504</v>
      </c>
      <c r="EV272" s="1319" t="s">
        <v>3822</v>
      </c>
      <c r="EW272" s="1319">
        <v>1</v>
      </c>
      <c r="EX272" s="1319">
        <v>3</v>
      </c>
    </row>
    <row r="273" spans="3:154" ht="53.1" customHeight="1" x14ac:dyDescent="0.2">
      <c r="C273" s="1156" t="s">
        <v>693</v>
      </c>
      <c r="D273" s="1156" t="s">
        <v>5277</v>
      </c>
      <c r="E273" s="738" t="s">
        <v>366</v>
      </c>
      <c r="F273" s="738" t="s">
        <v>451</v>
      </c>
      <c r="G273" s="738"/>
      <c r="H273" s="632" t="s">
        <v>2480</v>
      </c>
      <c r="I273" s="632" t="s">
        <v>2481</v>
      </c>
      <c r="J273" s="637">
        <v>2015</v>
      </c>
      <c r="K273" s="377">
        <v>43881</v>
      </c>
      <c r="L273" s="377">
        <v>44196</v>
      </c>
      <c r="M273" s="1369">
        <f t="shared" si="39"/>
        <v>315</v>
      </c>
      <c r="N273" s="632" t="s">
        <v>504</v>
      </c>
      <c r="O273" s="632" t="s">
        <v>504</v>
      </c>
      <c r="P273" s="632" t="s">
        <v>504</v>
      </c>
      <c r="Q273" s="632" t="s">
        <v>504</v>
      </c>
      <c r="R273" s="632" t="s">
        <v>504</v>
      </c>
      <c r="S273" s="632" t="s">
        <v>2483</v>
      </c>
      <c r="T273" s="728" t="s">
        <v>2484</v>
      </c>
      <c r="U273" s="632" t="s">
        <v>504</v>
      </c>
      <c r="V273" s="632" t="s">
        <v>504</v>
      </c>
      <c r="W273" s="632" t="s">
        <v>2480</v>
      </c>
      <c r="X273" s="728" t="s">
        <v>2485</v>
      </c>
      <c r="Y273" s="728"/>
      <c r="Z273" s="728"/>
      <c r="AA273" s="632" t="s">
        <v>2486</v>
      </c>
      <c r="AB273" s="632" t="s">
        <v>2487</v>
      </c>
      <c r="AC273" s="632" t="s">
        <v>2488</v>
      </c>
      <c r="AD273" s="632" t="s">
        <v>1127</v>
      </c>
      <c r="AE273" s="702">
        <v>1491.8</v>
      </c>
      <c r="AF273" s="671">
        <f t="shared" si="34"/>
        <v>1491.8</v>
      </c>
      <c r="AG273" s="671">
        <f t="shared" si="35"/>
        <v>0</v>
      </c>
      <c r="AH273" s="702">
        <v>1491.8</v>
      </c>
      <c r="AI273" s="683">
        <v>1</v>
      </c>
      <c r="AJ273" s="683">
        <v>6.6E-3</v>
      </c>
      <c r="AK273" s="702">
        <v>0</v>
      </c>
      <c r="AL273" s="683">
        <v>0</v>
      </c>
      <c r="AM273" s="683"/>
      <c r="AN273" s="702">
        <v>0</v>
      </c>
      <c r="AO273" s="683">
        <v>0</v>
      </c>
      <c r="AP273" s="702">
        <v>0</v>
      </c>
      <c r="AQ273" s="683">
        <v>0</v>
      </c>
      <c r="AR273" s="702">
        <v>0</v>
      </c>
      <c r="AS273" s="683">
        <v>0</v>
      </c>
      <c r="AT273" s="632" t="s">
        <v>504</v>
      </c>
      <c r="AU273" s="632" t="s">
        <v>504</v>
      </c>
      <c r="AV273" s="632" t="s">
        <v>504</v>
      </c>
      <c r="AW273" s="632" t="s">
        <v>504</v>
      </c>
      <c r="AX273" s="632" t="s">
        <v>504</v>
      </c>
      <c r="AY273" s="632">
        <v>0</v>
      </c>
      <c r="AZ273" s="683">
        <v>0</v>
      </c>
      <c r="BA273" s="632">
        <v>1150</v>
      </c>
      <c r="BB273" s="683">
        <v>5.4848099999999997E-3</v>
      </c>
      <c r="BC273" s="710">
        <v>1063</v>
      </c>
      <c r="BD273" s="710">
        <v>1063</v>
      </c>
      <c r="BE273" s="706">
        <v>1063</v>
      </c>
      <c r="BF273" s="710">
        <v>0</v>
      </c>
      <c r="BG273" s="710">
        <v>30</v>
      </c>
      <c r="BH273" s="710">
        <v>41</v>
      </c>
      <c r="BI273" s="710">
        <v>0</v>
      </c>
      <c r="BJ273" s="710">
        <v>3</v>
      </c>
      <c r="BK273" s="710">
        <v>1</v>
      </c>
      <c r="BL273" s="710">
        <v>460</v>
      </c>
      <c r="BM273" s="710">
        <v>132</v>
      </c>
      <c r="BN273" s="710">
        <v>54</v>
      </c>
      <c r="BO273" s="710">
        <v>0</v>
      </c>
      <c r="BP273" s="710">
        <v>0</v>
      </c>
      <c r="BQ273" s="710">
        <v>292</v>
      </c>
      <c r="BR273" s="710">
        <v>0</v>
      </c>
      <c r="BS273" s="710">
        <v>0</v>
      </c>
      <c r="BT273" s="710">
        <v>0</v>
      </c>
      <c r="BU273" s="710">
        <v>26</v>
      </c>
      <c r="BV273" s="710">
        <v>0</v>
      </c>
      <c r="BW273" s="710">
        <v>10</v>
      </c>
      <c r="BX273" s="710">
        <v>0</v>
      </c>
      <c r="BY273" s="710">
        <v>0</v>
      </c>
      <c r="BZ273" s="710">
        <v>14</v>
      </c>
      <c r="CA273" s="717">
        <f t="shared" si="33"/>
        <v>1063</v>
      </c>
      <c r="CB273" s="717">
        <f t="shared" si="37"/>
        <v>1063</v>
      </c>
      <c r="CC273" s="717">
        <f t="shared" si="38"/>
        <v>0</v>
      </c>
      <c r="CD273" s="671">
        <v>3466369</v>
      </c>
      <c r="CE273" s="632" t="s">
        <v>2489</v>
      </c>
      <c r="CF273" s="632" t="s">
        <v>504</v>
      </c>
      <c r="CG273" s="683">
        <v>1</v>
      </c>
      <c r="CH273" s="671">
        <v>3466369</v>
      </c>
      <c r="CI273" s="1203" t="s">
        <v>2490</v>
      </c>
      <c r="CJ273" s="632" t="s">
        <v>504</v>
      </c>
      <c r="CK273" s="632" t="s">
        <v>504</v>
      </c>
      <c r="CL273" s="632" t="s">
        <v>504</v>
      </c>
      <c r="CM273" s="710">
        <v>0</v>
      </c>
      <c r="CN273" s="710">
        <v>0</v>
      </c>
      <c r="CO273" s="710">
        <v>3</v>
      </c>
      <c r="CP273" s="632" t="s">
        <v>504</v>
      </c>
      <c r="CQ273" s="632" t="s">
        <v>504</v>
      </c>
      <c r="CR273" s="632">
        <v>0</v>
      </c>
      <c r="CS273" s="632" t="s">
        <v>504</v>
      </c>
      <c r="CT273" s="632" t="s">
        <v>504</v>
      </c>
      <c r="CU273" s="710">
        <v>0</v>
      </c>
      <c r="CV273" s="710" t="s">
        <v>504</v>
      </c>
      <c r="CW273" s="710" t="s">
        <v>504</v>
      </c>
      <c r="CX273" s="710">
        <v>0</v>
      </c>
      <c r="CY273" s="710" t="s">
        <v>504</v>
      </c>
      <c r="CZ273" s="710" t="s">
        <v>504</v>
      </c>
      <c r="DA273" s="710">
        <v>0</v>
      </c>
      <c r="DB273" s="632" t="s">
        <v>504</v>
      </c>
      <c r="DC273" s="632" t="s">
        <v>504</v>
      </c>
      <c r="DD273" s="710">
        <v>0</v>
      </c>
      <c r="DE273" s="632" t="s">
        <v>504</v>
      </c>
      <c r="DF273" s="632" t="s">
        <v>504</v>
      </c>
      <c r="DG273" s="710">
        <v>0</v>
      </c>
      <c r="DH273" s="632" t="s">
        <v>504</v>
      </c>
      <c r="DI273" s="632" t="s">
        <v>504</v>
      </c>
      <c r="DJ273" s="710">
        <v>0</v>
      </c>
      <c r="DK273" s="632" t="s">
        <v>500</v>
      </c>
      <c r="DL273" s="632" t="s">
        <v>2491</v>
      </c>
      <c r="DM273" s="710" t="s">
        <v>504</v>
      </c>
      <c r="DN273" s="632" t="s">
        <v>500</v>
      </c>
      <c r="DO273" s="632" t="s">
        <v>2492</v>
      </c>
      <c r="DP273" s="710">
        <v>68039</v>
      </c>
      <c r="DQ273" s="632" t="s">
        <v>504</v>
      </c>
      <c r="DR273" s="632" t="s">
        <v>504</v>
      </c>
      <c r="DS273" s="710">
        <v>0</v>
      </c>
      <c r="DT273" s="710" t="s">
        <v>504</v>
      </c>
      <c r="DU273" s="710" t="s">
        <v>504</v>
      </c>
      <c r="DV273" s="710">
        <v>0</v>
      </c>
      <c r="DW273" s="632" t="s">
        <v>504</v>
      </c>
      <c r="DX273" s="632" t="s">
        <v>504</v>
      </c>
      <c r="DY273" s="710">
        <v>0</v>
      </c>
      <c r="DZ273" s="632" t="s">
        <v>504</v>
      </c>
      <c r="EA273" s="632" t="s">
        <v>504</v>
      </c>
      <c r="EB273" s="710">
        <v>0</v>
      </c>
      <c r="EC273" s="632" t="s">
        <v>504</v>
      </c>
      <c r="ED273" s="632" t="s">
        <v>504</v>
      </c>
      <c r="EE273" s="710">
        <v>0</v>
      </c>
      <c r="EF273" s="710" t="s">
        <v>504</v>
      </c>
      <c r="EG273" s="710" t="s">
        <v>504</v>
      </c>
      <c r="EH273" s="710">
        <v>0</v>
      </c>
      <c r="EI273" s="632" t="s">
        <v>504</v>
      </c>
      <c r="EJ273" s="632" t="s">
        <v>504</v>
      </c>
      <c r="EK273" s="710">
        <v>0</v>
      </c>
      <c r="EL273" s="688">
        <v>1</v>
      </c>
      <c r="EM273" s="632" t="s">
        <v>504</v>
      </c>
      <c r="EN273" s="670">
        <v>43</v>
      </c>
      <c r="EO273" s="632" t="s">
        <v>504</v>
      </c>
      <c r="EP273" s="632" t="s">
        <v>504</v>
      </c>
      <c r="EQ273" s="632" t="s">
        <v>2493</v>
      </c>
      <c r="ER273" s="632" t="s">
        <v>504</v>
      </c>
      <c r="ES273" s="632" t="s">
        <v>504</v>
      </c>
      <c r="ET273" s="632" t="s">
        <v>504</v>
      </c>
      <c r="EU273" s="632" t="s">
        <v>504</v>
      </c>
      <c r="EV273" s="632" t="s">
        <v>2494</v>
      </c>
      <c r="EW273" s="632">
        <v>5</v>
      </c>
      <c r="EX273" s="632">
        <v>215</v>
      </c>
    </row>
    <row r="274" spans="3:154" ht="53.1" customHeight="1" x14ac:dyDescent="0.2">
      <c r="C274" s="1156" t="s">
        <v>693</v>
      </c>
      <c r="D274" s="1156" t="s">
        <v>5278</v>
      </c>
      <c r="E274" s="1104" t="s">
        <v>366</v>
      </c>
      <c r="F274" s="1104" t="s">
        <v>451</v>
      </c>
      <c r="G274" s="1109" t="s">
        <v>4362</v>
      </c>
      <c r="H274" s="1109" t="s">
        <v>4363</v>
      </c>
      <c r="I274" s="1109" t="s">
        <v>5615</v>
      </c>
      <c r="J274" s="1110">
        <v>2020</v>
      </c>
      <c r="K274" s="1105">
        <v>43570</v>
      </c>
      <c r="L274" s="1105">
        <v>44196</v>
      </c>
      <c r="M274" s="1369">
        <f t="shared" si="39"/>
        <v>626</v>
      </c>
      <c r="N274" s="1105"/>
      <c r="O274" s="1105"/>
      <c r="P274" s="1105"/>
      <c r="Q274" s="1105"/>
      <c r="R274" s="1105"/>
      <c r="S274" s="1105"/>
      <c r="T274" s="1105"/>
      <c r="U274" s="1105"/>
      <c r="V274" s="1105"/>
      <c r="W274" s="1105"/>
      <c r="X274" s="1105"/>
      <c r="Y274" s="1109" t="s">
        <v>4364</v>
      </c>
      <c r="Z274" s="1127" t="s">
        <v>4365</v>
      </c>
      <c r="AA274" s="1109" t="s">
        <v>4366</v>
      </c>
      <c r="AB274" s="1109" t="s">
        <v>4367</v>
      </c>
      <c r="AC274" s="1109" t="s">
        <v>4368</v>
      </c>
      <c r="AD274" s="1109" t="s">
        <v>4369</v>
      </c>
      <c r="AE274" s="1112">
        <v>1.8</v>
      </c>
      <c r="AF274" s="1113">
        <f t="shared" si="34"/>
        <v>1.8</v>
      </c>
      <c r="AG274" s="1113">
        <f t="shared" si="35"/>
        <v>0</v>
      </c>
      <c r="AH274" s="1112"/>
      <c r="AI274" s="1113"/>
      <c r="AJ274" s="1113"/>
      <c r="AK274" s="1112">
        <v>1.8</v>
      </c>
      <c r="AL274" s="1114">
        <v>1</v>
      </c>
      <c r="AM274" s="1114">
        <v>1E-4</v>
      </c>
      <c r="AN274" s="1112"/>
      <c r="AO274" s="1114"/>
      <c r="AP274" s="1112"/>
      <c r="AQ274" s="1114"/>
      <c r="AR274" s="1112"/>
      <c r="AS274" s="1114"/>
      <c r="AT274" s="1114"/>
      <c r="AU274" s="1114"/>
      <c r="AV274" s="1114"/>
      <c r="AW274" s="1114" t="s">
        <v>504</v>
      </c>
      <c r="AX274" s="1114" t="s">
        <v>504</v>
      </c>
      <c r="AY274" s="1109"/>
      <c r="AZ274" s="1114"/>
      <c r="BA274" s="1113">
        <v>1.8</v>
      </c>
      <c r="BB274" s="1114">
        <v>1E-4</v>
      </c>
      <c r="BC274" s="1115">
        <v>38</v>
      </c>
      <c r="BD274" s="1115">
        <v>6</v>
      </c>
      <c r="BE274" s="1116">
        <v>1</v>
      </c>
      <c r="BF274" s="1115"/>
      <c r="BG274" s="1115"/>
      <c r="BH274" s="1115"/>
      <c r="BI274" s="1115"/>
      <c r="BJ274" s="1115"/>
      <c r="BK274" s="1115"/>
      <c r="BL274" s="1115">
        <v>1</v>
      </c>
      <c r="BM274" s="1115"/>
      <c r="BN274" s="1115"/>
      <c r="BO274" s="1115"/>
      <c r="BP274" s="1115"/>
      <c r="BQ274" s="1115"/>
      <c r="BR274" s="1115"/>
      <c r="BS274" s="1115"/>
      <c r="BT274" s="1115"/>
      <c r="BU274" s="1115"/>
      <c r="BV274" s="1115"/>
      <c r="BW274" s="1115"/>
      <c r="BX274" s="1115"/>
      <c r="BY274" s="1115"/>
      <c r="BZ274" s="1115"/>
      <c r="CA274" s="1117">
        <f t="shared" si="33"/>
        <v>1</v>
      </c>
      <c r="CB274" s="1117">
        <f t="shared" si="37"/>
        <v>1</v>
      </c>
      <c r="CC274" s="1117">
        <f t="shared" si="38"/>
        <v>0</v>
      </c>
      <c r="CD274" s="1113">
        <v>8.3483999999999998</v>
      </c>
      <c r="CE274" s="1109" t="s">
        <v>4370</v>
      </c>
      <c r="CF274" s="1109" t="s">
        <v>504</v>
      </c>
      <c r="CG274" s="1109">
        <v>2.02</v>
      </c>
      <c r="CH274" s="1113">
        <v>413.25299999999999</v>
      </c>
      <c r="CI274" s="1139" t="s">
        <v>4371</v>
      </c>
      <c r="CJ274" s="1109" t="s">
        <v>504</v>
      </c>
      <c r="CK274" s="1109" t="s">
        <v>504</v>
      </c>
      <c r="CL274" s="1109" t="s">
        <v>504</v>
      </c>
      <c r="CM274" s="1115"/>
      <c r="CN274" s="1115"/>
      <c r="CO274" s="1115">
        <v>1</v>
      </c>
      <c r="CP274" s="1109" t="s">
        <v>504</v>
      </c>
      <c r="CQ274" s="1109" t="s">
        <v>504</v>
      </c>
      <c r="CR274" s="1115"/>
      <c r="CS274" s="1109" t="s">
        <v>504</v>
      </c>
      <c r="CT274" s="1109" t="s">
        <v>504</v>
      </c>
      <c r="CU274" s="1115"/>
      <c r="CV274" s="1115" t="s">
        <v>504</v>
      </c>
      <c r="CW274" s="1115" t="s">
        <v>504</v>
      </c>
      <c r="CX274" s="1115"/>
      <c r="CY274" s="1115" t="s">
        <v>504</v>
      </c>
      <c r="CZ274" s="1115" t="s">
        <v>504</v>
      </c>
      <c r="DA274" s="1115"/>
      <c r="DB274" s="1109" t="s">
        <v>504</v>
      </c>
      <c r="DC274" s="1109" t="s">
        <v>504</v>
      </c>
      <c r="DD274" s="1115"/>
      <c r="DE274" s="1109" t="s">
        <v>500</v>
      </c>
      <c r="DF274" s="1109" t="s">
        <v>4372</v>
      </c>
      <c r="DG274" s="1115">
        <v>52</v>
      </c>
      <c r="DH274" s="1109" t="s">
        <v>504</v>
      </c>
      <c r="DI274" s="1109" t="s">
        <v>504</v>
      </c>
      <c r="DJ274" s="1115"/>
      <c r="DK274" s="1109" t="s">
        <v>504</v>
      </c>
      <c r="DL274" s="1109" t="s">
        <v>504</v>
      </c>
      <c r="DM274" s="1115"/>
      <c r="DN274" s="1109" t="s">
        <v>504</v>
      </c>
      <c r="DO274" s="1109" t="s">
        <v>504</v>
      </c>
      <c r="DP274" s="1115"/>
      <c r="DQ274" s="1109" t="s">
        <v>500</v>
      </c>
      <c r="DR274" s="1109" t="s">
        <v>4373</v>
      </c>
      <c r="DS274" s="1115">
        <v>25</v>
      </c>
      <c r="DT274" s="1115" t="s">
        <v>504</v>
      </c>
      <c r="DU274" s="1115" t="s">
        <v>504</v>
      </c>
      <c r="DV274" s="1115"/>
      <c r="DW274" s="1109" t="s">
        <v>504</v>
      </c>
      <c r="DX274" s="1109" t="s">
        <v>504</v>
      </c>
      <c r="DY274" s="1115"/>
      <c r="DZ274" s="1109" t="s">
        <v>504</v>
      </c>
      <c r="EA274" s="1109" t="s">
        <v>504</v>
      </c>
      <c r="EB274" s="1115"/>
      <c r="EC274" s="1109" t="s">
        <v>504</v>
      </c>
      <c r="ED274" s="1109" t="s">
        <v>504</v>
      </c>
      <c r="EE274" s="1115"/>
      <c r="EF274" s="1115" t="s">
        <v>504</v>
      </c>
      <c r="EG274" s="1115" t="s">
        <v>504</v>
      </c>
      <c r="EH274" s="1115"/>
      <c r="EI274" s="1109" t="s">
        <v>504</v>
      </c>
      <c r="EJ274" s="1109" t="s">
        <v>504</v>
      </c>
      <c r="EK274" s="1115"/>
      <c r="EL274" s="1115"/>
      <c r="EM274" s="1115"/>
      <c r="EN274" s="1115"/>
      <c r="EO274" s="1109" t="s">
        <v>500</v>
      </c>
      <c r="EP274" s="1109" t="s">
        <v>4374</v>
      </c>
      <c r="EQ274" s="1127" t="s">
        <v>4375</v>
      </c>
      <c r="ER274" s="1127" t="s">
        <v>4376</v>
      </c>
      <c r="ES274" s="1109" t="s">
        <v>504</v>
      </c>
      <c r="ET274" s="1109" t="s">
        <v>4377</v>
      </c>
      <c r="EU274" s="1109" t="s">
        <v>504</v>
      </c>
      <c r="EV274" s="1109" t="s">
        <v>504</v>
      </c>
      <c r="EW274" s="1109">
        <v>0</v>
      </c>
      <c r="EX274" s="1109">
        <v>0</v>
      </c>
    </row>
    <row r="275" spans="3:154" ht="25.5" x14ac:dyDescent="0.2">
      <c r="C275" s="1156"/>
      <c r="D275" s="1156"/>
      <c r="E275" s="1454" t="s">
        <v>367</v>
      </c>
      <c r="F275" s="1454" t="s">
        <v>452</v>
      </c>
      <c r="G275" s="1454"/>
      <c r="H275" s="1460"/>
      <c r="I275" s="1460"/>
      <c r="J275" s="1460"/>
      <c r="K275" s="1460"/>
      <c r="L275" s="1460"/>
      <c r="M275" s="1369">
        <f t="shared" si="39"/>
        <v>0</v>
      </c>
      <c r="N275" s="1460"/>
      <c r="O275" s="1460"/>
      <c r="P275" s="1460"/>
      <c r="Q275" s="1460"/>
      <c r="R275" s="1460"/>
      <c r="S275" s="1460"/>
      <c r="T275" s="1460"/>
      <c r="U275" s="1460"/>
      <c r="V275" s="1460"/>
      <c r="W275" s="1460"/>
      <c r="X275" s="1460"/>
      <c r="Y275" s="1460"/>
      <c r="Z275" s="1460"/>
      <c r="AA275" s="1460"/>
      <c r="AB275" s="1460"/>
      <c r="AC275" s="1460"/>
      <c r="AD275" s="1460"/>
      <c r="AE275" s="1461"/>
      <c r="AF275" s="1462">
        <f t="shared" si="34"/>
        <v>0</v>
      </c>
      <c r="AG275" s="1462">
        <f t="shared" si="35"/>
        <v>0</v>
      </c>
      <c r="AH275" s="1461"/>
      <c r="AI275" s="1460"/>
      <c r="AJ275" s="1460"/>
      <c r="AK275" s="1461"/>
      <c r="AL275" s="1460"/>
      <c r="AM275" s="1460"/>
      <c r="AN275" s="1461"/>
      <c r="AO275" s="1460"/>
      <c r="AP275" s="1461"/>
      <c r="AQ275" s="1460"/>
      <c r="AR275" s="1461"/>
      <c r="AS275" s="1460"/>
      <c r="AT275" s="1460"/>
      <c r="AU275" s="1460"/>
      <c r="AV275" s="1460"/>
      <c r="AW275" s="1460"/>
      <c r="AX275" s="1460"/>
      <c r="AY275" s="1460"/>
      <c r="AZ275" s="1460"/>
      <c r="BA275" s="1460"/>
      <c r="BB275" s="1460"/>
      <c r="BC275" s="1460"/>
      <c r="BD275" s="1460"/>
      <c r="BE275" s="1463"/>
      <c r="BF275" s="1460"/>
      <c r="BG275" s="1460"/>
      <c r="BH275" s="1460"/>
      <c r="BI275" s="1460"/>
      <c r="BJ275" s="1460"/>
      <c r="BK275" s="1460"/>
      <c r="BL275" s="1460"/>
      <c r="BM275" s="1460"/>
      <c r="BN275" s="1460"/>
      <c r="BO275" s="1460"/>
      <c r="BP275" s="1460"/>
      <c r="BQ275" s="1460"/>
      <c r="BR275" s="1460"/>
      <c r="BS275" s="1460"/>
      <c r="BT275" s="1460"/>
      <c r="BU275" s="1460"/>
      <c r="BV275" s="1460"/>
      <c r="BW275" s="1460"/>
      <c r="BX275" s="1460"/>
      <c r="BY275" s="1460"/>
      <c r="BZ275" s="1460"/>
      <c r="CA275" s="1460"/>
      <c r="CB275" s="1464">
        <f t="shared" si="37"/>
        <v>0</v>
      </c>
      <c r="CC275" s="1464">
        <f t="shared" si="38"/>
        <v>0</v>
      </c>
      <c r="CD275" s="1460"/>
      <c r="CE275" s="1460"/>
      <c r="CF275" s="1460"/>
      <c r="CG275" s="1460"/>
      <c r="CH275" s="1460"/>
      <c r="CI275" s="1460"/>
      <c r="CJ275" s="1460"/>
      <c r="CK275" s="1460"/>
      <c r="CL275" s="1460"/>
      <c r="CM275" s="1460"/>
      <c r="CN275" s="1460"/>
      <c r="CO275" s="1460"/>
      <c r="CP275" s="1460"/>
      <c r="CQ275" s="1460"/>
      <c r="CR275" s="1460"/>
      <c r="CS275" s="1460"/>
      <c r="CT275" s="1460"/>
      <c r="CU275" s="1460"/>
      <c r="CV275" s="1460"/>
      <c r="CW275" s="1460"/>
      <c r="CX275" s="1460"/>
      <c r="CY275" s="1460"/>
      <c r="CZ275" s="1460"/>
      <c r="DA275" s="1460"/>
      <c r="DB275" s="1460"/>
      <c r="DC275" s="1460"/>
      <c r="DD275" s="1460"/>
      <c r="DE275" s="1460"/>
      <c r="DF275" s="1460"/>
      <c r="DG275" s="1460"/>
      <c r="DH275" s="1460"/>
      <c r="DI275" s="1460"/>
      <c r="DJ275" s="1460"/>
      <c r="DK275" s="1460"/>
      <c r="DL275" s="1460"/>
      <c r="DM275" s="1460"/>
      <c r="DN275" s="1460"/>
      <c r="DO275" s="1460"/>
      <c r="DP275" s="1460"/>
      <c r="DQ275" s="1460"/>
      <c r="DR275" s="1460"/>
      <c r="DS275" s="1460"/>
      <c r="DT275" s="1460"/>
      <c r="DU275" s="1460"/>
      <c r="DV275" s="1460"/>
      <c r="DW275" s="1460"/>
      <c r="DX275" s="1460"/>
      <c r="DY275" s="1460"/>
      <c r="DZ275" s="1460"/>
      <c r="EA275" s="1460"/>
      <c r="EB275" s="1460"/>
      <c r="EC275" s="1460"/>
      <c r="ED275" s="1460"/>
      <c r="EE275" s="1460"/>
      <c r="EF275" s="1460"/>
      <c r="EG275" s="1460"/>
      <c r="EH275" s="1460"/>
      <c r="EI275" s="1460"/>
      <c r="EJ275" s="1460"/>
      <c r="EK275" s="1460"/>
      <c r="EL275" s="1460"/>
      <c r="EM275" s="1460"/>
      <c r="EN275" s="1460"/>
      <c r="EO275" s="1460"/>
      <c r="EP275" s="1460"/>
      <c r="EQ275" s="1460"/>
      <c r="ER275" s="1460"/>
      <c r="ES275" s="1460"/>
      <c r="ET275" s="1460"/>
      <c r="EU275" s="1460"/>
      <c r="EV275" s="1460"/>
      <c r="EW275" s="1460"/>
      <c r="EX275" s="1460"/>
    </row>
    <row r="276" spans="3:154" ht="51.95" customHeight="1" x14ac:dyDescent="0.2">
      <c r="C276" s="1156" t="s">
        <v>693</v>
      </c>
      <c r="D276" s="1156" t="s">
        <v>5277</v>
      </c>
      <c r="E276" s="738" t="s">
        <v>368</v>
      </c>
      <c r="F276" s="738" t="s">
        <v>453</v>
      </c>
      <c r="G276" s="738"/>
      <c r="H276" s="632" t="s">
        <v>732</v>
      </c>
      <c r="I276" s="632" t="s">
        <v>1035</v>
      </c>
      <c r="J276" s="637">
        <v>2017</v>
      </c>
      <c r="K276" s="377">
        <v>43831</v>
      </c>
      <c r="L276" s="377">
        <v>44196</v>
      </c>
      <c r="M276" s="1369">
        <f t="shared" si="39"/>
        <v>365</v>
      </c>
      <c r="N276" s="632" t="s">
        <v>1036</v>
      </c>
      <c r="O276" s="632" t="s">
        <v>1037</v>
      </c>
      <c r="P276" s="653" t="s">
        <v>1057</v>
      </c>
      <c r="Q276" s="632" t="s">
        <v>1039</v>
      </c>
      <c r="R276" s="653" t="s">
        <v>1058</v>
      </c>
      <c r="S276" s="632" t="s">
        <v>1040</v>
      </c>
      <c r="T276" s="653"/>
      <c r="U276" s="632" t="s">
        <v>1041</v>
      </c>
      <c r="V276" s="653" t="s">
        <v>1042</v>
      </c>
      <c r="W276" s="632" t="s">
        <v>1043</v>
      </c>
      <c r="X276" s="653" t="s">
        <v>1038</v>
      </c>
      <c r="Y276" s="653"/>
      <c r="Z276" s="653"/>
      <c r="AA276" s="632" t="s">
        <v>1044</v>
      </c>
      <c r="AB276" s="632" t="s">
        <v>1045</v>
      </c>
      <c r="AC276" s="738" t="s">
        <v>1046</v>
      </c>
      <c r="AD276" s="738" t="s">
        <v>1047</v>
      </c>
      <c r="AE276" s="702">
        <f>702.514</f>
        <v>702.51400000000001</v>
      </c>
      <c r="AF276" s="671">
        <f>AH276+AK276+AN276+AP276+AR276</f>
        <v>702.51473999999996</v>
      </c>
      <c r="AG276" s="671">
        <f t="shared" si="35"/>
        <v>7.3999999995066901E-4</v>
      </c>
      <c r="AH276" s="702">
        <f>432.9885+21.0718</f>
        <v>454.06029999999998</v>
      </c>
      <c r="AI276" s="683">
        <f>AH276/AE276</f>
        <v>0.64633630077123017</v>
      </c>
      <c r="AJ276" s="683">
        <f>AH276/71756.422</f>
        <v>6.3278001793344706E-3</v>
      </c>
      <c r="AK276" s="702">
        <f>120.1525+36.9567</f>
        <v>157.10919999999999</v>
      </c>
      <c r="AL276" s="683">
        <f>AK276/AE276</f>
        <v>0.22363853247052726</v>
      </c>
      <c r="AM276" s="683"/>
      <c r="AN276" s="702">
        <f>74.0517+10.6911</f>
        <v>84.742800000000003</v>
      </c>
      <c r="AO276" s="683">
        <f>AN276/AE276</f>
        <v>0.12062791631198809</v>
      </c>
      <c r="AP276" s="702">
        <v>6.6024399999999996</v>
      </c>
      <c r="AQ276" s="683">
        <f>AP276/AE276</f>
        <v>9.3983038060451458E-3</v>
      </c>
      <c r="AR276" s="702"/>
      <c r="AS276" s="683" t="s">
        <v>465</v>
      </c>
      <c r="AT276" s="632" t="s">
        <v>465</v>
      </c>
      <c r="AU276" s="632" t="s">
        <v>465</v>
      </c>
      <c r="AV276" s="632" t="s">
        <v>465</v>
      </c>
      <c r="AW276" s="632" t="s">
        <v>504</v>
      </c>
      <c r="AX276" s="632" t="s">
        <v>465</v>
      </c>
      <c r="AY276" s="632" t="s">
        <v>465</v>
      </c>
      <c r="AZ276" s="683" t="s">
        <v>465</v>
      </c>
      <c r="BA276" s="706">
        <f>452.0271+30.042</f>
        <v>482.06910000000005</v>
      </c>
      <c r="BB276" s="683">
        <f>BA276/71423.3605</f>
        <v>6.7494597933403051E-3</v>
      </c>
      <c r="BC276" s="710">
        <v>1927</v>
      </c>
      <c r="BD276" s="710">
        <v>1704</v>
      </c>
      <c r="BE276" s="706">
        <v>1692</v>
      </c>
      <c r="BF276" s="710">
        <f>0+(1+1+5+1+1+4+3+3+1+6+2+1+4+3+1+6+5+6+2+2)</f>
        <v>58</v>
      </c>
      <c r="BG276" s="710">
        <v>335</v>
      </c>
      <c r="BH276" s="710">
        <f>1+(1+1+1+1+2+1+1+1+2+1+1+2+6+1+5+2)</f>
        <v>30</v>
      </c>
      <c r="BI276" s="710">
        <f>0+(4)</f>
        <v>4</v>
      </c>
      <c r="BJ276" s="710">
        <v>0</v>
      </c>
      <c r="BK276" s="710">
        <v>1</v>
      </c>
      <c r="BL276" s="710">
        <v>53</v>
      </c>
      <c r="BM276" s="710">
        <v>19</v>
      </c>
      <c r="BN276" s="710">
        <v>0</v>
      </c>
      <c r="BO276" s="710">
        <v>0</v>
      </c>
      <c r="BP276" s="710">
        <v>65</v>
      </c>
      <c r="BQ276" s="710">
        <v>126</v>
      </c>
      <c r="BR276" s="710">
        <v>97</v>
      </c>
      <c r="BS276" s="710">
        <f>0+(1+1+1+1+1+2+1+1+3+6+1+11+6)</f>
        <v>36</v>
      </c>
      <c r="BT276" s="710">
        <v>0</v>
      </c>
      <c r="BU276" s="710">
        <v>0</v>
      </c>
      <c r="BV276" s="710">
        <v>0</v>
      </c>
      <c r="BW276" s="710">
        <v>0</v>
      </c>
      <c r="BX276" s="710">
        <v>0</v>
      </c>
      <c r="BY276" s="710">
        <v>0</v>
      </c>
      <c r="BZ276" s="710">
        <f>0+(31+13)</f>
        <v>44</v>
      </c>
      <c r="CA276" s="717">
        <f>SUM(BF276:BZ276)</f>
        <v>868</v>
      </c>
      <c r="CB276" s="717">
        <f t="shared" si="37"/>
        <v>868</v>
      </c>
      <c r="CC276" s="717">
        <f t="shared" si="38"/>
        <v>0</v>
      </c>
      <c r="CD276" s="671">
        <f>349.707+489.889</f>
        <v>839.596</v>
      </c>
      <c r="CE276" s="661" t="s">
        <v>1048</v>
      </c>
      <c r="CF276" s="738" t="s">
        <v>465</v>
      </c>
      <c r="CG276" s="688">
        <f>CD276/CH276</f>
        <v>0.69198689207722341</v>
      </c>
      <c r="CH276" s="671">
        <v>1213.3119999999999</v>
      </c>
      <c r="CI276" s="661" t="s">
        <v>1049</v>
      </c>
      <c r="CJ276" s="632" t="s">
        <v>504</v>
      </c>
      <c r="CK276" s="632" t="s">
        <v>465</v>
      </c>
      <c r="CL276" s="632" t="s">
        <v>465</v>
      </c>
      <c r="CM276" s="710" t="s">
        <v>465</v>
      </c>
      <c r="CN276" s="710" t="s">
        <v>465</v>
      </c>
      <c r="CO276" s="710">
        <v>30</v>
      </c>
      <c r="CP276" s="632" t="s">
        <v>500</v>
      </c>
      <c r="CQ276" s="632" t="s">
        <v>1050</v>
      </c>
      <c r="CR276" s="710">
        <v>12875</v>
      </c>
      <c r="CS276" s="632" t="s">
        <v>500</v>
      </c>
      <c r="CT276" s="632" t="s">
        <v>1051</v>
      </c>
      <c r="CU276" s="710">
        <f>168636+33190+13142</f>
        <v>214968</v>
      </c>
      <c r="CV276" s="710" t="s">
        <v>504</v>
      </c>
      <c r="CW276" s="710" t="s">
        <v>465</v>
      </c>
      <c r="CX276" s="710" t="s">
        <v>465</v>
      </c>
      <c r="CY276" s="710" t="s">
        <v>500</v>
      </c>
      <c r="CZ276" s="710" t="s">
        <v>1052</v>
      </c>
      <c r="DA276" s="710">
        <v>13106</v>
      </c>
      <c r="DB276" s="632" t="s">
        <v>500</v>
      </c>
      <c r="DC276" s="632" t="s">
        <v>1053</v>
      </c>
      <c r="DD276" s="710">
        <v>3148</v>
      </c>
      <c r="DE276" s="632" t="s">
        <v>504</v>
      </c>
      <c r="DF276" s="632"/>
      <c r="DG276" s="710"/>
      <c r="DH276" s="632" t="s">
        <v>504</v>
      </c>
      <c r="DI276" s="632"/>
      <c r="DJ276" s="710"/>
      <c r="DK276" s="632" t="s">
        <v>504</v>
      </c>
      <c r="DL276" s="632"/>
      <c r="DM276" s="710"/>
      <c r="DN276" s="632" t="s">
        <v>504</v>
      </c>
      <c r="DO276" s="632"/>
      <c r="DP276" s="710"/>
      <c r="DQ276" s="632" t="s">
        <v>500</v>
      </c>
      <c r="DR276" s="632" t="s">
        <v>1054</v>
      </c>
      <c r="DS276" s="710">
        <v>82981</v>
      </c>
      <c r="DT276" s="710" t="s">
        <v>504</v>
      </c>
      <c r="DU276" s="710"/>
      <c r="DV276" s="710"/>
      <c r="DW276" s="632" t="s">
        <v>504</v>
      </c>
      <c r="DX276" s="632"/>
      <c r="DY276" s="710"/>
      <c r="DZ276" s="632" t="s">
        <v>504</v>
      </c>
      <c r="EA276" s="632"/>
      <c r="EB276" s="710"/>
      <c r="EC276" s="632" t="s">
        <v>500</v>
      </c>
      <c r="ED276" s="632" t="s">
        <v>1059</v>
      </c>
      <c r="EE276" s="710">
        <v>24</v>
      </c>
      <c r="EF276" s="710" t="s">
        <v>500</v>
      </c>
      <c r="EG276" s="710" t="s">
        <v>1055</v>
      </c>
      <c r="EH276" s="710">
        <v>15</v>
      </c>
      <c r="EI276" s="632" t="s">
        <v>504</v>
      </c>
      <c r="EJ276" s="632"/>
      <c r="EK276" s="632"/>
      <c r="EL276" s="688">
        <v>1</v>
      </c>
      <c r="EM276" s="688"/>
      <c r="EN276" s="670">
        <v>302</v>
      </c>
      <c r="EO276" s="632" t="s">
        <v>504</v>
      </c>
      <c r="EP276" s="632" t="s">
        <v>465</v>
      </c>
      <c r="EQ276" s="653" t="s">
        <v>1060</v>
      </c>
      <c r="ER276" s="632" t="s">
        <v>465</v>
      </c>
      <c r="ES276" s="632" t="s">
        <v>465</v>
      </c>
      <c r="ET276" s="632" t="s">
        <v>1056</v>
      </c>
      <c r="EU276" s="632" t="s">
        <v>465</v>
      </c>
      <c r="EV276" s="738" t="s">
        <v>2573</v>
      </c>
      <c r="EW276" s="738">
        <v>37</v>
      </c>
      <c r="EX276" s="738">
        <v>2040</v>
      </c>
    </row>
    <row r="277" spans="3:154" ht="51.95" customHeight="1" x14ac:dyDescent="0.2">
      <c r="C277" s="1156" t="s">
        <v>693</v>
      </c>
      <c r="D277" s="1156" t="s">
        <v>5278</v>
      </c>
      <c r="E277" s="1104" t="s">
        <v>368</v>
      </c>
      <c r="F277" s="1104" t="s">
        <v>453</v>
      </c>
      <c r="G277" s="1104" t="s">
        <v>4378</v>
      </c>
      <c r="H277" s="1104" t="s">
        <v>4379</v>
      </c>
      <c r="I277" s="1104" t="s">
        <v>4379</v>
      </c>
      <c r="J277" s="1122" t="s">
        <v>3908</v>
      </c>
      <c r="K277" s="1105">
        <v>43892</v>
      </c>
      <c r="L277" s="1105">
        <v>44196</v>
      </c>
      <c r="M277" s="1369">
        <f t="shared" si="39"/>
        <v>304</v>
      </c>
      <c r="N277" s="1362"/>
      <c r="O277" s="1362"/>
      <c r="P277" s="1362"/>
      <c r="Q277" s="1362"/>
      <c r="R277" s="1362"/>
      <c r="S277" s="1362"/>
      <c r="T277" s="1362"/>
      <c r="U277" s="1362"/>
      <c r="V277" s="1362"/>
      <c r="W277" s="1362"/>
      <c r="X277" s="1362"/>
      <c r="Y277" s="1104" t="s">
        <v>4380</v>
      </c>
      <c r="Z277" s="1333" t="s">
        <v>4381</v>
      </c>
      <c r="AA277" s="1104" t="s">
        <v>4382</v>
      </c>
      <c r="AB277" s="1104" t="s">
        <v>4383</v>
      </c>
      <c r="AC277" s="1104" t="s">
        <v>4368</v>
      </c>
      <c r="AD277" s="1104" t="s">
        <v>4384</v>
      </c>
      <c r="AE277" s="1112">
        <v>5.524</v>
      </c>
      <c r="AF277" s="1113">
        <f t="shared" si="34"/>
        <v>5.524</v>
      </c>
      <c r="AG277" s="1113">
        <f t="shared" si="35"/>
        <v>0</v>
      </c>
      <c r="AH277" s="1112"/>
      <c r="AI277" s="1113"/>
      <c r="AJ277" s="1113"/>
      <c r="AK277" s="1112">
        <v>4.49</v>
      </c>
      <c r="AL277" s="1114">
        <f>AK277/AE277</f>
        <v>0.81281679942070961</v>
      </c>
      <c r="AM277" s="1114">
        <v>4.0000000000000002E-4</v>
      </c>
      <c r="AN277" s="1112">
        <v>1.034</v>
      </c>
      <c r="AO277" s="1114">
        <f>AN277/AE277</f>
        <v>0.18718320057929039</v>
      </c>
      <c r="AP277" s="1112">
        <v>0</v>
      </c>
      <c r="AQ277" s="1114"/>
      <c r="AR277" s="1112"/>
      <c r="AS277" s="1114"/>
      <c r="AT277" s="1114"/>
      <c r="AU277" s="1114"/>
      <c r="AV277" s="1114"/>
      <c r="AW277" s="1114" t="s">
        <v>504</v>
      </c>
      <c r="AX277" s="1114"/>
      <c r="AY277" s="1114"/>
      <c r="AZ277" s="1114"/>
      <c r="BA277" s="1113">
        <v>5</v>
      </c>
      <c r="BB277" s="1114">
        <f>BA277/15225.434</f>
        <v>3.2839786373248871E-4</v>
      </c>
      <c r="BC277" s="1115">
        <v>23</v>
      </c>
      <c r="BD277" s="1115">
        <v>23</v>
      </c>
      <c r="BE277" s="1116">
        <v>23</v>
      </c>
      <c r="BF277" s="1115"/>
      <c r="BG277" s="1115">
        <v>23</v>
      </c>
      <c r="BH277" s="1115"/>
      <c r="BI277" s="1115"/>
      <c r="BJ277" s="1115"/>
      <c r="BK277" s="1115"/>
      <c r="BL277" s="1115"/>
      <c r="BM277" s="1115"/>
      <c r="BN277" s="1115"/>
      <c r="BO277" s="1115"/>
      <c r="BP277" s="1115"/>
      <c r="BQ277" s="1115"/>
      <c r="BR277" s="1115"/>
      <c r="BS277" s="1115"/>
      <c r="BT277" s="1115"/>
      <c r="BU277" s="1115"/>
      <c r="BV277" s="1115"/>
      <c r="BW277" s="1115"/>
      <c r="BX277" s="1115"/>
      <c r="BY277" s="1115"/>
      <c r="BZ277" s="1115"/>
      <c r="CA277" s="1117">
        <f>SUM(BF277:BZ277)</f>
        <v>23</v>
      </c>
      <c r="CB277" s="1117">
        <f t="shared" si="37"/>
        <v>23</v>
      </c>
      <c r="CC277" s="1117">
        <f t="shared" si="38"/>
        <v>0</v>
      </c>
      <c r="CD277" s="1113">
        <v>2.1720000000000002</v>
      </c>
      <c r="CE277" s="1109"/>
      <c r="CF277" s="1109"/>
      <c r="CG277" s="1205">
        <f>CD277/CH277*100</f>
        <v>0.42751108635448387</v>
      </c>
      <c r="CH277" s="1138">
        <v>508.05700000000002</v>
      </c>
      <c r="CI277" s="1139" t="s">
        <v>1049</v>
      </c>
      <c r="CJ277" s="1109" t="s">
        <v>504</v>
      </c>
      <c r="CK277" s="1109"/>
      <c r="CL277" s="1109"/>
      <c r="CM277" s="1115"/>
      <c r="CN277" s="1115"/>
      <c r="CO277" s="1115"/>
      <c r="CP277" s="1109" t="s">
        <v>500</v>
      </c>
      <c r="CQ277" s="1109" t="s">
        <v>655</v>
      </c>
      <c r="CR277" s="1115">
        <v>40</v>
      </c>
      <c r="CS277" s="1109" t="s">
        <v>500</v>
      </c>
      <c r="CT277" s="1109" t="s">
        <v>4385</v>
      </c>
      <c r="CU277" s="1115">
        <v>40</v>
      </c>
      <c r="CV277" s="1115" t="s">
        <v>504</v>
      </c>
      <c r="CW277" s="1115"/>
      <c r="CX277" s="1115"/>
      <c r="CY277" s="1115" t="s">
        <v>504</v>
      </c>
      <c r="CZ277" s="1115"/>
      <c r="DA277" s="1115"/>
      <c r="DB277" s="1109" t="s">
        <v>504</v>
      </c>
      <c r="DC277" s="1109"/>
      <c r="DD277" s="1115"/>
      <c r="DE277" s="1109" t="s">
        <v>504</v>
      </c>
      <c r="DF277" s="1109"/>
      <c r="DG277" s="1115"/>
      <c r="DH277" s="1109" t="s">
        <v>504</v>
      </c>
      <c r="DI277" s="1109"/>
      <c r="DJ277" s="1115"/>
      <c r="DK277" s="1109" t="s">
        <v>504</v>
      </c>
      <c r="DL277" s="1109"/>
      <c r="DM277" s="1115"/>
      <c r="DN277" s="1109" t="s">
        <v>504</v>
      </c>
      <c r="DO277" s="1109"/>
      <c r="DP277" s="1115"/>
      <c r="DQ277" s="1109" t="s">
        <v>504</v>
      </c>
      <c r="DR277" s="1109"/>
      <c r="DS277" s="1115"/>
      <c r="DT277" s="1115" t="s">
        <v>504</v>
      </c>
      <c r="DU277" s="1115"/>
      <c r="DV277" s="1115"/>
      <c r="DW277" s="1109" t="s">
        <v>504</v>
      </c>
      <c r="DX277" s="1109"/>
      <c r="DY277" s="1115"/>
      <c r="DZ277" s="1109" t="s">
        <v>504</v>
      </c>
      <c r="EA277" s="1109"/>
      <c r="EB277" s="1115"/>
      <c r="EC277" s="1104" t="s">
        <v>656</v>
      </c>
      <c r="ED277" s="1104" t="s">
        <v>2836</v>
      </c>
      <c r="EE277" s="1130">
        <v>10</v>
      </c>
      <c r="EF277" s="1115" t="s">
        <v>504</v>
      </c>
      <c r="EG277" s="1115"/>
      <c r="EH277" s="1115"/>
      <c r="EI277" s="1109" t="s">
        <v>504</v>
      </c>
      <c r="EJ277" s="1109"/>
      <c r="EK277" s="1115"/>
      <c r="EL277" s="1115"/>
      <c r="EM277" s="1115"/>
      <c r="EN277" s="1115"/>
      <c r="EO277" s="1109" t="s">
        <v>504</v>
      </c>
      <c r="EP277" s="1109"/>
      <c r="EQ277" s="1127" t="s">
        <v>4386</v>
      </c>
      <c r="ER277" s="1109" t="s">
        <v>504</v>
      </c>
      <c r="ES277" s="1109" t="s">
        <v>504</v>
      </c>
      <c r="ET277" s="1109" t="s">
        <v>4387</v>
      </c>
      <c r="EU277" s="1109" t="s">
        <v>504</v>
      </c>
      <c r="EV277" s="1109" t="s">
        <v>4388</v>
      </c>
      <c r="EW277" s="1109"/>
      <c r="EX277" s="1109"/>
    </row>
    <row r="278" spans="3:154" ht="50.1" customHeight="1" x14ac:dyDescent="0.2">
      <c r="C278" s="1156" t="s">
        <v>693</v>
      </c>
      <c r="D278" s="1156" t="s">
        <v>5277</v>
      </c>
      <c r="E278" s="738" t="s">
        <v>369</v>
      </c>
      <c r="F278" s="738" t="s">
        <v>454</v>
      </c>
      <c r="G278" s="738"/>
      <c r="H278" s="632" t="s">
        <v>1117</v>
      </c>
      <c r="I278" s="632" t="s">
        <v>1117</v>
      </c>
      <c r="J278" s="637">
        <v>2019</v>
      </c>
      <c r="K278" s="377">
        <v>43862</v>
      </c>
      <c r="L278" s="377">
        <v>44196</v>
      </c>
      <c r="M278" s="1369">
        <f t="shared" si="39"/>
        <v>334</v>
      </c>
      <c r="N278" s="632" t="s">
        <v>1120</v>
      </c>
      <c r="O278" s="632" t="s">
        <v>1121</v>
      </c>
      <c r="P278" s="632" t="s">
        <v>1122</v>
      </c>
      <c r="Q278" s="632" t="s">
        <v>465</v>
      </c>
      <c r="R278" s="632" t="s">
        <v>465</v>
      </c>
      <c r="S278" s="632" t="s">
        <v>465</v>
      </c>
      <c r="T278" s="632" t="s">
        <v>465</v>
      </c>
      <c r="U278" s="632" t="s">
        <v>1123</v>
      </c>
      <c r="V278" s="632" t="s">
        <v>1122</v>
      </c>
      <c r="W278" s="632" t="s">
        <v>1124</v>
      </c>
      <c r="X278" s="632" t="s">
        <v>1125</v>
      </c>
      <c r="Y278" s="632"/>
      <c r="Z278" s="632"/>
      <c r="AA278" s="632" t="s">
        <v>1126</v>
      </c>
      <c r="AB278" s="632" t="s">
        <v>1126</v>
      </c>
      <c r="AC278" s="632" t="s">
        <v>622</v>
      </c>
      <c r="AD278" s="632" t="s">
        <v>1127</v>
      </c>
      <c r="AE278" s="702">
        <v>44.54</v>
      </c>
      <c r="AF278" s="671">
        <f t="shared" si="34"/>
        <v>44.54</v>
      </c>
      <c r="AG278" s="671">
        <f t="shared" si="35"/>
        <v>0</v>
      </c>
      <c r="AH278" s="702">
        <v>36.4</v>
      </c>
      <c r="AI278" s="683">
        <v>0.82</v>
      </c>
      <c r="AJ278" s="683">
        <v>8.0000000000000004E-4</v>
      </c>
      <c r="AK278" s="702">
        <v>8.1</v>
      </c>
      <c r="AL278" s="683">
        <v>0.18</v>
      </c>
      <c r="AM278" s="683"/>
      <c r="AN278" s="702">
        <v>0.04</v>
      </c>
      <c r="AO278" s="683">
        <v>8.9999999999999998E-4</v>
      </c>
      <c r="AP278" s="702"/>
      <c r="AQ278" s="683" t="s">
        <v>465</v>
      </c>
      <c r="AR278" s="702"/>
      <c r="AS278" s="683" t="s">
        <v>465</v>
      </c>
      <c r="AT278" s="632" t="s">
        <v>465</v>
      </c>
      <c r="AU278" s="632" t="s">
        <v>465</v>
      </c>
      <c r="AV278" s="632" t="s">
        <v>465</v>
      </c>
      <c r="AW278" s="632" t="s">
        <v>500</v>
      </c>
      <c r="AX278" s="632" t="s">
        <v>1128</v>
      </c>
      <c r="AY278" s="632"/>
      <c r="AZ278" s="632" t="s">
        <v>465</v>
      </c>
      <c r="BA278" s="706">
        <v>50</v>
      </c>
      <c r="BB278" s="683">
        <v>8.0000000000000004E-4</v>
      </c>
      <c r="BC278" s="710">
        <v>21</v>
      </c>
      <c r="BD278" s="710">
        <v>21</v>
      </c>
      <c r="BE278" s="706">
        <v>18</v>
      </c>
      <c r="BF278" s="710" t="s">
        <v>465</v>
      </c>
      <c r="BG278" s="710">
        <v>3</v>
      </c>
      <c r="BH278" s="710">
        <v>1</v>
      </c>
      <c r="BI278" s="710" t="s">
        <v>465</v>
      </c>
      <c r="BJ278" s="710" t="s">
        <v>465</v>
      </c>
      <c r="BK278" s="710">
        <v>3</v>
      </c>
      <c r="BL278" s="710" t="s">
        <v>465</v>
      </c>
      <c r="BM278" s="710">
        <v>1</v>
      </c>
      <c r="BN278" s="710">
        <v>5</v>
      </c>
      <c r="BO278" s="710" t="s">
        <v>465</v>
      </c>
      <c r="BP278" s="710">
        <v>3</v>
      </c>
      <c r="BQ278" s="710">
        <v>2</v>
      </c>
      <c r="BR278" s="710" t="s">
        <v>465</v>
      </c>
      <c r="BS278" s="710">
        <v>2</v>
      </c>
      <c r="BT278" s="710" t="s">
        <v>465</v>
      </c>
      <c r="BU278" s="710" t="s">
        <v>465</v>
      </c>
      <c r="BV278" s="710" t="s">
        <v>465</v>
      </c>
      <c r="BW278" s="710" t="s">
        <v>465</v>
      </c>
      <c r="BX278" s="710" t="s">
        <v>465</v>
      </c>
      <c r="BY278" s="710" t="s">
        <v>465</v>
      </c>
      <c r="BZ278" s="710" t="s">
        <v>465</v>
      </c>
      <c r="CA278" s="717">
        <f>SUM(BF278:BZ278)</f>
        <v>20</v>
      </c>
      <c r="CB278" s="717">
        <f t="shared" si="37"/>
        <v>20</v>
      </c>
      <c r="CC278" s="717">
        <f t="shared" si="38"/>
        <v>0</v>
      </c>
      <c r="CD278" s="700">
        <v>21.837</v>
      </c>
      <c r="CE278" s="632" t="s">
        <v>1129</v>
      </c>
      <c r="CF278" s="632" t="s">
        <v>465</v>
      </c>
      <c r="CG278" s="683">
        <v>0.443</v>
      </c>
      <c r="CH278" s="700">
        <v>49.3</v>
      </c>
      <c r="CI278" s="683" t="s">
        <v>1130</v>
      </c>
      <c r="CJ278" s="632" t="s">
        <v>504</v>
      </c>
      <c r="CK278" s="632" t="s">
        <v>465</v>
      </c>
      <c r="CL278" s="632" t="s">
        <v>465</v>
      </c>
      <c r="CM278" s="710" t="s">
        <v>465</v>
      </c>
      <c r="CN278" s="710" t="s">
        <v>465</v>
      </c>
      <c r="CO278" s="710" t="s">
        <v>465</v>
      </c>
      <c r="CP278" s="632" t="s">
        <v>500</v>
      </c>
      <c r="CQ278" s="632" t="s">
        <v>1131</v>
      </c>
      <c r="CR278" s="710">
        <v>155</v>
      </c>
      <c r="CS278" s="632" t="s">
        <v>500</v>
      </c>
      <c r="CT278" s="632" t="s">
        <v>581</v>
      </c>
      <c r="CU278" s="710">
        <v>270</v>
      </c>
      <c r="CV278" s="710" t="s">
        <v>504</v>
      </c>
      <c r="CW278" s="710" t="s">
        <v>465</v>
      </c>
      <c r="CX278" s="710" t="s">
        <v>465</v>
      </c>
      <c r="CY278" s="710" t="s">
        <v>504</v>
      </c>
      <c r="CZ278" s="710" t="s">
        <v>465</v>
      </c>
      <c r="DA278" s="710" t="s">
        <v>465</v>
      </c>
      <c r="DB278" s="632" t="s">
        <v>504</v>
      </c>
      <c r="DC278" s="632" t="s">
        <v>465</v>
      </c>
      <c r="DD278" s="710" t="s">
        <v>465</v>
      </c>
      <c r="DE278" s="632" t="s">
        <v>500</v>
      </c>
      <c r="DF278" s="632" t="s">
        <v>1132</v>
      </c>
      <c r="DG278" s="710">
        <v>36</v>
      </c>
      <c r="DH278" s="632" t="s">
        <v>504</v>
      </c>
      <c r="DI278" s="632" t="s">
        <v>465</v>
      </c>
      <c r="DJ278" s="710" t="s">
        <v>465</v>
      </c>
      <c r="DK278" s="632" t="s">
        <v>465</v>
      </c>
      <c r="DL278" s="632" t="s">
        <v>465</v>
      </c>
      <c r="DM278" s="710" t="s">
        <v>465</v>
      </c>
      <c r="DN278" s="632" t="s">
        <v>500</v>
      </c>
      <c r="DO278" s="632" t="s">
        <v>1132</v>
      </c>
      <c r="DP278" s="710">
        <v>89</v>
      </c>
      <c r="DQ278" s="632" t="s">
        <v>500</v>
      </c>
      <c r="DR278" s="632" t="s">
        <v>581</v>
      </c>
      <c r="DS278" s="710">
        <v>143</v>
      </c>
      <c r="DT278" s="710" t="s">
        <v>504</v>
      </c>
      <c r="DU278" s="710" t="s">
        <v>465</v>
      </c>
      <c r="DV278" s="710" t="s">
        <v>465</v>
      </c>
      <c r="DW278" s="632" t="s">
        <v>504</v>
      </c>
      <c r="DX278" s="632" t="s">
        <v>465</v>
      </c>
      <c r="DY278" s="710" t="s">
        <v>465</v>
      </c>
      <c r="DZ278" s="632" t="s">
        <v>504</v>
      </c>
      <c r="EA278" s="632" t="s">
        <v>465</v>
      </c>
      <c r="EB278" s="710" t="s">
        <v>465</v>
      </c>
      <c r="EC278" s="632" t="s">
        <v>500</v>
      </c>
      <c r="ED278" s="632" t="s">
        <v>1133</v>
      </c>
      <c r="EE278" s="710">
        <f>9+8+9+8</f>
        <v>34</v>
      </c>
      <c r="EF278" s="710" t="s">
        <v>504</v>
      </c>
      <c r="EG278" s="710" t="s">
        <v>465</v>
      </c>
      <c r="EH278" s="710" t="s">
        <v>465</v>
      </c>
      <c r="EI278" s="632" t="s">
        <v>504</v>
      </c>
      <c r="EJ278" s="632" t="s">
        <v>465</v>
      </c>
      <c r="EK278" s="710" t="s">
        <v>465</v>
      </c>
      <c r="EL278" s="688">
        <v>1</v>
      </c>
      <c r="EM278" s="632" t="s">
        <v>465</v>
      </c>
      <c r="EN278" s="710">
        <v>15</v>
      </c>
      <c r="EO278" s="632" t="s">
        <v>504</v>
      </c>
      <c r="EP278" s="632" t="s">
        <v>465</v>
      </c>
      <c r="EQ278" s="632" t="s">
        <v>1125</v>
      </c>
      <c r="ER278" s="632" t="s">
        <v>1125</v>
      </c>
      <c r="ES278" s="632" t="s">
        <v>1125</v>
      </c>
      <c r="ET278" s="632" t="s">
        <v>1134</v>
      </c>
      <c r="EU278" s="632" t="s">
        <v>465</v>
      </c>
      <c r="EV278" s="632" t="s">
        <v>1135</v>
      </c>
      <c r="EW278" s="632" t="s">
        <v>465</v>
      </c>
      <c r="EX278" s="632" t="s">
        <v>465</v>
      </c>
    </row>
    <row r="279" spans="3:154" ht="50.1" customHeight="1" x14ac:dyDescent="0.2">
      <c r="C279" s="1156" t="s">
        <v>693</v>
      </c>
      <c r="D279" s="1156" t="s">
        <v>5278</v>
      </c>
      <c r="E279" s="1104" t="s">
        <v>369</v>
      </c>
      <c r="F279" s="1104" t="s">
        <v>454</v>
      </c>
      <c r="G279" s="1109" t="s">
        <v>4389</v>
      </c>
      <c r="H279" s="1109" t="s">
        <v>4390</v>
      </c>
      <c r="I279" s="1109" t="s">
        <v>3082</v>
      </c>
      <c r="J279" s="1110">
        <v>2018</v>
      </c>
      <c r="K279" s="1105">
        <v>43831</v>
      </c>
      <c r="L279" s="1105">
        <v>43983</v>
      </c>
      <c r="M279" s="1369">
        <f t="shared" si="39"/>
        <v>152</v>
      </c>
      <c r="N279" s="1105"/>
      <c r="O279" s="1105"/>
      <c r="P279" s="1105"/>
      <c r="Q279" s="1105"/>
      <c r="R279" s="1105"/>
      <c r="S279" s="1105"/>
      <c r="T279" s="1105"/>
      <c r="U279" s="1105"/>
      <c r="V279" s="1105"/>
      <c r="W279" s="1105"/>
      <c r="X279" s="1105"/>
      <c r="Y279" s="1109" t="s">
        <v>4392</v>
      </c>
      <c r="Z279" s="1127" t="s">
        <v>4393</v>
      </c>
      <c r="AA279" s="1109" t="s">
        <v>4394</v>
      </c>
      <c r="AB279" s="1109" t="s">
        <v>4394</v>
      </c>
      <c r="AC279" s="1109" t="s">
        <v>469</v>
      </c>
      <c r="AD279" s="1109" t="s">
        <v>4395</v>
      </c>
      <c r="AE279" s="1112">
        <v>0.625</v>
      </c>
      <c r="AF279" s="1113">
        <f t="shared" si="34"/>
        <v>0.625</v>
      </c>
      <c r="AG279" s="1113">
        <f t="shared" si="35"/>
        <v>0</v>
      </c>
      <c r="AH279" s="1112"/>
      <c r="AI279" s="1205"/>
      <c r="AJ279" s="1205"/>
      <c r="AK279" s="1112">
        <v>0.5</v>
      </c>
      <c r="AL279" s="1114">
        <v>0.8</v>
      </c>
      <c r="AM279" s="1114">
        <v>2.0000000000000001E-4</v>
      </c>
      <c r="AN279" s="1112">
        <v>0.125</v>
      </c>
      <c r="AO279" s="1114">
        <v>0.2</v>
      </c>
      <c r="AP279" s="1112"/>
      <c r="AQ279" s="1114"/>
      <c r="AR279" s="1112"/>
      <c r="AS279" s="1114"/>
      <c r="AT279" s="1114"/>
      <c r="AU279" s="1114"/>
      <c r="AV279" s="1114"/>
      <c r="AW279" s="1114" t="s">
        <v>504</v>
      </c>
      <c r="AX279" s="1114"/>
      <c r="AY279" s="1114"/>
      <c r="AZ279" s="1114"/>
      <c r="BA279" s="1113" t="s">
        <v>4396</v>
      </c>
      <c r="BB279" s="1114">
        <v>2.3300000000000001E-2</v>
      </c>
      <c r="BC279" s="1115"/>
      <c r="BD279" s="1115"/>
      <c r="BE279" s="1116"/>
      <c r="BF279" s="1115"/>
      <c r="BG279" s="1115"/>
      <c r="BH279" s="1115"/>
      <c r="BI279" s="1115"/>
      <c r="BJ279" s="1115"/>
      <c r="BK279" s="1115"/>
      <c r="BL279" s="1115"/>
      <c r="BM279" s="1115"/>
      <c r="BN279" s="1115"/>
      <c r="BO279" s="1115"/>
      <c r="BP279" s="1115"/>
      <c r="BQ279" s="1115">
        <v>1</v>
      </c>
      <c r="BR279" s="1115"/>
      <c r="BS279" s="1115">
        <v>1</v>
      </c>
      <c r="BT279" s="1115"/>
      <c r="BU279" s="1115"/>
      <c r="BV279" s="1115"/>
      <c r="BW279" s="1115"/>
      <c r="BX279" s="1115"/>
      <c r="BY279" s="1115"/>
      <c r="BZ279" s="1115"/>
      <c r="CA279" s="1117">
        <f>SUM(BF279:BZ279)</f>
        <v>2</v>
      </c>
      <c r="CB279" s="1117">
        <f t="shared" si="37"/>
        <v>2</v>
      </c>
      <c r="CC279" s="1117">
        <f t="shared" si="38"/>
        <v>0</v>
      </c>
      <c r="CD279" s="1205">
        <v>5</v>
      </c>
      <c r="CE279" s="1109" t="s">
        <v>4397</v>
      </c>
      <c r="CF279" s="1109"/>
      <c r="CG279" s="1116">
        <v>90.5</v>
      </c>
      <c r="CH279" s="1205">
        <v>5.5</v>
      </c>
      <c r="CI279" s="1114"/>
      <c r="CJ279" s="1109" t="s">
        <v>504</v>
      </c>
      <c r="CK279" s="1109"/>
      <c r="CL279" s="1109"/>
      <c r="CM279" s="1115"/>
      <c r="CN279" s="1115"/>
      <c r="CO279" s="1115"/>
      <c r="CP279" s="1109" t="s">
        <v>500</v>
      </c>
      <c r="CQ279" s="1109" t="s">
        <v>4398</v>
      </c>
      <c r="CR279" s="1115">
        <v>2021</v>
      </c>
      <c r="CS279" s="1109" t="s">
        <v>500</v>
      </c>
      <c r="CT279" s="1109" t="s">
        <v>4399</v>
      </c>
      <c r="CU279" s="1115">
        <v>500</v>
      </c>
      <c r="CV279" s="1115" t="s">
        <v>504</v>
      </c>
      <c r="CW279" s="1115"/>
      <c r="CX279" s="1115"/>
      <c r="CY279" s="1115" t="s">
        <v>504</v>
      </c>
      <c r="CZ279" s="1115"/>
      <c r="DA279" s="1115"/>
      <c r="DB279" s="1109" t="s">
        <v>500</v>
      </c>
      <c r="DC279" s="1109" t="s">
        <v>4400</v>
      </c>
      <c r="DD279" s="1115">
        <v>1007</v>
      </c>
      <c r="DE279" s="1109" t="s">
        <v>504</v>
      </c>
      <c r="DF279" s="1109"/>
      <c r="DG279" s="1115"/>
      <c r="DH279" s="1109" t="s">
        <v>504</v>
      </c>
      <c r="DI279" s="1109"/>
      <c r="DJ279" s="1115"/>
      <c r="DK279" s="1109" t="s">
        <v>500</v>
      </c>
      <c r="DL279" s="1109" t="s">
        <v>4401</v>
      </c>
      <c r="DM279" s="1115">
        <v>3</v>
      </c>
      <c r="DN279" s="1109" t="s">
        <v>500</v>
      </c>
      <c r="DO279" s="1109" t="s">
        <v>4402</v>
      </c>
      <c r="DP279" s="1115">
        <v>1014</v>
      </c>
      <c r="DQ279" s="1109" t="s">
        <v>504</v>
      </c>
      <c r="DR279" s="1109"/>
      <c r="DS279" s="1115"/>
      <c r="DT279" s="1115" t="s">
        <v>504</v>
      </c>
      <c r="DU279" s="1115"/>
      <c r="DV279" s="1115"/>
      <c r="DW279" s="1109" t="s">
        <v>504</v>
      </c>
      <c r="DX279" s="1109"/>
      <c r="DY279" s="1115"/>
      <c r="DZ279" s="1109" t="s">
        <v>504</v>
      </c>
      <c r="EA279" s="1109"/>
      <c r="EB279" s="1115"/>
      <c r="EC279" s="1109" t="s">
        <v>504</v>
      </c>
      <c r="ED279" s="1109"/>
      <c r="EE279" s="1115"/>
      <c r="EF279" s="1115" t="s">
        <v>500</v>
      </c>
      <c r="EG279" s="1115" t="s">
        <v>4403</v>
      </c>
      <c r="EH279" s="1115">
        <v>10</v>
      </c>
      <c r="EI279" s="1109" t="s">
        <v>504</v>
      </c>
      <c r="EJ279" s="1109" t="s">
        <v>465</v>
      </c>
      <c r="EK279" s="1115" t="s">
        <v>465</v>
      </c>
      <c r="EL279" s="1115"/>
      <c r="EM279" s="1115"/>
      <c r="EN279" s="1115"/>
      <c r="EO279" s="1109" t="s">
        <v>504</v>
      </c>
      <c r="EP279" s="1109"/>
      <c r="EQ279" s="1109" t="s">
        <v>4404</v>
      </c>
      <c r="ER279" s="1109" t="s">
        <v>465</v>
      </c>
      <c r="ES279" s="1109" t="s">
        <v>465</v>
      </c>
      <c r="ET279" s="1109" t="s">
        <v>4405</v>
      </c>
      <c r="EU279" s="1109" t="s">
        <v>4406</v>
      </c>
      <c r="EV279" s="1109" t="s">
        <v>4407</v>
      </c>
      <c r="EW279" s="1109" t="s">
        <v>465</v>
      </c>
      <c r="EX279" s="1109" t="s">
        <v>465</v>
      </c>
    </row>
    <row r="280" spans="3:154" x14ac:dyDescent="0.2">
      <c r="C280" s="1156"/>
      <c r="D280" s="1156"/>
      <c r="E280" s="1454" t="s">
        <v>370</v>
      </c>
      <c r="F280" s="1454" t="s">
        <v>455</v>
      </c>
      <c r="G280" s="1454"/>
      <c r="H280" s="1454"/>
      <c r="I280" s="1454"/>
      <c r="J280" s="1465"/>
      <c r="K280" s="1466"/>
      <c r="L280" s="1466"/>
      <c r="M280" s="1369">
        <f t="shared" si="39"/>
        <v>0</v>
      </c>
      <c r="N280" s="1454"/>
      <c r="O280" s="1454"/>
      <c r="P280" s="1467"/>
      <c r="Q280" s="1468"/>
      <c r="R280" s="1468"/>
      <c r="S280" s="1468"/>
      <c r="T280" s="1468"/>
      <c r="U280" s="1468"/>
      <c r="V280" s="1468"/>
      <c r="W280" s="1468"/>
      <c r="X280" s="1468"/>
      <c r="Y280" s="1468"/>
      <c r="Z280" s="1468"/>
      <c r="AA280" s="1454"/>
      <c r="AB280" s="1454"/>
      <c r="AC280" s="1454"/>
      <c r="AD280" s="1454"/>
      <c r="AE280" s="1469"/>
      <c r="AF280" s="1462">
        <f t="shared" si="34"/>
        <v>0</v>
      </c>
      <c r="AG280" s="1462">
        <f t="shared" si="35"/>
        <v>0</v>
      </c>
      <c r="AH280" s="1469"/>
      <c r="AI280" s="1470"/>
      <c r="AJ280" s="1470"/>
      <c r="AK280" s="1469"/>
      <c r="AL280" s="1470"/>
      <c r="AM280" s="1470"/>
      <c r="AN280" s="1469"/>
      <c r="AO280" s="1470"/>
      <c r="AP280" s="1469"/>
      <c r="AQ280" s="1470"/>
      <c r="AR280" s="1469"/>
      <c r="AS280" s="1470"/>
      <c r="AT280" s="1468"/>
      <c r="AU280" s="1468"/>
      <c r="AV280" s="1468"/>
      <c r="AW280" s="1468"/>
      <c r="AX280" s="1468"/>
      <c r="AY280" s="1468"/>
      <c r="AZ280" s="1470"/>
      <c r="BA280" s="1470"/>
      <c r="BB280" s="1470"/>
      <c r="BC280" s="1471"/>
      <c r="BD280" s="1471"/>
      <c r="BE280" s="1472"/>
      <c r="BF280" s="1471"/>
      <c r="BG280" s="1471"/>
      <c r="BH280" s="1471"/>
      <c r="BI280" s="1471"/>
      <c r="BJ280" s="1471"/>
      <c r="BK280" s="1471"/>
      <c r="BL280" s="1471"/>
      <c r="BM280" s="1471"/>
      <c r="BN280" s="1471"/>
      <c r="BO280" s="1471"/>
      <c r="BP280" s="1471"/>
      <c r="BQ280" s="1471"/>
      <c r="BR280" s="1471"/>
      <c r="BS280" s="1471"/>
      <c r="BT280" s="1471"/>
      <c r="BU280" s="1471"/>
      <c r="BV280" s="1471"/>
      <c r="BW280" s="1471"/>
      <c r="BX280" s="1471"/>
      <c r="BY280" s="1471"/>
      <c r="BZ280" s="1471"/>
      <c r="CA280" s="1464"/>
      <c r="CB280" s="1464">
        <f t="shared" si="37"/>
        <v>0</v>
      </c>
      <c r="CC280" s="1464">
        <f t="shared" si="38"/>
        <v>0</v>
      </c>
      <c r="CD280" s="1462"/>
      <c r="CE280" s="1468"/>
      <c r="CF280" s="1468"/>
      <c r="CG280" s="1470"/>
      <c r="CH280" s="1462"/>
      <c r="CI280" s="1470"/>
      <c r="CJ280" s="1468"/>
      <c r="CK280" s="1468"/>
      <c r="CL280" s="1468"/>
      <c r="CM280" s="1471"/>
      <c r="CN280" s="1471"/>
      <c r="CO280" s="1471"/>
      <c r="CP280" s="1468"/>
      <c r="CQ280" s="1468"/>
      <c r="CR280" s="1471"/>
      <c r="CS280" s="1468"/>
      <c r="CT280" s="1468"/>
      <c r="CU280" s="1471"/>
      <c r="CV280" s="1471"/>
      <c r="CW280" s="1471"/>
      <c r="CX280" s="1471"/>
      <c r="CY280" s="1471"/>
      <c r="CZ280" s="1471"/>
      <c r="DA280" s="1471"/>
      <c r="DB280" s="1468"/>
      <c r="DC280" s="1468"/>
      <c r="DD280" s="1471"/>
      <c r="DE280" s="1468"/>
      <c r="DF280" s="1468"/>
      <c r="DG280" s="1471"/>
      <c r="DH280" s="1468"/>
      <c r="DI280" s="1468"/>
      <c r="DJ280" s="1471"/>
      <c r="DK280" s="1468"/>
      <c r="DL280" s="1468"/>
      <c r="DM280" s="1471"/>
      <c r="DN280" s="1468"/>
      <c r="DO280" s="1468"/>
      <c r="DP280" s="1471"/>
      <c r="DQ280" s="1468"/>
      <c r="DR280" s="1468"/>
      <c r="DS280" s="1471"/>
      <c r="DT280" s="1471"/>
      <c r="DU280" s="1471"/>
      <c r="DV280" s="1471"/>
      <c r="DW280" s="1468"/>
      <c r="DX280" s="1468"/>
      <c r="DY280" s="1471"/>
      <c r="DZ280" s="1468"/>
      <c r="EA280" s="1468"/>
      <c r="EB280" s="1471"/>
      <c r="EC280" s="1468"/>
      <c r="ED280" s="1468"/>
      <c r="EE280" s="1471"/>
      <c r="EF280" s="1471"/>
      <c r="EG280" s="1471"/>
      <c r="EH280" s="1471"/>
      <c r="EI280" s="1468"/>
      <c r="EJ280" s="1468"/>
      <c r="EK280" s="1471"/>
      <c r="EL280" s="1473"/>
      <c r="EM280" s="1468"/>
      <c r="EN280" s="1474"/>
      <c r="EO280" s="1468"/>
      <c r="EP280" s="1468"/>
      <c r="EQ280" s="1454"/>
      <c r="ER280" s="1467"/>
      <c r="ES280" s="1454"/>
      <c r="ET280" s="1454"/>
      <c r="EU280" s="1454"/>
      <c r="EV280" s="1454"/>
      <c r="EW280" s="1468"/>
      <c r="EX280" s="1468"/>
    </row>
    <row r="281" spans="3:154" ht="63" customHeight="1" x14ac:dyDescent="0.2">
      <c r="C281" s="1156" t="s">
        <v>693</v>
      </c>
      <c r="D281" s="1156" t="s">
        <v>5278</v>
      </c>
      <c r="E281" s="1104" t="s">
        <v>370</v>
      </c>
      <c r="F281" s="1104" t="s">
        <v>455</v>
      </c>
      <c r="G281" s="1109" t="s">
        <v>4408</v>
      </c>
      <c r="H281" s="1109" t="s">
        <v>4409</v>
      </c>
      <c r="I281" s="1109" t="s">
        <v>2535</v>
      </c>
      <c r="J281" s="1110">
        <v>2018</v>
      </c>
      <c r="K281" s="1105">
        <v>43711</v>
      </c>
      <c r="L281" s="1105">
        <v>44196</v>
      </c>
      <c r="M281" s="1369">
        <f t="shared" si="39"/>
        <v>485</v>
      </c>
      <c r="N281" s="1105"/>
      <c r="O281" s="1105"/>
      <c r="P281" s="1105"/>
      <c r="Q281" s="1105"/>
      <c r="R281" s="1105"/>
      <c r="S281" s="1105"/>
      <c r="T281" s="1105"/>
      <c r="U281" s="1105"/>
      <c r="V281" s="1105"/>
      <c r="W281" s="1105"/>
      <c r="X281" s="1105"/>
      <c r="Y281" s="1109" t="s">
        <v>4410</v>
      </c>
      <c r="Z281" s="1333" t="s">
        <v>4411</v>
      </c>
      <c r="AA281" s="1109" t="s">
        <v>4412</v>
      </c>
      <c r="AB281" s="1109" t="s">
        <v>4413</v>
      </c>
      <c r="AC281" s="1109" t="s">
        <v>4414</v>
      </c>
      <c r="AD281" s="1109" t="s">
        <v>4415</v>
      </c>
      <c r="AE281" s="1112">
        <v>8.4269999999999996</v>
      </c>
      <c r="AF281" s="1113">
        <f t="shared" si="34"/>
        <v>8.4269999999999996</v>
      </c>
      <c r="AG281" s="1113">
        <f t="shared" si="35"/>
        <v>0</v>
      </c>
      <c r="AH281" s="1112"/>
      <c r="AI281" s="1113"/>
      <c r="AJ281" s="1113"/>
      <c r="AK281" s="1112">
        <v>8.4269999999999996</v>
      </c>
      <c r="AL281" s="1114">
        <v>1</v>
      </c>
      <c r="AM281" s="1114">
        <v>8.0000000000000004E-4</v>
      </c>
      <c r="AN281" s="1112"/>
      <c r="AO281" s="1114"/>
      <c r="AP281" s="1112"/>
      <c r="AQ281" s="1114"/>
      <c r="AR281" s="1112"/>
      <c r="AS281" s="1114"/>
      <c r="AT281" s="1114"/>
      <c r="AU281" s="1114"/>
      <c r="AV281" s="1114"/>
      <c r="AW281" s="1114" t="s">
        <v>500</v>
      </c>
      <c r="AX281" s="1114" t="s">
        <v>4416</v>
      </c>
      <c r="AY281" s="1114"/>
      <c r="AZ281" s="1114"/>
      <c r="BA281" s="1113">
        <v>9</v>
      </c>
      <c r="BB281" s="1114">
        <v>8.0000000000000004E-4</v>
      </c>
      <c r="BC281" s="1115">
        <v>10</v>
      </c>
      <c r="BD281" s="1115">
        <v>8</v>
      </c>
      <c r="BE281" s="1116">
        <v>8</v>
      </c>
      <c r="BF281" s="1115">
        <v>1</v>
      </c>
      <c r="BG281" s="1115"/>
      <c r="BH281" s="1115"/>
      <c r="BI281" s="1115"/>
      <c r="BJ281" s="1115"/>
      <c r="BK281" s="1115"/>
      <c r="BL281" s="1115"/>
      <c r="BM281" s="1115"/>
      <c r="BN281" s="1115"/>
      <c r="BO281" s="1115"/>
      <c r="BP281" s="1115"/>
      <c r="BQ281" s="1115">
        <v>1</v>
      </c>
      <c r="BR281" s="1115"/>
      <c r="BS281" s="1115"/>
      <c r="BT281" s="1115"/>
      <c r="BU281" s="1115"/>
      <c r="BV281" s="1115"/>
      <c r="BW281" s="1115"/>
      <c r="BX281" s="1115"/>
      <c r="BY281" s="1115">
        <v>6</v>
      </c>
      <c r="BZ281" s="1115"/>
      <c r="CA281" s="1117">
        <f t="shared" ref="CA281:CA305" si="40">SUM(BF281:BZ281)</f>
        <v>8</v>
      </c>
      <c r="CB281" s="1117">
        <f t="shared" si="37"/>
        <v>8</v>
      </c>
      <c r="CC281" s="1117">
        <f t="shared" si="38"/>
        <v>0</v>
      </c>
      <c r="CD281" s="1113">
        <v>9.2669999999999995</v>
      </c>
      <c r="CE281" s="1109" t="s">
        <v>4417</v>
      </c>
      <c r="CF281" s="1109"/>
      <c r="CG281" s="1114">
        <v>0.1804</v>
      </c>
      <c r="CH281" s="1113">
        <v>51.371000000000002</v>
      </c>
      <c r="CI281" s="1363" t="s">
        <v>4418</v>
      </c>
      <c r="CJ281" s="1109" t="s">
        <v>500</v>
      </c>
      <c r="CK281" s="1109" t="s">
        <v>4419</v>
      </c>
      <c r="CL281" s="1109"/>
      <c r="CM281" s="1115">
        <v>1</v>
      </c>
      <c r="CN281" s="1115">
        <v>10</v>
      </c>
      <c r="CO281" s="1115"/>
      <c r="CP281" s="1109" t="s">
        <v>504</v>
      </c>
      <c r="CQ281" s="1109"/>
      <c r="CR281" s="1115"/>
      <c r="CS281" s="1109" t="s">
        <v>504</v>
      </c>
      <c r="CT281" s="1109"/>
      <c r="CU281" s="1115"/>
      <c r="CV281" s="1115" t="s">
        <v>504</v>
      </c>
      <c r="CW281" s="1115"/>
      <c r="CX281" s="1115"/>
      <c r="CY281" s="1115" t="s">
        <v>504</v>
      </c>
      <c r="CZ281" s="1115"/>
      <c r="DA281" s="1115"/>
      <c r="DB281" s="1109" t="s">
        <v>504</v>
      </c>
      <c r="DC281" s="1109"/>
      <c r="DD281" s="1115"/>
      <c r="DE281" s="1109" t="s">
        <v>504</v>
      </c>
      <c r="DF281" s="1109"/>
      <c r="DG281" s="1115"/>
      <c r="DH281" s="1109" t="s">
        <v>504</v>
      </c>
      <c r="DI281" s="1109"/>
      <c r="DJ281" s="1115"/>
      <c r="DK281" s="1109" t="s">
        <v>500</v>
      </c>
      <c r="DL281" s="1333" t="s">
        <v>4420</v>
      </c>
      <c r="DM281" s="1115">
        <v>4</v>
      </c>
      <c r="DN281" s="1109" t="s">
        <v>500</v>
      </c>
      <c r="DO281" s="1333" t="s">
        <v>4421</v>
      </c>
      <c r="DP281" s="1115">
        <v>303</v>
      </c>
      <c r="DQ281" s="1109" t="s">
        <v>500</v>
      </c>
      <c r="DR281" s="1109"/>
      <c r="DS281" s="1115"/>
      <c r="DT281" s="1115" t="s">
        <v>504</v>
      </c>
      <c r="DU281" s="1115"/>
      <c r="DV281" s="1115"/>
      <c r="DW281" s="1109" t="s">
        <v>504</v>
      </c>
      <c r="DX281" s="1109"/>
      <c r="DY281" s="1115"/>
      <c r="DZ281" s="1109" t="s">
        <v>504</v>
      </c>
      <c r="EA281" s="1109"/>
      <c r="EB281" s="1115"/>
      <c r="EC281" s="1109" t="s">
        <v>656</v>
      </c>
      <c r="ED281" s="1333" t="s">
        <v>4422</v>
      </c>
      <c r="EE281" s="1115"/>
      <c r="EF281" s="1115" t="s">
        <v>504</v>
      </c>
      <c r="EG281" s="1115"/>
      <c r="EH281" s="1115"/>
      <c r="EI281" s="1109" t="s">
        <v>504</v>
      </c>
      <c r="EJ281" s="1109"/>
      <c r="EK281" s="1115"/>
      <c r="EL281" s="1115"/>
      <c r="EM281" s="1115"/>
      <c r="EN281" s="1115"/>
      <c r="EO281" s="1109" t="s">
        <v>500</v>
      </c>
      <c r="EP281" s="1109" t="s">
        <v>4423</v>
      </c>
      <c r="EQ281" s="1333" t="s">
        <v>4424</v>
      </c>
      <c r="ER281" s="1333" t="s">
        <v>4425</v>
      </c>
      <c r="ES281" s="1333" t="s">
        <v>4426</v>
      </c>
      <c r="ET281" s="1109" t="s">
        <v>4427</v>
      </c>
      <c r="EU281" s="1109" t="s">
        <v>4428</v>
      </c>
      <c r="EV281" s="1109" t="s">
        <v>4429</v>
      </c>
      <c r="EW281" s="1109">
        <v>1</v>
      </c>
      <c r="EX281" s="1109">
        <v>10</v>
      </c>
    </row>
    <row r="282" spans="3:154" ht="93" customHeight="1" x14ac:dyDescent="0.2">
      <c r="C282" s="1156" t="s">
        <v>693</v>
      </c>
      <c r="D282" s="1156" t="s">
        <v>5278</v>
      </c>
      <c r="E282" s="1104" t="s">
        <v>370</v>
      </c>
      <c r="F282" s="1104" t="s">
        <v>455</v>
      </c>
      <c r="G282" s="1109" t="s">
        <v>4430</v>
      </c>
      <c r="H282" s="1109" t="s">
        <v>4431</v>
      </c>
      <c r="I282" s="1109" t="s">
        <v>1035</v>
      </c>
      <c r="J282" s="1110">
        <v>2018</v>
      </c>
      <c r="K282" s="1105">
        <v>43678</v>
      </c>
      <c r="L282" s="1105">
        <v>44101</v>
      </c>
      <c r="M282" s="1369">
        <f t="shared" si="39"/>
        <v>423</v>
      </c>
      <c r="N282" s="1105"/>
      <c r="O282" s="1105"/>
      <c r="P282" s="1105"/>
      <c r="Q282" s="1105"/>
      <c r="R282" s="1105"/>
      <c r="S282" s="1105"/>
      <c r="T282" s="1105"/>
      <c r="U282" s="1105"/>
      <c r="V282" s="1105"/>
      <c r="W282" s="1105"/>
      <c r="X282" s="1105"/>
      <c r="Y282" s="1109" t="s">
        <v>4432</v>
      </c>
      <c r="Z282" s="1109" t="s">
        <v>4433</v>
      </c>
      <c r="AA282" s="1109" t="s">
        <v>4434</v>
      </c>
      <c r="AB282" s="1109" t="s">
        <v>4435</v>
      </c>
      <c r="AC282" s="1109" t="s">
        <v>4436</v>
      </c>
      <c r="AD282" s="1109" t="s">
        <v>4437</v>
      </c>
      <c r="AE282" s="1112">
        <v>12.387</v>
      </c>
      <c r="AF282" s="1113">
        <f t="shared" si="34"/>
        <v>12.387</v>
      </c>
      <c r="AG282" s="1113">
        <f t="shared" si="35"/>
        <v>0</v>
      </c>
      <c r="AH282" s="1112"/>
      <c r="AI282" s="1113"/>
      <c r="AJ282" s="1113"/>
      <c r="AK282" s="1112">
        <v>12.003</v>
      </c>
      <c r="AL282" s="1114">
        <v>0.96899975781060788</v>
      </c>
      <c r="AM282" s="1114">
        <v>1.7406206894151469E-3</v>
      </c>
      <c r="AN282" s="1112">
        <v>0.38400000000000001</v>
      </c>
      <c r="AO282" s="1114">
        <v>3.1000242189392103E-2</v>
      </c>
      <c r="AP282" s="1112"/>
      <c r="AQ282" s="1114"/>
      <c r="AR282" s="1112"/>
      <c r="AS282" s="1114"/>
      <c r="AT282" s="1114"/>
      <c r="AU282" s="1114"/>
      <c r="AV282" s="1114"/>
      <c r="AW282" s="1114" t="s">
        <v>500</v>
      </c>
      <c r="AX282" s="1114" t="s">
        <v>4438</v>
      </c>
      <c r="AY282" s="1116"/>
      <c r="AZ282" s="1114"/>
      <c r="BA282" s="1113">
        <v>7.3949999999999996</v>
      </c>
      <c r="BB282" s="1114">
        <v>1.0723894025014588E-3</v>
      </c>
      <c r="BC282" s="1115">
        <v>18</v>
      </c>
      <c r="BD282" s="1115">
        <v>10</v>
      </c>
      <c r="BE282" s="1116">
        <v>10</v>
      </c>
      <c r="BF282" s="1115"/>
      <c r="BG282" s="1115">
        <v>2</v>
      </c>
      <c r="BH282" s="1115"/>
      <c r="BI282" s="1115"/>
      <c r="BJ282" s="1115"/>
      <c r="BK282" s="1115">
        <v>1</v>
      </c>
      <c r="BL282" s="1115"/>
      <c r="BM282" s="1115">
        <v>1</v>
      </c>
      <c r="BN282" s="1115"/>
      <c r="BO282" s="1115"/>
      <c r="BP282" s="1115">
        <v>2</v>
      </c>
      <c r="BQ282" s="1115">
        <v>3</v>
      </c>
      <c r="BR282" s="1115"/>
      <c r="BS282" s="1115"/>
      <c r="BT282" s="1115"/>
      <c r="BU282" s="1115"/>
      <c r="BV282" s="1115"/>
      <c r="BW282" s="1115"/>
      <c r="BX282" s="1115"/>
      <c r="BY282" s="1115">
        <v>5</v>
      </c>
      <c r="BZ282" s="1115">
        <v>1</v>
      </c>
      <c r="CA282" s="1117">
        <f t="shared" si="40"/>
        <v>15</v>
      </c>
      <c r="CB282" s="1117">
        <f t="shared" si="37"/>
        <v>15</v>
      </c>
      <c r="CC282" s="1117">
        <f t="shared" si="38"/>
        <v>0</v>
      </c>
      <c r="CD282" s="1113">
        <v>18.800999999999998</v>
      </c>
      <c r="CE282" s="1109"/>
      <c r="CF282" s="1109"/>
      <c r="CG282" s="1126">
        <f>CD282/CH282</f>
        <v>0.71500285225327997</v>
      </c>
      <c r="CH282" s="1364">
        <v>26.295000000000002</v>
      </c>
      <c r="CI282" s="1365" t="s">
        <v>4439</v>
      </c>
      <c r="CJ282" s="1109" t="s">
        <v>656</v>
      </c>
      <c r="CK282" s="1109" t="s">
        <v>4440</v>
      </c>
      <c r="CL282" s="1109" t="s">
        <v>4441</v>
      </c>
      <c r="CM282" s="1115">
        <v>4</v>
      </c>
      <c r="CN282" s="1115">
        <v>80</v>
      </c>
      <c r="CO282" s="1115"/>
      <c r="CP282" s="1109" t="s">
        <v>500</v>
      </c>
      <c r="CQ282" s="1109" t="s">
        <v>4442</v>
      </c>
      <c r="CR282" s="1115">
        <f>7524+522</f>
        <v>8046</v>
      </c>
      <c r="CS282" s="1109" t="s">
        <v>500</v>
      </c>
      <c r="CT282" s="1109" t="s">
        <v>4443</v>
      </c>
      <c r="CU282" s="1115">
        <v>127</v>
      </c>
      <c r="CV282" s="1115" t="s">
        <v>504</v>
      </c>
      <c r="CW282" s="1115"/>
      <c r="CX282" s="1115"/>
      <c r="CY282" s="1115" t="s">
        <v>504</v>
      </c>
      <c r="CZ282" s="1115"/>
      <c r="DA282" s="1115"/>
      <c r="DB282" s="1109" t="s">
        <v>500</v>
      </c>
      <c r="DC282" s="1109" t="s">
        <v>4444</v>
      </c>
      <c r="DD282" s="1115">
        <v>140</v>
      </c>
      <c r="DE282" s="1109" t="s">
        <v>500</v>
      </c>
      <c r="DF282" s="1109" t="s">
        <v>4445</v>
      </c>
      <c r="DG282" s="1115">
        <v>15</v>
      </c>
      <c r="DH282" s="1109" t="s">
        <v>504</v>
      </c>
      <c r="DI282" s="1109"/>
      <c r="DJ282" s="1115"/>
      <c r="DK282" s="1109"/>
      <c r="DL282" s="1109"/>
      <c r="DM282" s="1115"/>
      <c r="DN282" s="1109" t="s">
        <v>500</v>
      </c>
      <c r="DO282" s="1109" t="s">
        <v>4446</v>
      </c>
      <c r="DP282" s="1115">
        <v>522</v>
      </c>
      <c r="DQ282" s="1109" t="s">
        <v>500</v>
      </c>
      <c r="DR282" s="1109" t="s">
        <v>4447</v>
      </c>
      <c r="DS282" s="1115">
        <v>7524</v>
      </c>
      <c r="DT282" s="1115" t="s">
        <v>504</v>
      </c>
      <c r="DU282" s="1115"/>
      <c r="DV282" s="1115"/>
      <c r="DW282" s="1109" t="s">
        <v>504</v>
      </c>
      <c r="DX282" s="1109"/>
      <c r="DY282" s="1115"/>
      <c r="DZ282" s="1109" t="s">
        <v>504</v>
      </c>
      <c r="EA282" s="1109"/>
      <c r="EB282" s="1115"/>
      <c r="EC282" s="1109" t="s">
        <v>504</v>
      </c>
      <c r="ED282" s="1109"/>
      <c r="EE282" s="1115"/>
      <c r="EF282" s="1115" t="s">
        <v>500</v>
      </c>
      <c r="EG282" s="1115" t="s">
        <v>4448</v>
      </c>
      <c r="EH282" s="1115">
        <v>14</v>
      </c>
      <c r="EI282" s="1109"/>
      <c r="EJ282" s="1109"/>
      <c r="EK282" s="1115"/>
      <c r="EL282" s="1115"/>
      <c r="EM282" s="1115"/>
      <c r="EN282" s="1115"/>
      <c r="EO282" s="1109" t="s">
        <v>504</v>
      </c>
      <c r="EP282" s="1109"/>
      <c r="EQ282" s="1188" t="s">
        <v>4449</v>
      </c>
      <c r="ER282" s="1109" t="s">
        <v>4450</v>
      </c>
      <c r="ES282" s="1109" t="s">
        <v>4451</v>
      </c>
      <c r="ET282" s="1109" t="s">
        <v>5616</v>
      </c>
      <c r="EU282" s="1109" t="s">
        <v>4452</v>
      </c>
      <c r="EV282" s="1109" t="s">
        <v>4453</v>
      </c>
      <c r="EW282" s="1109">
        <v>17</v>
      </c>
      <c r="EX282" s="1109">
        <v>2683</v>
      </c>
    </row>
    <row r="283" spans="3:154" ht="78.95" customHeight="1" x14ac:dyDescent="0.2">
      <c r="C283" s="1156" t="s">
        <v>693</v>
      </c>
      <c r="D283" s="1156" t="s">
        <v>5278</v>
      </c>
      <c r="E283" s="1104" t="s">
        <v>370</v>
      </c>
      <c r="F283" s="1104" t="s">
        <v>455</v>
      </c>
      <c r="G283" s="1104" t="s">
        <v>4454</v>
      </c>
      <c r="H283" s="1104" t="s">
        <v>4455</v>
      </c>
      <c r="I283" s="1104" t="s">
        <v>694</v>
      </c>
      <c r="J283" s="1110">
        <v>2020</v>
      </c>
      <c r="K283" s="1105">
        <v>43665</v>
      </c>
      <c r="L283" s="1105">
        <v>44085</v>
      </c>
      <c r="M283" s="1369">
        <f t="shared" si="39"/>
        <v>420</v>
      </c>
      <c r="N283" s="1105"/>
      <c r="O283" s="1105"/>
      <c r="P283" s="1105"/>
      <c r="Q283" s="1105"/>
      <c r="R283" s="1105"/>
      <c r="S283" s="1105"/>
      <c r="T283" s="1105"/>
      <c r="U283" s="1105"/>
      <c r="V283" s="1105"/>
      <c r="W283" s="1105"/>
      <c r="X283" s="1105"/>
      <c r="Y283" s="1104" t="s">
        <v>4456</v>
      </c>
      <c r="Z283" s="1188" t="s">
        <v>4457</v>
      </c>
      <c r="AA283" s="1109" t="s">
        <v>4458</v>
      </c>
      <c r="AB283" s="1109" t="s">
        <v>4459</v>
      </c>
      <c r="AC283" s="1109" t="s">
        <v>4460</v>
      </c>
      <c r="AD283" s="1109" t="s">
        <v>4461</v>
      </c>
      <c r="AE283" s="1112">
        <v>8.7789999999999999</v>
      </c>
      <c r="AF283" s="1113">
        <f t="shared" si="34"/>
        <v>8.7789999999999999</v>
      </c>
      <c r="AG283" s="1113">
        <f t="shared" si="35"/>
        <v>0</v>
      </c>
      <c r="AH283" s="1112"/>
      <c r="AI283" s="1113"/>
      <c r="AJ283" s="1113"/>
      <c r="AK283" s="1112">
        <f>3.979+4.8</f>
        <v>8.7789999999999999</v>
      </c>
      <c r="AL283" s="1114">
        <v>1</v>
      </c>
      <c r="AM283" s="1114"/>
      <c r="AN283" s="1112"/>
      <c r="AO283" s="1114"/>
      <c r="AP283" s="1112"/>
      <c r="AQ283" s="1114"/>
      <c r="AR283" s="1112"/>
      <c r="AS283" s="1114"/>
      <c r="AT283" s="1114"/>
      <c r="AU283" s="1114"/>
      <c r="AV283" s="1114"/>
      <c r="AW283" s="1114" t="s">
        <v>500</v>
      </c>
      <c r="AX283" s="1114"/>
      <c r="AY283" s="1114"/>
      <c r="AZ283" s="1114"/>
      <c r="BA283" s="1113">
        <f>11.346+4.8</f>
        <v>16.146000000000001</v>
      </c>
      <c r="BB283" s="1114"/>
      <c r="BC283" s="1115">
        <v>54</v>
      </c>
      <c r="BD283" s="1115">
        <v>52</v>
      </c>
      <c r="BE283" s="1116">
        <v>17</v>
      </c>
      <c r="BF283" s="1115"/>
      <c r="BG283" s="1115"/>
      <c r="BH283" s="1115"/>
      <c r="BI283" s="1115"/>
      <c r="BJ283" s="1115"/>
      <c r="BK283" s="1115">
        <v>1</v>
      </c>
      <c r="BL283" s="1115"/>
      <c r="BM283" s="1115"/>
      <c r="BN283" s="1115"/>
      <c r="BO283" s="1115"/>
      <c r="BP283" s="1115"/>
      <c r="BQ283" s="1115"/>
      <c r="BR283" s="1115"/>
      <c r="BS283" s="1115"/>
      <c r="BT283" s="1115"/>
      <c r="BU283" s="1115"/>
      <c r="BV283" s="1115"/>
      <c r="BW283" s="1115"/>
      <c r="BX283" s="1115"/>
      <c r="BY283" s="1115">
        <v>16</v>
      </c>
      <c r="BZ283" s="1115"/>
      <c r="CA283" s="1117">
        <f t="shared" si="40"/>
        <v>17</v>
      </c>
      <c r="CB283" s="1117">
        <f t="shared" si="37"/>
        <v>17</v>
      </c>
      <c r="CC283" s="1117">
        <f t="shared" si="38"/>
        <v>0</v>
      </c>
      <c r="CD283" s="1113">
        <v>2.09</v>
      </c>
      <c r="CE283" s="1109" t="s">
        <v>4462</v>
      </c>
      <c r="CF283" s="1109"/>
      <c r="CG283" s="1109">
        <v>1.77</v>
      </c>
      <c r="CH283" s="1113">
        <v>118033</v>
      </c>
      <c r="CI283" s="1114" t="s">
        <v>4463</v>
      </c>
      <c r="CJ283" s="1109" t="s">
        <v>500</v>
      </c>
      <c r="CK283" s="1109" t="s">
        <v>4464</v>
      </c>
      <c r="CL283" s="1109" t="s">
        <v>2842</v>
      </c>
      <c r="CM283" s="1115">
        <v>2</v>
      </c>
      <c r="CN283" s="1115">
        <v>15</v>
      </c>
      <c r="CO283" s="1115"/>
      <c r="CP283" s="1109" t="s">
        <v>504</v>
      </c>
      <c r="CQ283" s="1109"/>
      <c r="CR283" s="1115"/>
      <c r="CS283" s="1109" t="s">
        <v>500</v>
      </c>
      <c r="CT283" s="1109" t="s">
        <v>4465</v>
      </c>
      <c r="CU283" s="1115">
        <v>75</v>
      </c>
      <c r="CV283" s="1115" t="s">
        <v>504</v>
      </c>
      <c r="CW283" s="1115"/>
      <c r="CX283" s="1115"/>
      <c r="CY283" s="1109" t="s">
        <v>504</v>
      </c>
      <c r="CZ283" s="1115"/>
      <c r="DA283" s="1115"/>
      <c r="DB283" s="1109" t="s">
        <v>504</v>
      </c>
      <c r="DC283" s="1109"/>
      <c r="DD283" s="1115"/>
      <c r="DE283" s="1109" t="s">
        <v>504</v>
      </c>
      <c r="DF283" s="1109"/>
      <c r="DG283" s="1115"/>
      <c r="DH283" s="1109" t="s">
        <v>504</v>
      </c>
      <c r="DI283" s="1109"/>
      <c r="DJ283" s="1115"/>
      <c r="DK283" s="1109" t="s">
        <v>500</v>
      </c>
      <c r="DL283" s="1109" t="s">
        <v>4466</v>
      </c>
      <c r="DM283" s="1115">
        <v>52</v>
      </c>
      <c r="DN283" s="1109" t="s">
        <v>500</v>
      </c>
      <c r="DO283" s="1109" t="s">
        <v>4467</v>
      </c>
      <c r="DP283" s="1115">
        <v>1676</v>
      </c>
      <c r="DQ283" s="1109" t="s">
        <v>500</v>
      </c>
      <c r="DR283" s="1109" t="s">
        <v>4468</v>
      </c>
      <c r="DS283" s="1115">
        <v>71992</v>
      </c>
      <c r="DT283" s="1115" t="s">
        <v>504</v>
      </c>
      <c r="DU283" s="1115"/>
      <c r="DV283" s="1115"/>
      <c r="DW283" s="1109" t="s">
        <v>504</v>
      </c>
      <c r="DX283" s="1109"/>
      <c r="DY283" s="1115"/>
      <c r="DZ283" s="1109" t="s">
        <v>504</v>
      </c>
      <c r="EA283" s="1109"/>
      <c r="EB283" s="1115"/>
      <c r="EC283" s="1109" t="s">
        <v>504</v>
      </c>
      <c r="ED283" s="1109"/>
      <c r="EE283" s="1115"/>
      <c r="EF283" s="1115" t="s">
        <v>504</v>
      </c>
      <c r="EG283" s="1115"/>
      <c r="EH283" s="1115"/>
      <c r="EI283" s="1109" t="s">
        <v>504</v>
      </c>
      <c r="EJ283" s="1109"/>
      <c r="EK283" s="1115"/>
      <c r="EL283" s="1115"/>
      <c r="EM283" s="1115"/>
      <c r="EN283" s="1115"/>
      <c r="EO283" s="1109" t="s">
        <v>500</v>
      </c>
      <c r="EP283" s="1109" t="s">
        <v>4469</v>
      </c>
      <c r="EQ283" s="1188" t="s">
        <v>4470</v>
      </c>
      <c r="ER283" s="1366" t="s">
        <v>4471</v>
      </c>
      <c r="ES283" s="1109"/>
      <c r="ET283" s="1109" t="s">
        <v>4472</v>
      </c>
      <c r="EU283" s="1109"/>
      <c r="EV283" s="1109" t="s">
        <v>4473</v>
      </c>
      <c r="EW283" s="1109">
        <v>3</v>
      </c>
      <c r="EX283" s="1109">
        <v>36</v>
      </c>
    </row>
    <row r="284" spans="3:154" ht="89.1" customHeight="1" x14ac:dyDescent="0.2">
      <c r="C284" s="1156" t="s">
        <v>693</v>
      </c>
      <c r="D284" s="1156" t="s">
        <v>5278</v>
      </c>
      <c r="E284" s="1104" t="s">
        <v>370</v>
      </c>
      <c r="F284" s="1104" t="s">
        <v>455</v>
      </c>
      <c r="G284" s="1109" t="s">
        <v>4474</v>
      </c>
      <c r="H284" s="1109" t="s">
        <v>4475</v>
      </c>
      <c r="I284" s="1109" t="s">
        <v>4476</v>
      </c>
      <c r="J284" s="1109">
        <v>2018</v>
      </c>
      <c r="K284" s="1105">
        <v>43612</v>
      </c>
      <c r="L284" s="1105">
        <v>44196</v>
      </c>
      <c r="M284" s="1369">
        <f t="shared" si="39"/>
        <v>584</v>
      </c>
      <c r="N284" s="1108"/>
      <c r="O284" s="1108"/>
      <c r="P284" s="1108"/>
      <c r="Q284" s="1108"/>
      <c r="R284" s="1108"/>
      <c r="S284" s="1108"/>
      <c r="T284" s="1108"/>
      <c r="U284" s="1108"/>
      <c r="V284" s="1108"/>
      <c r="W284" s="1108"/>
      <c r="X284" s="1108"/>
      <c r="Y284" s="1109" t="s">
        <v>4477</v>
      </c>
      <c r="Z284" s="1140" t="s">
        <v>4478</v>
      </c>
      <c r="AA284" s="1109" t="s">
        <v>4479</v>
      </c>
      <c r="AB284" s="1109" t="s">
        <v>4480</v>
      </c>
      <c r="AC284" s="1109" t="s">
        <v>4481</v>
      </c>
      <c r="AD284" s="1109" t="s">
        <v>4482</v>
      </c>
      <c r="AE284" s="1112">
        <v>42.7</v>
      </c>
      <c r="AF284" s="1113">
        <f t="shared" si="34"/>
        <v>42.723399999999998</v>
      </c>
      <c r="AG284" s="1113">
        <f t="shared" si="35"/>
        <v>2.3399999999995202E-2</v>
      </c>
      <c r="AH284" s="1112"/>
      <c r="AI284" s="1109"/>
      <c r="AJ284" s="1109"/>
      <c r="AK284" s="1112">
        <v>42.4</v>
      </c>
      <c r="AL284" s="1126">
        <v>0.99</v>
      </c>
      <c r="AM284" s="1114">
        <v>4.0000000000000001E-3</v>
      </c>
      <c r="AN284" s="1112"/>
      <c r="AO284" s="1109"/>
      <c r="AP284" s="1112">
        <v>0.32340000000000002</v>
      </c>
      <c r="AQ284" s="1109">
        <v>0.7</v>
      </c>
      <c r="AR284" s="1112"/>
      <c r="AS284" s="1109"/>
      <c r="AT284" s="1109"/>
      <c r="AU284" s="1109"/>
      <c r="AV284" s="1109"/>
      <c r="AW284" s="1109" t="s">
        <v>4483</v>
      </c>
      <c r="AX284" s="1109" t="s">
        <v>838</v>
      </c>
      <c r="AY284" s="1141"/>
      <c r="AZ284" s="1109"/>
      <c r="BA284" s="1109">
        <v>107</v>
      </c>
      <c r="BB284" s="1109">
        <v>1.1000000000000001</v>
      </c>
      <c r="BC284" s="1109">
        <v>28</v>
      </c>
      <c r="BD284" s="1109">
        <v>24</v>
      </c>
      <c r="BE284" s="1116">
        <v>19</v>
      </c>
      <c r="BF284" s="1109"/>
      <c r="BG284" s="1109"/>
      <c r="BH284" s="1109"/>
      <c r="BI284" s="1109"/>
      <c r="BJ284" s="1109"/>
      <c r="BK284" s="1109"/>
      <c r="BL284" s="1109"/>
      <c r="BM284" s="1109"/>
      <c r="BN284" s="1109"/>
      <c r="BO284" s="1109"/>
      <c r="BP284" s="1109">
        <v>1</v>
      </c>
      <c r="BQ284" s="1109">
        <v>3</v>
      </c>
      <c r="BR284" s="1109"/>
      <c r="BS284" s="1109"/>
      <c r="BT284" s="1109"/>
      <c r="BU284" s="1109"/>
      <c r="BV284" s="1109"/>
      <c r="BW284" s="1109"/>
      <c r="BX284" s="1109"/>
      <c r="BY284" s="1109">
        <v>15</v>
      </c>
      <c r="BZ284" s="1109"/>
      <c r="CA284" s="1117">
        <f t="shared" si="40"/>
        <v>19</v>
      </c>
      <c r="CB284" s="1117">
        <f t="shared" si="37"/>
        <v>19</v>
      </c>
      <c r="CC284" s="1117">
        <f t="shared" si="38"/>
        <v>0</v>
      </c>
      <c r="CD284" s="1109">
        <v>121.3</v>
      </c>
      <c r="CE284" s="1109"/>
      <c r="CF284" s="1109"/>
      <c r="CG284" s="1109">
        <v>113</v>
      </c>
      <c r="CH284" s="1109">
        <v>107</v>
      </c>
      <c r="CI284" s="1109" t="s">
        <v>4484</v>
      </c>
      <c r="CJ284" s="1109" t="s">
        <v>500</v>
      </c>
      <c r="CK284" s="1109" t="s">
        <v>4476</v>
      </c>
      <c r="CL284" s="1109"/>
      <c r="CM284" s="1109">
        <v>3</v>
      </c>
      <c r="CN284" s="1109">
        <v>52</v>
      </c>
      <c r="CO284" s="1109"/>
      <c r="CP284" s="1109" t="s">
        <v>500</v>
      </c>
      <c r="CQ284" s="1109" t="s">
        <v>4485</v>
      </c>
      <c r="CR284" s="1109">
        <v>845</v>
      </c>
      <c r="CS284" s="1109" t="s">
        <v>656</v>
      </c>
      <c r="CT284" s="1140" t="s">
        <v>4486</v>
      </c>
      <c r="CU284" s="1109">
        <v>30</v>
      </c>
      <c r="CV284" s="1109" t="s">
        <v>504</v>
      </c>
      <c r="CW284" s="1109"/>
      <c r="CX284" s="1109"/>
      <c r="CY284" s="1109" t="s">
        <v>504</v>
      </c>
      <c r="CZ284" s="1109"/>
      <c r="DA284" s="1109"/>
      <c r="DB284" s="1109" t="s">
        <v>504</v>
      </c>
      <c r="DC284" s="1109"/>
      <c r="DD284" s="1109"/>
      <c r="DE284" s="1109" t="s">
        <v>504</v>
      </c>
      <c r="DF284" s="1109"/>
      <c r="DG284" s="1109"/>
      <c r="DH284" s="1109" t="s">
        <v>504</v>
      </c>
      <c r="DI284" s="1109"/>
      <c r="DJ284" s="1109"/>
      <c r="DK284" s="1109" t="s">
        <v>500</v>
      </c>
      <c r="DL284" s="1140" t="s">
        <v>4487</v>
      </c>
      <c r="DM284" s="1109">
        <v>50</v>
      </c>
      <c r="DN284" s="1109" t="s">
        <v>656</v>
      </c>
      <c r="DO284" s="1109" t="s">
        <v>4488</v>
      </c>
      <c r="DP284" s="1109">
        <v>1633</v>
      </c>
      <c r="DQ284" s="1109" t="s">
        <v>656</v>
      </c>
      <c r="DR284" s="1109" t="s">
        <v>4485</v>
      </c>
      <c r="DS284" s="1109">
        <v>9290</v>
      </c>
      <c r="DT284" s="1109" t="s">
        <v>504</v>
      </c>
      <c r="DU284" s="1109"/>
      <c r="DV284" s="1109"/>
      <c r="DW284" s="1109" t="s">
        <v>504</v>
      </c>
      <c r="DX284" s="1109"/>
      <c r="DY284" s="1109"/>
      <c r="DZ284" s="1109" t="s">
        <v>504</v>
      </c>
      <c r="EA284" s="1109"/>
      <c r="EB284" s="1109"/>
      <c r="EC284" s="1109" t="s">
        <v>504</v>
      </c>
      <c r="ED284" s="1109"/>
      <c r="EE284" s="1109"/>
      <c r="EF284" s="1109" t="s">
        <v>500</v>
      </c>
      <c r="EG284" s="1109" t="s">
        <v>796</v>
      </c>
      <c r="EH284" s="1109">
        <v>8</v>
      </c>
      <c r="EI284" s="1109" t="s">
        <v>656</v>
      </c>
      <c r="EJ284" s="1135" t="s">
        <v>4489</v>
      </c>
      <c r="EK284" s="1109">
        <v>52</v>
      </c>
      <c r="EL284" s="1109"/>
      <c r="EM284" s="1109"/>
      <c r="EN284" s="1109"/>
      <c r="EO284" s="1109" t="s">
        <v>500</v>
      </c>
      <c r="EP284" s="1109" t="s">
        <v>4490</v>
      </c>
      <c r="EQ284" s="1140" t="s">
        <v>4488</v>
      </c>
      <c r="ER284" s="1140" t="s">
        <v>4491</v>
      </c>
      <c r="ES284" s="1140" t="s">
        <v>4478</v>
      </c>
      <c r="ET284" s="1109" t="s">
        <v>4492</v>
      </c>
      <c r="EU284" s="1109" t="s">
        <v>4493</v>
      </c>
      <c r="EV284" s="1109" t="s">
        <v>4494</v>
      </c>
      <c r="EW284" s="1109">
        <v>1</v>
      </c>
      <c r="EX284" s="1109">
        <v>112</v>
      </c>
    </row>
    <row r="285" spans="3:154" ht="93.95" customHeight="1" x14ac:dyDescent="0.2">
      <c r="C285" s="1156" t="s">
        <v>693</v>
      </c>
      <c r="D285" s="1156" t="s">
        <v>5278</v>
      </c>
      <c r="E285" s="1104" t="s">
        <v>370</v>
      </c>
      <c r="F285" s="1104" t="s">
        <v>455</v>
      </c>
      <c r="G285" s="1109" t="s">
        <v>4495</v>
      </c>
      <c r="H285" s="1109" t="s">
        <v>2534</v>
      </c>
      <c r="I285" s="1109" t="s">
        <v>2535</v>
      </c>
      <c r="J285" s="1110">
        <v>2018</v>
      </c>
      <c r="K285" s="1105">
        <v>43717</v>
      </c>
      <c r="L285" s="1105">
        <v>44196</v>
      </c>
      <c r="M285" s="1369">
        <f t="shared" si="39"/>
        <v>479</v>
      </c>
      <c r="N285" s="1105"/>
      <c r="O285" s="1105"/>
      <c r="P285" s="1105"/>
      <c r="Q285" s="1105"/>
      <c r="R285" s="1105"/>
      <c r="S285" s="1105"/>
      <c r="T285" s="1105"/>
      <c r="U285" s="1105"/>
      <c r="V285" s="1105"/>
      <c r="W285" s="1105"/>
      <c r="X285" s="1105"/>
      <c r="Y285" s="1109" t="s">
        <v>4496</v>
      </c>
      <c r="Z285" s="1140" t="s">
        <v>5617</v>
      </c>
      <c r="AA285" s="1109" t="s">
        <v>4497</v>
      </c>
      <c r="AB285" s="1109" t="s">
        <v>4498</v>
      </c>
      <c r="AC285" s="1109" t="s">
        <v>4499</v>
      </c>
      <c r="AD285" s="1109" t="s">
        <v>4500</v>
      </c>
      <c r="AE285" s="1112">
        <v>11.593999999999999</v>
      </c>
      <c r="AF285" s="1113">
        <f t="shared" si="34"/>
        <v>11.5942405</v>
      </c>
      <c r="AG285" s="1113">
        <f t="shared" si="35"/>
        <v>2.4050000000030991E-4</v>
      </c>
      <c r="AH285" s="1112"/>
      <c r="AI285" s="1113"/>
      <c r="AJ285" s="1113"/>
      <c r="AK285" s="1112">
        <v>11.5942405</v>
      </c>
      <c r="AL285" s="1114">
        <f>AK285/AE285</f>
        <v>1.0000207434880111</v>
      </c>
      <c r="AM285" s="1114">
        <f>11594240.5/6744606282</f>
        <v>1.7190388905194806E-3</v>
      </c>
      <c r="AN285" s="1112"/>
      <c r="AO285" s="1114"/>
      <c r="AP285" s="1112"/>
      <c r="AQ285" s="1114"/>
      <c r="AR285" s="1112"/>
      <c r="AS285" s="1114"/>
      <c r="AT285" s="1114"/>
      <c r="AU285" s="1114"/>
      <c r="AV285" s="1114"/>
      <c r="AW285" s="1114" t="s">
        <v>504</v>
      </c>
      <c r="AX285" s="1114"/>
      <c r="AY285" s="1367">
        <v>0.77858400000000005</v>
      </c>
      <c r="AZ285" s="1114">
        <f>AY285/AE285</f>
        <v>6.7154045195790935E-2</v>
      </c>
      <c r="BA285" s="1113">
        <v>12.4</v>
      </c>
      <c r="BB285" s="1114">
        <f>BA285/6389.16</f>
        <v>1.940787208334116E-3</v>
      </c>
      <c r="BC285" s="1115">
        <v>26</v>
      </c>
      <c r="BD285" s="1115">
        <v>26</v>
      </c>
      <c r="BE285" s="1116">
        <v>22</v>
      </c>
      <c r="BF285" s="1115"/>
      <c r="BG285" s="1115"/>
      <c r="BH285" s="1115"/>
      <c r="BI285" s="1115"/>
      <c r="BJ285" s="1115"/>
      <c r="BK285" s="1115">
        <v>1</v>
      </c>
      <c r="BL285" s="1115">
        <v>1</v>
      </c>
      <c r="BM285" s="1115">
        <v>4</v>
      </c>
      <c r="BN285" s="1115">
        <v>4</v>
      </c>
      <c r="BO285" s="1115"/>
      <c r="BP285" s="1115"/>
      <c r="BQ285" s="1115">
        <v>1</v>
      </c>
      <c r="BR285" s="1115"/>
      <c r="BS285" s="1115"/>
      <c r="BT285" s="1115"/>
      <c r="BU285" s="1115"/>
      <c r="BV285" s="1115"/>
      <c r="BW285" s="1115">
        <v>1</v>
      </c>
      <c r="BX285" s="1115"/>
      <c r="BY285" s="1115">
        <v>8</v>
      </c>
      <c r="BZ285" s="1115">
        <v>2</v>
      </c>
      <c r="CA285" s="1117">
        <f t="shared" si="40"/>
        <v>22</v>
      </c>
      <c r="CB285" s="1117">
        <f t="shared" si="37"/>
        <v>22</v>
      </c>
      <c r="CC285" s="1117">
        <f t="shared" si="38"/>
        <v>0</v>
      </c>
      <c r="CD285" s="1113">
        <v>31.5</v>
      </c>
      <c r="CE285" s="1109" t="s">
        <v>4501</v>
      </c>
      <c r="CF285" s="1109"/>
      <c r="CG285" s="1109">
        <v>100</v>
      </c>
      <c r="CH285" s="1113">
        <v>31.5</v>
      </c>
      <c r="CI285" s="1114"/>
      <c r="CJ285" s="1109" t="s">
        <v>500</v>
      </c>
      <c r="CK285" s="1109" t="s">
        <v>4502</v>
      </c>
      <c r="CL285" s="1109" t="s">
        <v>4503</v>
      </c>
      <c r="CM285" s="1115">
        <v>16</v>
      </c>
      <c r="CN285" s="1115">
        <v>72</v>
      </c>
      <c r="CO285" s="1115"/>
      <c r="CP285" s="1109" t="s">
        <v>500</v>
      </c>
      <c r="CQ285" s="1109" t="s">
        <v>4504</v>
      </c>
      <c r="CR285" s="1115">
        <v>1809</v>
      </c>
      <c r="CS285" s="1109" t="s">
        <v>500</v>
      </c>
      <c r="CT285" s="1109" t="s">
        <v>4505</v>
      </c>
      <c r="CU285" s="1115">
        <v>301</v>
      </c>
      <c r="CV285" s="1115" t="s">
        <v>504</v>
      </c>
      <c r="CW285" s="1115"/>
      <c r="CX285" s="1115"/>
      <c r="CY285" s="1115" t="s">
        <v>4506</v>
      </c>
      <c r="CZ285" s="1115"/>
      <c r="DA285" s="1115"/>
      <c r="DB285" s="1109" t="s">
        <v>4506</v>
      </c>
      <c r="DC285" s="1109"/>
      <c r="DD285" s="1115"/>
      <c r="DE285" s="1109" t="s">
        <v>500</v>
      </c>
      <c r="DF285" s="1109" t="s">
        <v>4507</v>
      </c>
      <c r="DG285" s="1115">
        <v>33</v>
      </c>
      <c r="DH285" s="1109" t="s">
        <v>500</v>
      </c>
      <c r="DI285" s="1109" t="s">
        <v>4508</v>
      </c>
      <c r="DJ285" s="1115">
        <v>2</v>
      </c>
      <c r="DK285" s="1109"/>
      <c r="DL285" s="1109"/>
      <c r="DM285" s="1115"/>
      <c r="DN285" s="1109" t="s">
        <v>500</v>
      </c>
      <c r="DO285" s="1109" t="s">
        <v>4509</v>
      </c>
      <c r="DP285" s="1115">
        <v>6261</v>
      </c>
      <c r="DQ285" s="1109" t="s">
        <v>500</v>
      </c>
      <c r="DR285" s="1109" t="s">
        <v>4510</v>
      </c>
      <c r="DS285" s="1115">
        <v>12274</v>
      </c>
      <c r="DT285" s="1115" t="s">
        <v>504</v>
      </c>
      <c r="DU285" s="1115"/>
      <c r="DV285" s="1115"/>
      <c r="DW285" s="1109" t="s">
        <v>504</v>
      </c>
      <c r="DX285" s="1109"/>
      <c r="DY285" s="1115"/>
      <c r="DZ285" s="1109" t="s">
        <v>504</v>
      </c>
      <c r="EA285" s="1109"/>
      <c r="EB285" s="1115"/>
      <c r="EC285" s="1109" t="s">
        <v>504</v>
      </c>
      <c r="ED285" s="1109"/>
      <c r="EE285" s="1115"/>
      <c r="EF285" s="1115" t="s">
        <v>500</v>
      </c>
      <c r="EG285" s="1115" t="s">
        <v>4511</v>
      </c>
      <c r="EH285" s="1115">
        <v>18</v>
      </c>
      <c r="EI285" s="1109"/>
      <c r="EJ285" s="1109"/>
      <c r="EK285" s="1115"/>
      <c r="EL285" s="1115"/>
      <c r="EM285" s="1115"/>
      <c r="EN285" s="1115"/>
      <c r="EO285" s="1109" t="s">
        <v>500</v>
      </c>
      <c r="EP285" s="1109" t="s">
        <v>4512</v>
      </c>
      <c r="EQ285" s="1143" t="s">
        <v>4513</v>
      </c>
      <c r="ER285" s="1143" t="s">
        <v>4514</v>
      </c>
      <c r="ES285" s="1109"/>
      <c r="ET285" s="1109" t="s">
        <v>4515</v>
      </c>
      <c r="EU285" s="1109" t="s">
        <v>4516</v>
      </c>
      <c r="EV285" s="1109" t="s">
        <v>504</v>
      </c>
      <c r="EW285" s="1109"/>
      <c r="EX285" s="1109"/>
    </row>
    <row r="286" spans="3:154" ht="60" customHeight="1" x14ac:dyDescent="0.2">
      <c r="C286" s="1156" t="s">
        <v>693</v>
      </c>
      <c r="D286" s="1156" t="s">
        <v>5278</v>
      </c>
      <c r="E286" s="1104" t="s">
        <v>370</v>
      </c>
      <c r="F286" s="1104" t="s">
        <v>455</v>
      </c>
      <c r="G286" s="1109" t="s">
        <v>4517</v>
      </c>
      <c r="H286" s="1109" t="s">
        <v>4518</v>
      </c>
      <c r="I286" s="1109" t="s">
        <v>4519</v>
      </c>
      <c r="J286" s="1110">
        <v>2019</v>
      </c>
      <c r="K286" s="1105">
        <v>43637</v>
      </c>
      <c r="L286" s="1105">
        <v>44195</v>
      </c>
      <c r="M286" s="1369">
        <f t="shared" si="39"/>
        <v>558</v>
      </c>
      <c r="N286" s="1105"/>
      <c r="O286" s="1105"/>
      <c r="P286" s="1105"/>
      <c r="Q286" s="1105"/>
      <c r="R286" s="1105"/>
      <c r="S286" s="1105"/>
      <c r="T286" s="1105"/>
      <c r="U286" s="1105"/>
      <c r="V286" s="1105"/>
      <c r="W286" s="1105"/>
      <c r="X286" s="1105"/>
      <c r="Y286" s="1109" t="s">
        <v>4520</v>
      </c>
      <c r="Z286" s="1109" t="s">
        <v>4521</v>
      </c>
      <c r="AA286" s="1109" t="s">
        <v>4522</v>
      </c>
      <c r="AB286" s="1109" t="s">
        <v>4523</v>
      </c>
      <c r="AC286" s="1109" t="s">
        <v>4524</v>
      </c>
      <c r="AD286" s="1109" t="s">
        <v>4525</v>
      </c>
      <c r="AE286" s="1112">
        <v>161.839</v>
      </c>
      <c r="AF286" s="1113">
        <f t="shared" si="34"/>
        <v>161.83940000000001</v>
      </c>
      <c r="AG286" s="1113">
        <f t="shared" si="35"/>
        <v>4.0000000001327862E-4</v>
      </c>
      <c r="AH286" s="1112"/>
      <c r="AI286" s="1113"/>
      <c r="AJ286" s="1113"/>
      <c r="AK286" s="1112">
        <v>154.83500000000001</v>
      </c>
      <c r="AL286" s="1114">
        <f>AK286/AE286</f>
        <v>0.95672242166597676</v>
      </c>
      <c r="AM286" s="1114">
        <v>2.47E-2</v>
      </c>
      <c r="AN286" s="1112"/>
      <c r="AO286" s="1113"/>
      <c r="AP286" s="1112">
        <v>7.0044000000000004</v>
      </c>
      <c r="AQ286" s="1114">
        <v>4.3299999999999998E-2</v>
      </c>
      <c r="AR286" s="1112"/>
      <c r="AS286" s="1114"/>
      <c r="AT286" s="1114"/>
      <c r="AU286" s="1114"/>
      <c r="AV286" s="1114"/>
      <c r="AW286" s="1114" t="s">
        <v>500</v>
      </c>
      <c r="AX286" s="1114" t="s">
        <v>4526</v>
      </c>
      <c r="AY286" s="1114"/>
      <c r="AZ286" s="1114"/>
      <c r="BA286" s="1113">
        <v>137.22399999999999</v>
      </c>
      <c r="BB286" s="1114">
        <v>2.1600000000000001E-2</v>
      </c>
      <c r="BC286" s="1115">
        <v>26</v>
      </c>
      <c r="BD286" s="1115">
        <v>26</v>
      </c>
      <c r="BE286" s="1116">
        <v>26</v>
      </c>
      <c r="BF286" s="1115">
        <v>1</v>
      </c>
      <c r="BG286" s="1115">
        <v>6</v>
      </c>
      <c r="BH286" s="1115"/>
      <c r="BI286" s="1115"/>
      <c r="BJ286" s="1115"/>
      <c r="BK286" s="1115">
        <v>2</v>
      </c>
      <c r="BL286" s="1115"/>
      <c r="BM286" s="1115"/>
      <c r="BN286" s="1115"/>
      <c r="BO286" s="1115"/>
      <c r="BP286" s="1115">
        <v>1</v>
      </c>
      <c r="BQ286" s="1115">
        <v>2</v>
      </c>
      <c r="BR286" s="1115"/>
      <c r="BS286" s="1115">
        <v>1</v>
      </c>
      <c r="BT286" s="1115">
        <v>1</v>
      </c>
      <c r="BU286" s="1115"/>
      <c r="BV286" s="1115"/>
      <c r="BW286" s="1115"/>
      <c r="BX286" s="1115"/>
      <c r="BY286" s="1115">
        <v>12</v>
      </c>
      <c r="BZ286" s="1115"/>
      <c r="CA286" s="1117">
        <f t="shared" si="40"/>
        <v>26</v>
      </c>
      <c r="CB286" s="1117">
        <f t="shared" si="37"/>
        <v>26</v>
      </c>
      <c r="CC286" s="1117">
        <f t="shared" si="38"/>
        <v>0</v>
      </c>
      <c r="CD286" s="1113">
        <v>28.632999999999999</v>
      </c>
      <c r="CE286" s="1109" t="s">
        <v>4527</v>
      </c>
      <c r="CF286" s="1109"/>
      <c r="CG286" s="1109">
        <v>100</v>
      </c>
      <c r="CH286" s="1113">
        <v>28.632999999999999</v>
      </c>
      <c r="CI286" s="1368" t="s">
        <v>4484</v>
      </c>
      <c r="CJ286" s="1109" t="s">
        <v>500</v>
      </c>
      <c r="CK286" s="1109" t="s">
        <v>4528</v>
      </c>
      <c r="CL286" s="1109" t="s">
        <v>2842</v>
      </c>
      <c r="CM286" s="1115">
        <v>49</v>
      </c>
      <c r="CN286" s="1115">
        <v>34</v>
      </c>
      <c r="CO286" s="1115"/>
      <c r="CP286" s="1109" t="s">
        <v>500</v>
      </c>
      <c r="CQ286" s="1109" t="s">
        <v>4468</v>
      </c>
      <c r="CR286" s="1115">
        <v>356</v>
      </c>
      <c r="CS286" s="1109" t="s">
        <v>500</v>
      </c>
      <c r="CT286" s="1109" t="s">
        <v>4529</v>
      </c>
      <c r="CU286" s="1115">
        <v>140</v>
      </c>
      <c r="CV286" s="1115" t="s">
        <v>504</v>
      </c>
      <c r="CW286" s="1115"/>
      <c r="CX286" s="1115"/>
      <c r="CY286" s="1115" t="s">
        <v>504</v>
      </c>
      <c r="CZ286" s="1115"/>
      <c r="DA286" s="1115"/>
      <c r="DB286" s="1109" t="s">
        <v>500</v>
      </c>
      <c r="DC286" s="1109"/>
      <c r="DD286" s="1115">
        <v>2</v>
      </c>
      <c r="DE286" s="1109"/>
      <c r="DF286" s="1109"/>
      <c r="DG286" s="1115"/>
      <c r="DH286" s="1109"/>
      <c r="DI286" s="1109"/>
      <c r="DJ286" s="1115"/>
      <c r="DK286" s="1109" t="s">
        <v>500</v>
      </c>
      <c r="DL286" s="1109" t="s">
        <v>4468</v>
      </c>
      <c r="DM286" s="1115">
        <v>16</v>
      </c>
      <c r="DN286" s="1104" t="s">
        <v>500</v>
      </c>
      <c r="DO286" s="1131" t="s">
        <v>4488</v>
      </c>
      <c r="DP286" s="1130">
        <v>600</v>
      </c>
      <c r="DQ286" s="1104" t="s">
        <v>500</v>
      </c>
      <c r="DR286" s="1104" t="s">
        <v>4530</v>
      </c>
      <c r="DS286" s="1130">
        <v>3836</v>
      </c>
      <c r="DT286" s="1115" t="s">
        <v>504</v>
      </c>
      <c r="DU286" s="1115"/>
      <c r="DV286" s="1115"/>
      <c r="DW286" s="1109" t="s">
        <v>504</v>
      </c>
      <c r="DX286" s="1109"/>
      <c r="DY286" s="1115"/>
      <c r="DZ286" s="1109" t="s">
        <v>504</v>
      </c>
      <c r="EA286" s="1109"/>
      <c r="EB286" s="1115"/>
      <c r="EC286" s="1104" t="s">
        <v>500</v>
      </c>
      <c r="ED286" s="1104" t="s">
        <v>4531</v>
      </c>
      <c r="EE286" s="1130">
        <v>10</v>
      </c>
      <c r="EF286" s="1115" t="s">
        <v>504</v>
      </c>
      <c r="EG286" s="1115"/>
      <c r="EH286" s="1115"/>
      <c r="EI286" s="1104" t="s">
        <v>500</v>
      </c>
      <c r="EJ286" s="1104" t="s">
        <v>4532</v>
      </c>
      <c r="EK286" s="1130">
        <v>10</v>
      </c>
      <c r="EL286" s="1130"/>
      <c r="EM286" s="1130"/>
      <c r="EN286" s="1130"/>
      <c r="EO286" s="1109" t="s">
        <v>504</v>
      </c>
      <c r="EP286" s="1109"/>
      <c r="EQ286" s="1131" t="s">
        <v>4488</v>
      </c>
      <c r="ER286" s="1109" t="s">
        <v>4533</v>
      </c>
      <c r="ES286" s="1143" t="s">
        <v>4534</v>
      </c>
      <c r="ET286" s="1109" t="s">
        <v>4535</v>
      </c>
      <c r="EU286" s="1109" t="s">
        <v>4536</v>
      </c>
      <c r="EV286" s="1109" t="s">
        <v>4537</v>
      </c>
      <c r="EW286" s="1109">
        <v>7</v>
      </c>
      <c r="EX286" s="1109">
        <v>141</v>
      </c>
    </row>
    <row r="287" spans="3:154" ht="99.95" customHeight="1" x14ac:dyDescent="0.2">
      <c r="C287" s="1156" t="s">
        <v>693</v>
      </c>
      <c r="D287" s="1156" t="s">
        <v>5278</v>
      </c>
      <c r="E287" s="1104" t="s">
        <v>370</v>
      </c>
      <c r="F287" s="1104" t="s">
        <v>455</v>
      </c>
      <c r="G287" s="1109" t="s">
        <v>4538</v>
      </c>
      <c r="H287" s="1109" t="s">
        <v>4539</v>
      </c>
      <c r="I287" s="1109" t="s">
        <v>4502</v>
      </c>
      <c r="J287" s="1110">
        <v>2018</v>
      </c>
      <c r="K287" s="1105">
        <v>43721</v>
      </c>
      <c r="L287" s="1105">
        <v>44188</v>
      </c>
      <c r="M287" s="1369">
        <f t="shared" si="39"/>
        <v>467</v>
      </c>
      <c r="N287" s="1105"/>
      <c r="O287" s="1105"/>
      <c r="P287" s="1105"/>
      <c r="Q287" s="1105"/>
      <c r="R287" s="1105"/>
      <c r="S287" s="1105"/>
      <c r="T287" s="1105"/>
      <c r="U287" s="1105"/>
      <c r="V287" s="1105"/>
      <c r="W287" s="1105"/>
      <c r="X287" s="1105"/>
      <c r="Y287" s="1109" t="s">
        <v>4541</v>
      </c>
      <c r="Z287" s="1143" t="s">
        <v>4542</v>
      </c>
      <c r="AA287" s="1109" t="s">
        <v>4543</v>
      </c>
      <c r="AB287" s="1109" t="s">
        <v>4544</v>
      </c>
      <c r="AC287" s="1109"/>
      <c r="AD287" s="1109"/>
      <c r="AE287" s="1112">
        <v>15.471</v>
      </c>
      <c r="AF287" s="1113">
        <f t="shared" si="34"/>
        <v>15.471</v>
      </c>
      <c r="AG287" s="1113">
        <f t="shared" si="35"/>
        <v>0</v>
      </c>
      <c r="AH287" s="1112"/>
      <c r="AI287" s="1113"/>
      <c r="AJ287" s="1113"/>
      <c r="AK287" s="1112">
        <v>15.471</v>
      </c>
      <c r="AL287" s="1114">
        <v>1</v>
      </c>
      <c r="AM287" s="1114">
        <f>10.237/10562.582787</f>
        <v>9.691758357245054E-4</v>
      </c>
      <c r="AN287" s="1112"/>
      <c r="AO287" s="1114"/>
      <c r="AP287" s="1112"/>
      <c r="AQ287" s="1114"/>
      <c r="AR287" s="1112"/>
      <c r="AS287" s="1114"/>
      <c r="AT287" s="1114"/>
      <c r="AU287" s="1114"/>
      <c r="AV287" s="1114"/>
      <c r="AW287" s="1114"/>
      <c r="AX287" s="1114"/>
      <c r="AY287" s="1114"/>
      <c r="AZ287" s="1114"/>
      <c r="BA287" s="1113">
        <v>9.4126999999999992</v>
      </c>
      <c r="BB287" s="1114">
        <f>9.413/10739.331329</f>
        <v>8.7649777361664639E-4</v>
      </c>
      <c r="BC287" s="1115">
        <v>38</v>
      </c>
      <c r="BD287" s="1115">
        <v>2</v>
      </c>
      <c r="BE287" s="1116">
        <v>2</v>
      </c>
      <c r="BF287" s="1115"/>
      <c r="BG287" s="1115"/>
      <c r="BH287" s="1115"/>
      <c r="BI287" s="1115"/>
      <c r="BJ287" s="1115"/>
      <c r="BK287" s="1115"/>
      <c r="BL287" s="1115"/>
      <c r="BM287" s="1115">
        <v>1</v>
      </c>
      <c r="BN287" s="1115">
        <v>1</v>
      </c>
      <c r="BO287" s="1115"/>
      <c r="BP287" s="1115"/>
      <c r="BQ287" s="1115"/>
      <c r="BR287" s="1115"/>
      <c r="BS287" s="1115"/>
      <c r="BT287" s="1115"/>
      <c r="BU287" s="1115"/>
      <c r="BV287" s="1115"/>
      <c r="BW287" s="1115">
        <v>1</v>
      </c>
      <c r="BX287" s="1115"/>
      <c r="BY287" s="1115">
        <v>18</v>
      </c>
      <c r="BZ287" s="1115"/>
      <c r="CA287" s="1117">
        <f t="shared" si="40"/>
        <v>21</v>
      </c>
      <c r="CB287" s="1117">
        <f t="shared" si="37"/>
        <v>21</v>
      </c>
      <c r="CC287" s="1117">
        <f t="shared" si="38"/>
        <v>0</v>
      </c>
      <c r="CD287" s="1113">
        <v>45.198</v>
      </c>
      <c r="CE287" s="1109" t="s">
        <v>4545</v>
      </c>
      <c r="CF287" s="1143" t="s">
        <v>4546</v>
      </c>
      <c r="CG287" s="1109"/>
      <c r="CH287" s="1109">
        <v>64.570999999999998</v>
      </c>
      <c r="CI287" s="1143" t="s">
        <v>4546</v>
      </c>
      <c r="CJ287" s="1109" t="s">
        <v>500</v>
      </c>
      <c r="CK287" s="1109" t="s">
        <v>4547</v>
      </c>
      <c r="CL287" s="1109" t="s">
        <v>504</v>
      </c>
      <c r="CM287" s="1115">
        <v>2</v>
      </c>
      <c r="CN287" s="1115"/>
      <c r="CO287" s="1115"/>
      <c r="CP287" s="1109" t="s">
        <v>504</v>
      </c>
      <c r="CQ287" s="1109"/>
      <c r="CR287" s="1115"/>
      <c r="CS287" s="1109" t="s">
        <v>504</v>
      </c>
      <c r="CT287" s="1109"/>
      <c r="CU287" s="1115"/>
      <c r="CV287" s="1115" t="s">
        <v>504</v>
      </c>
      <c r="CW287" s="1115"/>
      <c r="CX287" s="1115"/>
      <c r="CY287" s="1115" t="s">
        <v>504</v>
      </c>
      <c r="CZ287" s="1115"/>
      <c r="DA287" s="1115"/>
      <c r="DB287" s="1109" t="s">
        <v>504</v>
      </c>
      <c r="DC287" s="1109"/>
      <c r="DD287" s="1115"/>
      <c r="DE287" s="1109" t="s">
        <v>500</v>
      </c>
      <c r="DF287" s="1109" t="s">
        <v>4548</v>
      </c>
      <c r="DG287" s="1115">
        <v>12</v>
      </c>
      <c r="DH287" s="1109" t="s">
        <v>504</v>
      </c>
      <c r="DI287" s="1109"/>
      <c r="DJ287" s="1115"/>
      <c r="DK287" s="1109" t="s">
        <v>500</v>
      </c>
      <c r="DL287" s="1109" t="s">
        <v>4549</v>
      </c>
      <c r="DM287" s="1115">
        <v>4</v>
      </c>
      <c r="DN287" s="1109" t="s">
        <v>500</v>
      </c>
      <c r="DO287" s="1109" t="s">
        <v>4548</v>
      </c>
      <c r="DP287" s="1115">
        <v>355</v>
      </c>
      <c r="DQ287" s="1109" t="s">
        <v>504</v>
      </c>
      <c r="DR287" s="1109"/>
      <c r="DS287" s="1115"/>
      <c r="DT287" s="1115" t="s">
        <v>504</v>
      </c>
      <c r="DU287" s="1115"/>
      <c r="DV287" s="1115"/>
      <c r="DW287" s="1109" t="s">
        <v>504</v>
      </c>
      <c r="DX287" s="1109"/>
      <c r="DY287" s="1115"/>
      <c r="DZ287" s="1109" t="s">
        <v>504</v>
      </c>
      <c r="EA287" s="1109"/>
      <c r="EB287" s="1115"/>
      <c r="EC287" s="1109" t="s">
        <v>500</v>
      </c>
      <c r="ED287" s="1109" t="s">
        <v>4550</v>
      </c>
      <c r="EE287" s="1115">
        <v>16</v>
      </c>
      <c r="EF287" s="1115" t="s">
        <v>504</v>
      </c>
      <c r="EG287" s="1115"/>
      <c r="EH287" s="1115"/>
      <c r="EI287" s="1109" t="s">
        <v>504</v>
      </c>
      <c r="EJ287" s="1109"/>
      <c r="EK287" s="1115"/>
      <c r="EL287" s="1115"/>
      <c r="EM287" s="1115"/>
      <c r="EN287" s="1115"/>
      <c r="EO287" s="1109" t="s">
        <v>504</v>
      </c>
      <c r="EP287" s="1109"/>
      <c r="EQ287" s="1143" t="s">
        <v>4551</v>
      </c>
      <c r="ER287" s="1109" t="s">
        <v>4552</v>
      </c>
      <c r="ES287" s="1109"/>
      <c r="ET287" s="1109" t="s">
        <v>4553</v>
      </c>
      <c r="EU287" s="1109" t="s">
        <v>504</v>
      </c>
      <c r="EV287" s="1109"/>
      <c r="EW287" s="1109"/>
      <c r="EX287" s="1109"/>
    </row>
    <row r="288" spans="3:154" ht="98.1" customHeight="1" x14ac:dyDescent="0.2">
      <c r="C288" s="1156" t="s">
        <v>693</v>
      </c>
      <c r="D288" s="1156" t="s">
        <v>5278</v>
      </c>
      <c r="E288" s="1104" t="s">
        <v>370</v>
      </c>
      <c r="F288" s="1104" t="s">
        <v>455</v>
      </c>
      <c r="G288" s="1109" t="s">
        <v>4554</v>
      </c>
      <c r="H288" s="1109" t="s">
        <v>4539</v>
      </c>
      <c r="I288" s="1109" t="s">
        <v>4502</v>
      </c>
      <c r="J288" s="1110">
        <v>2018</v>
      </c>
      <c r="K288" s="1105">
        <v>43721</v>
      </c>
      <c r="L288" s="1105">
        <v>44188</v>
      </c>
      <c r="M288" s="1369">
        <f t="shared" si="39"/>
        <v>467</v>
      </c>
      <c r="N288" s="1105"/>
      <c r="O288" s="1105"/>
      <c r="P288" s="1105"/>
      <c r="Q288" s="1105"/>
      <c r="R288" s="1105"/>
      <c r="S288" s="1105"/>
      <c r="T288" s="1105"/>
      <c r="U288" s="1105"/>
      <c r="V288" s="1105"/>
      <c r="W288" s="1105"/>
      <c r="X288" s="1105"/>
      <c r="Y288" s="1109" t="s">
        <v>4541</v>
      </c>
      <c r="Z288" s="1143" t="s">
        <v>4542</v>
      </c>
      <c r="AA288" s="1109" t="s">
        <v>4543</v>
      </c>
      <c r="AB288" s="1109" t="s">
        <v>4544</v>
      </c>
      <c r="AC288" s="1109"/>
      <c r="AD288" s="1109"/>
      <c r="AE288" s="1112">
        <v>3.732993</v>
      </c>
      <c r="AF288" s="1113">
        <f t="shared" si="34"/>
        <v>3.732993</v>
      </c>
      <c r="AG288" s="1113">
        <f t="shared" si="35"/>
        <v>0</v>
      </c>
      <c r="AH288" s="1112"/>
      <c r="AI288" s="1113"/>
      <c r="AJ288" s="1113"/>
      <c r="AK288" s="1112">
        <v>3.732993</v>
      </c>
      <c r="AL288" s="1114">
        <v>1</v>
      </c>
      <c r="AM288" s="1114">
        <f>3.733/1073.515777</f>
        <v>3.4773592340040663E-3</v>
      </c>
      <c r="AN288" s="1112"/>
      <c r="AO288" s="1114"/>
      <c r="AP288" s="1112"/>
      <c r="AQ288" s="1114"/>
      <c r="AR288" s="1112"/>
      <c r="AS288" s="1114"/>
      <c r="AT288" s="1114"/>
      <c r="AU288" s="1114"/>
      <c r="AV288" s="1114"/>
      <c r="AW288" s="1114"/>
      <c r="AX288" s="1114"/>
      <c r="AY288" s="1114"/>
      <c r="AZ288" s="1114"/>
      <c r="BA288" s="1113"/>
      <c r="BB288" s="1114"/>
      <c r="BC288" s="1115">
        <v>4</v>
      </c>
      <c r="BD288" s="1115">
        <v>2</v>
      </c>
      <c r="BE288" s="1116">
        <v>2</v>
      </c>
      <c r="BF288" s="1115"/>
      <c r="BG288" s="1115"/>
      <c r="BH288" s="1115"/>
      <c r="BI288" s="1115"/>
      <c r="BJ288" s="1115"/>
      <c r="BK288" s="1115"/>
      <c r="BL288" s="1115"/>
      <c r="BM288" s="1115">
        <v>1</v>
      </c>
      <c r="BN288" s="1115">
        <v>1</v>
      </c>
      <c r="BO288" s="1115"/>
      <c r="BP288" s="1115"/>
      <c r="BQ288" s="1115"/>
      <c r="BR288" s="1115"/>
      <c r="BS288" s="1115"/>
      <c r="BT288" s="1115"/>
      <c r="BU288" s="1115"/>
      <c r="BV288" s="1115"/>
      <c r="BW288" s="1115"/>
      <c r="BX288" s="1115"/>
      <c r="BY288" s="1115"/>
      <c r="BZ288" s="1115"/>
      <c r="CA288" s="1117">
        <f t="shared" si="40"/>
        <v>2</v>
      </c>
      <c r="CB288" s="1117">
        <f t="shared" si="37"/>
        <v>2</v>
      </c>
      <c r="CC288" s="1117">
        <f t="shared" si="38"/>
        <v>0</v>
      </c>
      <c r="CD288" s="1113">
        <v>45.198</v>
      </c>
      <c r="CE288" s="1109" t="s">
        <v>4545</v>
      </c>
      <c r="CF288" s="1143" t="s">
        <v>4546</v>
      </c>
      <c r="CG288" s="1109"/>
      <c r="CH288" s="1113">
        <v>45.198</v>
      </c>
      <c r="CI288" s="1143" t="s">
        <v>4546</v>
      </c>
      <c r="CJ288" s="1109" t="s">
        <v>500</v>
      </c>
      <c r="CK288" s="1109" t="s">
        <v>4547</v>
      </c>
      <c r="CL288" s="1109" t="s">
        <v>4555</v>
      </c>
      <c r="CM288" s="1115">
        <v>2</v>
      </c>
      <c r="CN288" s="1115"/>
      <c r="CO288" s="1115"/>
      <c r="CP288" s="1109" t="s">
        <v>504</v>
      </c>
      <c r="CQ288" s="1109"/>
      <c r="CR288" s="1115"/>
      <c r="CS288" s="1109" t="s">
        <v>504</v>
      </c>
      <c r="CT288" s="1109"/>
      <c r="CU288" s="1115"/>
      <c r="CV288" s="1115" t="s">
        <v>504</v>
      </c>
      <c r="CW288" s="1115"/>
      <c r="CX288" s="1115"/>
      <c r="CY288" s="1115" t="s">
        <v>504</v>
      </c>
      <c r="CZ288" s="1115"/>
      <c r="DA288" s="1115"/>
      <c r="DB288" s="1109" t="s">
        <v>504</v>
      </c>
      <c r="DC288" s="1109"/>
      <c r="DD288" s="1115"/>
      <c r="DE288" s="1109" t="s">
        <v>500</v>
      </c>
      <c r="DF288" s="1109" t="s">
        <v>4548</v>
      </c>
      <c r="DG288" s="1115">
        <v>12</v>
      </c>
      <c r="DH288" s="1109" t="s">
        <v>504</v>
      </c>
      <c r="DI288" s="1109"/>
      <c r="DJ288" s="1115"/>
      <c r="DK288" s="1109" t="s">
        <v>500</v>
      </c>
      <c r="DL288" s="1109" t="s">
        <v>4549</v>
      </c>
      <c r="DM288" s="1115">
        <v>4</v>
      </c>
      <c r="DN288" s="1109" t="s">
        <v>500</v>
      </c>
      <c r="DO288" s="1109" t="s">
        <v>4548</v>
      </c>
      <c r="DP288" s="1115">
        <v>355</v>
      </c>
      <c r="DQ288" s="1109" t="s">
        <v>504</v>
      </c>
      <c r="DR288" s="1109"/>
      <c r="DS288" s="1115"/>
      <c r="DT288" s="1115" t="s">
        <v>504</v>
      </c>
      <c r="DU288" s="1115"/>
      <c r="DV288" s="1115"/>
      <c r="DW288" s="1109" t="s">
        <v>504</v>
      </c>
      <c r="DX288" s="1109"/>
      <c r="DY288" s="1115"/>
      <c r="DZ288" s="1109" t="s">
        <v>504</v>
      </c>
      <c r="EA288" s="1109"/>
      <c r="EB288" s="1115"/>
      <c r="EC288" s="1109" t="s">
        <v>500</v>
      </c>
      <c r="ED288" s="1109" t="s">
        <v>4550</v>
      </c>
      <c r="EE288" s="1115">
        <v>16</v>
      </c>
      <c r="EF288" s="1115" t="s">
        <v>504</v>
      </c>
      <c r="EG288" s="1115"/>
      <c r="EH288" s="1115"/>
      <c r="EI288" s="1109" t="s">
        <v>504</v>
      </c>
      <c r="EJ288" s="1109"/>
      <c r="EK288" s="1115"/>
      <c r="EL288" s="1115"/>
      <c r="EM288" s="1115"/>
      <c r="EN288" s="1115"/>
      <c r="EO288" s="1109" t="s">
        <v>504</v>
      </c>
      <c r="EP288" s="1109"/>
      <c r="EQ288" s="1143" t="s">
        <v>4551</v>
      </c>
      <c r="ER288" s="1109" t="s">
        <v>4552</v>
      </c>
      <c r="ES288" s="1109"/>
      <c r="ET288" s="1109" t="s">
        <v>4553</v>
      </c>
      <c r="EU288" s="1109" t="s">
        <v>504</v>
      </c>
      <c r="EV288" s="1109"/>
      <c r="EW288" s="1109"/>
      <c r="EX288" s="1109"/>
    </row>
    <row r="289" spans="3:154" customFormat="1" ht="59.1" customHeight="1" x14ac:dyDescent="0.25">
      <c r="C289" s="1156" t="s">
        <v>693</v>
      </c>
      <c r="D289" s="1156" t="s">
        <v>5278</v>
      </c>
      <c r="E289" s="1104" t="s">
        <v>370</v>
      </c>
      <c r="F289" s="1104" t="s">
        <v>455</v>
      </c>
      <c r="G289" s="1109" t="s">
        <v>4556</v>
      </c>
      <c r="H289" s="1109" t="s">
        <v>4557</v>
      </c>
      <c r="I289" s="1109" t="s">
        <v>2535</v>
      </c>
      <c r="J289" s="1110">
        <v>2020</v>
      </c>
      <c r="K289" s="1105">
        <v>43647</v>
      </c>
      <c r="L289" s="1105">
        <v>43861</v>
      </c>
      <c r="M289" s="1369">
        <f t="shared" si="39"/>
        <v>214</v>
      </c>
      <c r="N289" s="1105"/>
      <c r="O289" s="1105"/>
      <c r="P289" s="1105"/>
      <c r="Q289" s="1105"/>
      <c r="R289" s="1105"/>
      <c r="S289" s="1105"/>
      <c r="T289" s="1105"/>
      <c r="U289" s="1105"/>
      <c r="V289" s="1105"/>
      <c r="W289" s="1105"/>
      <c r="X289" s="1105"/>
      <c r="Y289" s="1109" t="s">
        <v>4558</v>
      </c>
      <c r="Z289" s="1109" t="s">
        <v>4559</v>
      </c>
      <c r="AA289" s="1109" t="s">
        <v>4560</v>
      </c>
      <c r="AB289" s="1109" t="s">
        <v>4560</v>
      </c>
      <c r="AC289" s="1109" t="s">
        <v>465</v>
      </c>
      <c r="AD289" s="1109" t="s">
        <v>465</v>
      </c>
      <c r="AE289" s="1112">
        <v>0.52900000000000003</v>
      </c>
      <c r="AF289" s="1113">
        <f t="shared" si="34"/>
        <v>0.52900000000000003</v>
      </c>
      <c r="AG289" s="1113">
        <f t="shared" si="35"/>
        <v>0</v>
      </c>
      <c r="AH289" s="1112"/>
      <c r="AI289" s="1113"/>
      <c r="AJ289" s="1113"/>
      <c r="AK289" s="1112">
        <v>0.52900000000000003</v>
      </c>
      <c r="AL289" s="1114">
        <v>1</v>
      </c>
      <c r="AM289" s="1114">
        <v>9.1000000000000004E-3</v>
      </c>
      <c r="AN289" s="1112"/>
      <c r="AO289" s="1114"/>
      <c r="AP289" s="1112"/>
      <c r="AQ289" s="1114"/>
      <c r="AR289" s="1112"/>
      <c r="AS289" s="1114"/>
      <c r="AT289" s="1114"/>
      <c r="AU289" s="1114"/>
      <c r="AV289" s="1114"/>
      <c r="AW289" s="1114" t="s">
        <v>500</v>
      </c>
      <c r="AX289" s="1114" t="s">
        <v>4561</v>
      </c>
      <c r="AY289" s="1114"/>
      <c r="AZ289" s="1114"/>
      <c r="BA289" s="1113"/>
      <c r="BB289" s="1114"/>
      <c r="BC289" s="1115">
        <v>2</v>
      </c>
      <c r="BD289" s="1115">
        <v>1</v>
      </c>
      <c r="BE289" s="1116">
        <v>1</v>
      </c>
      <c r="BF289" s="1115"/>
      <c r="BG289" s="1115"/>
      <c r="BH289" s="1115"/>
      <c r="BI289" s="1115"/>
      <c r="BJ289" s="1115"/>
      <c r="BK289" s="1115">
        <v>1</v>
      </c>
      <c r="BL289" s="1115"/>
      <c r="BM289" s="1115"/>
      <c r="BN289" s="1115"/>
      <c r="BO289" s="1115"/>
      <c r="BP289" s="1115"/>
      <c r="BQ289" s="1115"/>
      <c r="BR289" s="1115"/>
      <c r="BS289" s="1115"/>
      <c r="BT289" s="1115"/>
      <c r="BU289" s="1115"/>
      <c r="BV289" s="1115"/>
      <c r="BW289" s="1115"/>
      <c r="BX289" s="1115"/>
      <c r="BY289" s="1115"/>
      <c r="BZ289" s="1115"/>
      <c r="CA289" s="1117">
        <f t="shared" si="40"/>
        <v>1</v>
      </c>
      <c r="CB289" s="1117">
        <f t="shared" si="37"/>
        <v>1</v>
      </c>
      <c r="CC289" s="1117">
        <f t="shared" si="38"/>
        <v>0</v>
      </c>
      <c r="CD289" s="1113">
        <v>0.877</v>
      </c>
      <c r="CE289" s="1109"/>
      <c r="CF289" s="1109"/>
      <c r="CG289" s="1109">
        <v>100</v>
      </c>
      <c r="CH289" s="1113">
        <v>0.877</v>
      </c>
      <c r="CI289" s="1114" t="s">
        <v>465</v>
      </c>
      <c r="CJ289" s="1109" t="s">
        <v>504</v>
      </c>
      <c r="CK289" s="1109"/>
      <c r="CL289" s="1109"/>
      <c r="CM289" s="1115"/>
      <c r="CN289" s="1115"/>
      <c r="CO289" s="1115">
        <v>3</v>
      </c>
      <c r="CP289" s="1109" t="s">
        <v>500</v>
      </c>
      <c r="CQ289" s="1109"/>
      <c r="CR289" s="1115"/>
      <c r="CS289" s="1109" t="s">
        <v>500</v>
      </c>
      <c r="CT289" s="1109"/>
      <c r="CU289" s="1115"/>
      <c r="CV289" s="1109" t="s">
        <v>504</v>
      </c>
      <c r="CW289" s="1109"/>
      <c r="CX289" s="1115"/>
      <c r="CY289" s="1109" t="s">
        <v>504</v>
      </c>
      <c r="CZ289" s="1109"/>
      <c r="DA289" s="1115"/>
      <c r="DB289" s="1109" t="s">
        <v>504</v>
      </c>
      <c r="DC289" s="1109"/>
      <c r="DD289" s="1115"/>
      <c r="DE289" s="1109" t="s">
        <v>504</v>
      </c>
      <c r="DF289" s="1109"/>
      <c r="DG289" s="1115"/>
      <c r="DH289" s="1109" t="s">
        <v>504</v>
      </c>
      <c r="DI289" s="1109"/>
      <c r="DJ289" s="1115"/>
      <c r="DK289" s="1109" t="s">
        <v>504</v>
      </c>
      <c r="DL289" s="1109"/>
      <c r="DM289" s="1115"/>
      <c r="DN289" s="1109" t="s">
        <v>504</v>
      </c>
      <c r="DO289" s="1109"/>
      <c r="DP289" s="1115"/>
      <c r="DQ289" s="1109" t="s">
        <v>504</v>
      </c>
      <c r="DR289" s="1109"/>
      <c r="DS289" s="1115"/>
      <c r="DT289" s="1109" t="s">
        <v>504</v>
      </c>
      <c r="DU289" s="1109"/>
      <c r="DV289" s="1115"/>
      <c r="DW289" s="1109" t="s">
        <v>504</v>
      </c>
      <c r="DX289" s="1109"/>
      <c r="DY289" s="1115"/>
      <c r="DZ289" s="1109" t="s">
        <v>504</v>
      </c>
      <c r="EA289" s="1109"/>
      <c r="EB289" s="1115"/>
      <c r="EC289" s="1109" t="s">
        <v>504</v>
      </c>
      <c r="ED289" s="1109"/>
      <c r="EE289" s="1115"/>
      <c r="EF289" s="1115" t="s">
        <v>500</v>
      </c>
      <c r="EG289" s="1115" t="s">
        <v>4562</v>
      </c>
      <c r="EH289" s="1115"/>
      <c r="EI289" s="1109" t="s">
        <v>504</v>
      </c>
      <c r="EJ289" s="1109"/>
      <c r="EK289" s="1115"/>
      <c r="EL289" s="1115"/>
      <c r="EM289" s="1115"/>
      <c r="EN289" s="1115"/>
      <c r="EO289" s="1109" t="s">
        <v>504</v>
      </c>
      <c r="EP289" s="1109"/>
      <c r="EQ289" s="1143" t="s">
        <v>4563</v>
      </c>
      <c r="ER289" s="1109"/>
      <c r="ES289" s="1109"/>
      <c r="ET289" s="1109"/>
      <c r="EU289" s="1109"/>
      <c r="EV289" s="1109"/>
      <c r="EW289" s="1109"/>
      <c r="EX289" s="1109"/>
    </row>
    <row r="290" spans="3:154" customFormat="1" ht="74.099999999999994" customHeight="1" x14ac:dyDescent="0.25">
      <c r="C290" s="1156" t="s">
        <v>693</v>
      </c>
      <c r="D290" s="1156" t="s">
        <v>5278</v>
      </c>
      <c r="E290" s="1104" t="s">
        <v>370</v>
      </c>
      <c r="F290" s="1104" t="s">
        <v>455</v>
      </c>
      <c r="G290" s="1109" t="s">
        <v>4564</v>
      </c>
      <c r="H290" s="1109" t="s">
        <v>4557</v>
      </c>
      <c r="I290" s="1109" t="s">
        <v>2535</v>
      </c>
      <c r="J290" s="1110">
        <v>2020</v>
      </c>
      <c r="K290" s="1105">
        <v>43864</v>
      </c>
      <c r="L290" s="1105">
        <v>44074</v>
      </c>
      <c r="M290" s="1369">
        <f t="shared" si="39"/>
        <v>210</v>
      </c>
      <c r="N290" s="1105"/>
      <c r="O290" s="1105"/>
      <c r="P290" s="1105"/>
      <c r="Q290" s="1105"/>
      <c r="R290" s="1105"/>
      <c r="S290" s="1105"/>
      <c r="T290" s="1105"/>
      <c r="U290" s="1105"/>
      <c r="V290" s="1105"/>
      <c r="W290" s="1105"/>
      <c r="X290" s="1105"/>
      <c r="Y290" s="1109" t="s">
        <v>4565</v>
      </c>
      <c r="Z290" s="1109" t="s">
        <v>4566</v>
      </c>
      <c r="AA290" s="1109" t="s">
        <v>4567</v>
      </c>
      <c r="AB290" s="1109" t="s">
        <v>4567</v>
      </c>
      <c r="AC290" s="1109" t="s">
        <v>465</v>
      </c>
      <c r="AD290" s="1109" t="s">
        <v>465</v>
      </c>
      <c r="AE290" s="1112">
        <v>0.222</v>
      </c>
      <c r="AF290" s="1113">
        <f t="shared" si="34"/>
        <v>0.222</v>
      </c>
      <c r="AG290" s="1113">
        <f t="shared" si="35"/>
        <v>0</v>
      </c>
      <c r="AH290" s="1112"/>
      <c r="AI290" s="1113"/>
      <c r="AJ290" s="1113"/>
      <c r="AK290" s="1112">
        <v>0.222</v>
      </c>
      <c r="AL290" s="1114">
        <v>1</v>
      </c>
      <c r="AM290" s="1114">
        <v>4.3600000000000002E-3</v>
      </c>
      <c r="AN290" s="1112"/>
      <c r="AO290" s="1114"/>
      <c r="AP290" s="1112"/>
      <c r="AQ290" s="1114"/>
      <c r="AR290" s="1112"/>
      <c r="AS290" s="1114"/>
      <c r="AT290" s="1114"/>
      <c r="AU290" s="1114"/>
      <c r="AV290" s="1114"/>
      <c r="AW290" s="1114" t="s">
        <v>500</v>
      </c>
      <c r="AX290" s="1114" t="s">
        <v>4568</v>
      </c>
      <c r="AY290" s="1114"/>
      <c r="AZ290" s="1114"/>
      <c r="BA290" s="1113"/>
      <c r="BB290" s="1114"/>
      <c r="BC290" s="1115">
        <v>2</v>
      </c>
      <c r="BD290" s="1115">
        <v>2</v>
      </c>
      <c r="BE290" s="1116">
        <v>2</v>
      </c>
      <c r="BF290" s="1115"/>
      <c r="BG290" s="1115">
        <v>1</v>
      </c>
      <c r="BH290" s="1115"/>
      <c r="BI290" s="1115"/>
      <c r="BJ290" s="1115"/>
      <c r="BK290" s="1115"/>
      <c r="BL290" s="1115"/>
      <c r="BM290" s="1115"/>
      <c r="BN290" s="1115"/>
      <c r="BO290" s="1115"/>
      <c r="BP290" s="1115"/>
      <c r="BQ290" s="1115"/>
      <c r="BR290" s="1115"/>
      <c r="BS290" s="1115">
        <v>1</v>
      </c>
      <c r="BT290" s="1115"/>
      <c r="BU290" s="1115"/>
      <c r="BV290" s="1115"/>
      <c r="BW290" s="1115"/>
      <c r="BX290" s="1115"/>
      <c r="BY290" s="1115"/>
      <c r="BZ290" s="1115"/>
      <c r="CA290" s="1117">
        <f t="shared" si="40"/>
        <v>2</v>
      </c>
      <c r="CB290" s="1117">
        <f t="shared" si="37"/>
        <v>2</v>
      </c>
      <c r="CC290" s="1117">
        <f t="shared" si="38"/>
        <v>0</v>
      </c>
      <c r="CD290" s="1113">
        <v>0.88600000000000001</v>
      </c>
      <c r="CE290" s="1109"/>
      <c r="CF290" s="1109"/>
      <c r="CG290" s="1109">
        <v>100</v>
      </c>
      <c r="CH290" s="1113">
        <v>886</v>
      </c>
      <c r="CI290" s="1114"/>
      <c r="CJ290" s="1109" t="s">
        <v>504</v>
      </c>
      <c r="CK290" s="1109"/>
      <c r="CL290" s="1109"/>
      <c r="CM290" s="1115"/>
      <c r="CN290" s="1115"/>
      <c r="CO290" s="1115">
        <v>4</v>
      </c>
      <c r="CP290" s="1109" t="s">
        <v>504</v>
      </c>
      <c r="CQ290" s="1109"/>
      <c r="CR290" s="1115"/>
      <c r="CS290" s="1109" t="s">
        <v>500</v>
      </c>
      <c r="CT290" s="1109"/>
      <c r="CU290" s="1115">
        <v>34</v>
      </c>
      <c r="CV290" s="1109" t="s">
        <v>504</v>
      </c>
      <c r="CW290" s="1109"/>
      <c r="CX290" s="1115"/>
      <c r="CY290" s="1109" t="s">
        <v>504</v>
      </c>
      <c r="CZ290" s="1109"/>
      <c r="DA290" s="1115"/>
      <c r="DB290" s="1109" t="s">
        <v>504</v>
      </c>
      <c r="DC290" s="1109"/>
      <c r="DD290" s="1115"/>
      <c r="DE290" s="1109" t="s">
        <v>504</v>
      </c>
      <c r="DF290" s="1109"/>
      <c r="DG290" s="1115"/>
      <c r="DH290" s="1109" t="s">
        <v>504</v>
      </c>
      <c r="DI290" s="1109"/>
      <c r="DJ290" s="1115"/>
      <c r="DK290" s="1109" t="s">
        <v>504</v>
      </c>
      <c r="DL290" s="1109"/>
      <c r="DM290" s="1115"/>
      <c r="DN290" s="1109" t="s">
        <v>504</v>
      </c>
      <c r="DO290" s="1109"/>
      <c r="DP290" s="1115"/>
      <c r="DQ290" s="1109" t="s">
        <v>504</v>
      </c>
      <c r="DR290" s="1109"/>
      <c r="DS290" s="1115"/>
      <c r="DT290" s="1109" t="s">
        <v>504</v>
      </c>
      <c r="DU290" s="1109"/>
      <c r="DV290" s="1115"/>
      <c r="DW290" s="1109" t="s">
        <v>504</v>
      </c>
      <c r="DX290" s="1109"/>
      <c r="DY290" s="1115"/>
      <c r="DZ290" s="1109" t="s">
        <v>504</v>
      </c>
      <c r="EA290" s="1109"/>
      <c r="EB290" s="1115"/>
      <c r="EC290" s="1109" t="s">
        <v>504</v>
      </c>
      <c r="ED290" s="1109"/>
      <c r="EE290" s="1115"/>
      <c r="EF290" s="1115" t="s">
        <v>500</v>
      </c>
      <c r="EG290" s="1115" t="s">
        <v>4569</v>
      </c>
      <c r="EH290" s="1115">
        <v>5</v>
      </c>
      <c r="EI290" s="1109" t="s">
        <v>504</v>
      </c>
      <c r="EJ290" s="1109"/>
      <c r="EK290" s="1115"/>
      <c r="EL290" s="1115"/>
      <c r="EM290" s="1115"/>
      <c r="EN290" s="1115"/>
      <c r="EO290" s="1109" t="s">
        <v>504</v>
      </c>
      <c r="EP290" s="1109"/>
      <c r="EQ290" s="1109" t="s">
        <v>4570</v>
      </c>
      <c r="ER290" s="1109"/>
      <c r="ES290" s="1109" t="s">
        <v>465</v>
      </c>
      <c r="ET290" s="1109" t="s">
        <v>465</v>
      </c>
      <c r="EU290" s="1109"/>
      <c r="EV290" s="1109" t="s">
        <v>465</v>
      </c>
      <c r="EW290" s="1109" t="s">
        <v>465</v>
      </c>
      <c r="EX290" s="1109" t="s">
        <v>465</v>
      </c>
    </row>
    <row r="291" spans="3:154" ht="83.1" customHeight="1" x14ac:dyDescent="0.2">
      <c r="C291" s="1156" t="s">
        <v>693</v>
      </c>
      <c r="D291" s="1156" t="s">
        <v>5278</v>
      </c>
      <c r="E291" s="1104" t="s">
        <v>370</v>
      </c>
      <c r="F291" s="1104" t="s">
        <v>455</v>
      </c>
      <c r="G291" s="1109" t="s">
        <v>4571</v>
      </c>
      <c r="H291" s="1109" t="s">
        <v>4519</v>
      </c>
      <c r="I291" s="1109" t="s">
        <v>4519</v>
      </c>
      <c r="J291" s="1109" t="s">
        <v>4572</v>
      </c>
      <c r="K291" s="1105">
        <v>43665</v>
      </c>
      <c r="L291" s="1105">
        <v>44196</v>
      </c>
      <c r="M291" s="1369">
        <f t="shared" si="39"/>
        <v>531</v>
      </c>
      <c r="N291" s="1105"/>
      <c r="O291" s="1105"/>
      <c r="P291" s="1105"/>
      <c r="Q291" s="1105"/>
      <c r="R291" s="1105"/>
      <c r="S291" s="1105"/>
      <c r="T291" s="1105"/>
      <c r="U291" s="1105"/>
      <c r="V291" s="1105"/>
      <c r="W291" s="1105"/>
      <c r="X291" s="1105"/>
      <c r="Y291" s="1109" t="s">
        <v>4573</v>
      </c>
      <c r="Z291" s="1142" t="s">
        <v>4574</v>
      </c>
      <c r="AA291" s="1109" t="s">
        <v>4575</v>
      </c>
      <c r="AB291" s="1109" t="s">
        <v>4576</v>
      </c>
      <c r="AC291" s="1109" t="s">
        <v>4577</v>
      </c>
      <c r="AD291" s="1109" t="s">
        <v>4578</v>
      </c>
      <c r="AE291" s="1112">
        <v>3.7440000000000002</v>
      </c>
      <c r="AF291" s="1113">
        <f t="shared" si="34"/>
        <v>3.7444000000000002</v>
      </c>
      <c r="AG291" s="1113">
        <f t="shared" si="35"/>
        <v>3.9999999999995595E-4</v>
      </c>
      <c r="AH291" s="1112"/>
      <c r="AI291" s="1113"/>
      <c r="AJ291" s="1113"/>
      <c r="AK291" s="1112">
        <v>3.7120000000000002</v>
      </c>
      <c r="AL291" s="1114">
        <f>AK291/AE291</f>
        <v>0.99145299145299148</v>
      </c>
      <c r="AM291" s="1114">
        <v>2.9999999999999997E-4</v>
      </c>
      <c r="AN291" s="1112">
        <v>3.2399999999999998E-2</v>
      </c>
      <c r="AO291" s="1114">
        <f>AN291/AE291</f>
        <v>8.6538461538461526E-3</v>
      </c>
      <c r="AP291" s="1112"/>
      <c r="AQ291" s="1114"/>
      <c r="AR291" s="1112"/>
      <c r="AS291" s="1114"/>
      <c r="AT291" s="1114"/>
      <c r="AU291" s="1114"/>
      <c r="AV291" s="1114"/>
      <c r="AW291" s="1114" t="s">
        <v>500</v>
      </c>
      <c r="AX291" s="1109" t="s">
        <v>4579</v>
      </c>
      <c r="AY291" s="1113"/>
      <c r="AZ291" s="1114"/>
      <c r="BA291" s="1113">
        <f>4.83+2.7</f>
        <v>7.53</v>
      </c>
      <c r="BB291" s="1114">
        <v>1.0399999999999999E-3</v>
      </c>
      <c r="BC291" s="1115">
        <v>31</v>
      </c>
      <c r="BD291" s="1115">
        <v>29</v>
      </c>
      <c r="BE291" s="1116">
        <v>13</v>
      </c>
      <c r="BF291" s="1115"/>
      <c r="BG291" s="1115"/>
      <c r="BH291" s="1115"/>
      <c r="BI291" s="1115"/>
      <c r="BJ291" s="1115"/>
      <c r="BK291" s="1115"/>
      <c r="BL291" s="1115"/>
      <c r="BM291" s="1115"/>
      <c r="BN291" s="1115">
        <v>2</v>
      </c>
      <c r="BO291" s="1115"/>
      <c r="BP291" s="1115"/>
      <c r="BQ291" s="1115"/>
      <c r="BR291" s="1115">
        <v>1</v>
      </c>
      <c r="BS291" s="1115"/>
      <c r="BT291" s="1115"/>
      <c r="BU291" s="1115"/>
      <c r="BV291" s="1115"/>
      <c r="BW291" s="1115"/>
      <c r="BX291" s="1115"/>
      <c r="BY291" s="1115">
        <v>10</v>
      </c>
      <c r="BZ291" s="1115"/>
      <c r="CA291" s="1117">
        <f t="shared" si="40"/>
        <v>13</v>
      </c>
      <c r="CB291" s="1117">
        <f t="shared" si="37"/>
        <v>13</v>
      </c>
      <c r="CC291" s="1117">
        <f t="shared" si="38"/>
        <v>0</v>
      </c>
      <c r="CD291" s="1113">
        <v>5.98</v>
      </c>
      <c r="CE291" s="1109"/>
      <c r="CF291" s="1109"/>
      <c r="CG291" s="1114">
        <v>0.45300000000000001</v>
      </c>
      <c r="CH291" s="1113">
        <v>9.4350000000000005</v>
      </c>
      <c r="CI291" s="1113" t="s">
        <v>1757</v>
      </c>
      <c r="CJ291" s="1109" t="s">
        <v>500</v>
      </c>
      <c r="CK291" s="1109" t="s">
        <v>4580</v>
      </c>
      <c r="CL291" s="1109" t="s">
        <v>504</v>
      </c>
      <c r="CM291" s="1109">
        <v>12</v>
      </c>
      <c r="CN291" s="1109"/>
      <c r="CO291" s="1109"/>
      <c r="CP291" s="1109" t="s">
        <v>500</v>
      </c>
      <c r="CQ291" s="1109" t="s">
        <v>4581</v>
      </c>
      <c r="CR291" s="1115">
        <v>326</v>
      </c>
      <c r="CS291" s="1109" t="s">
        <v>500</v>
      </c>
      <c r="CT291" s="1109" t="s">
        <v>4582</v>
      </c>
      <c r="CU291" s="1115">
        <v>396</v>
      </c>
      <c r="CV291" s="1109" t="s">
        <v>504</v>
      </c>
      <c r="CW291" s="1109"/>
      <c r="CX291" s="1115"/>
      <c r="CY291" s="1109" t="s">
        <v>504</v>
      </c>
      <c r="CZ291" s="1109"/>
      <c r="DA291" s="1115"/>
      <c r="DB291" s="1109" t="s">
        <v>504</v>
      </c>
      <c r="DC291" s="1109"/>
      <c r="DD291" s="1115"/>
      <c r="DE291" s="1109" t="s">
        <v>500</v>
      </c>
      <c r="DF291" s="1109" t="s">
        <v>4583</v>
      </c>
      <c r="DG291" s="1115">
        <v>7</v>
      </c>
      <c r="DH291" s="1109" t="s">
        <v>504</v>
      </c>
      <c r="DI291" s="1109"/>
      <c r="DJ291" s="1115"/>
      <c r="DK291" s="1109" t="s">
        <v>504</v>
      </c>
      <c r="DL291" s="1109"/>
      <c r="DM291" s="1115"/>
      <c r="DN291" s="1109" t="s">
        <v>500</v>
      </c>
      <c r="DO291" s="1109" t="s">
        <v>4584</v>
      </c>
      <c r="DP291" s="1109">
        <v>49</v>
      </c>
      <c r="DQ291" s="1109" t="s">
        <v>500</v>
      </c>
      <c r="DR291" s="1109" t="s">
        <v>4585</v>
      </c>
      <c r="DS291" s="1115">
        <v>956</v>
      </c>
      <c r="DT291" s="1109" t="s">
        <v>500</v>
      </c>
      <c r="DU291" s="1109" t="s">
        <v>4586</v>
      </c>
      <c r="DV291" s="1115"/>
      <c r="DW291" s="1109" t="s">
        <v>504</v>
      </c>
      <c r="DX291" s="1109"/>
      <c r="DY291" s="1115"/>
      <c r="DZ291" s="1109" t="s">
        <v>504</v>
      </c>
      <c r="EA291" s="1109"/>
      <c r="EB291" s="1115"/>
      <c r="EC291" s="1109" t="s">
        <v>500</v>
      </c>
      <c r="ED291" s="1143" t="s">
        <v>4587</v>
      </c>
      <c r="EE291" s="1109">
        <v>12</v>
      </c>
      <c r="EF291" s="1109" t="s">
        <v>500</v>
      </c>
      <c r="EG291" s="1143" t="s">
        <v>4587</v>
      </c>
      <c r="EH291" s="1109">
        <v>12</v>
      </c>
      <c r="EI291" s="1109" t="s">
        <v>504</v>
      </c>
      <c r="EJ291" s="1109"/>
      <c r="EK291" s="1115"/>
      <c r="EL291" s="1115"/>
      <c r="EM291" s="1115"/>
      <c r="EN291" s="1115"/>
      <c r="EO291" s="1109" t="s">
        <v>500</v>
      </c>
      <c r="EP291" s="1109" t="s">
        <v>4588</v>
      </c>
      <c r="EQ291" s="1109" t="s">
        <v>4589</v>
      </c>
      <c r="ER291" s="1109" t="s">
        <v>4590</v>
      </c>
      <c r="ES291" s="1109" t="s">
        <v>4591</v>
      </c>
      <c r="ET291" s="1109" t="s">
        <v>4592</v>
      </c>
      <c r="EU291" s="1109" t="s">
        <v>4593</v>
      </c>
      <c r="EV291" s="1109" t="s">
        <v>500</v>
      </c>
      <c r="EW291" s="1109">
        <v>1</v>
      </c>
      <c r="EX291" s="1109">
        <v>40</v>
      </c>
    </row>
    <row r="292" spans="3:154" ht="90" customHeight="1" x14ac:dyDescent="0.2">
      <c r="C292" s="1156" t="s">
        <v>693</v>
      </c>
      <c r="D292" s="1156" t="s">
        <v>5278</v>
      </c>
      <c r="E292" s="1104" t="s">
        <v>370</v>
      </c>
      <c r="F292" s="1104" t="s">
        <v>455</v>
      </c>
      <c r="G292" s="1109" t="s">
        <v>4594</v>
      </c>
      <c r="H292" s="1109" t="s">
        <v>4595</v>
      </c>
      <c r="I292" s="1109" t="s">
        <v>4502</v>
      </c>
      <c r="J292" s="1110">
        <v>2019</v>
      </c>
      <c r="K292" s="1105">
        <v>43775</v>
      </c>
      <c r="L292" s="1105">
        <v>44074</v>
      </c>
      <c r="M292" s="1369">
        <f t="shared" si="39"/>
        <v>299</v>
      </c>
      <c r="N292" s="1105"/>
      <c r="O292" s="1105"/>
      <c r="P292" s="1105"/>
      <c r="Q292" s="1105"/>
      <c r="R292" s="1105"/>
      <c r="S292" s="1105"/>
      <c r="T292" s="1105"/>
      <c r="U292" s="1105"/>
      <c r="V292" s="1105"/>
      <c r="W292" s="1105"/>
      <c r="X292" s="1105"/>
      <c r="Y292" s="1109" t="s">
        <v>4596</v>
      </c>
      <c r="Z292" s="1143" t="s">
        <v>4597</v>
      </c>
      <c r="AA292" s="1109" t="s">
        <v>4598</v>
      </c>
      <c r="AB292" s="1109" t="s">
        <v>4598</v>
      </c>
      <c r="AC292" s="1109" t="s">
        <v>4599</v>
      </c>
      <c r="AD292" s="1109" t="s">
        <v>4598</v>
      </c>
      <c r="AE292" s="1112">
        <v>0.151</v>
      </c>
      <c r="AF292" s="1113">
        <f t="shared" si="34"/>
        <v>0.151</v>
      </c>
      <c r="AG292" s="1113">
        <f t="shared" si="35"/>
        <v>0</v>
      </c>
      <c r="AH292" s="1112"/>
      <c r="AI292" s="1113"/>
      <c r="AJ292" s="1113"/>
      <c r="AK292" s="1112">
        <v>0.151</v>
      </c>
      <c r="AL292" s="1114">
        <v>1</v>
      </c>
      <c r="AM292" s="1114">
        <v>5.0000000000000001E-3</v>
      </c>
      <c r="AN292" s="1112"/>
      <c r="AO292" s="1114"/>
      <c r="AP292" s="1112"/>
      <c r="AQ292" s="1114"/>
      <c r="AR292" s="1112"/>
      <c r="AS292" s="1114"/>
      <c r="AT292" s="1114"/>
      <c r="AU292" s="1114"/>
      <c r="AV292" s="1114"/>
      <c r="AW292" s="1114" t="s">
        <v>500</v>
      </c>
      <c r="AX292" s="1114" t="s">
        <v>4600</v>
      </c>
      <c r="AY292" s="1114"/>
      <c r="AZ292" s="1114"/>
      <c r="BA292" s="1113">
        <v>0.15</v>
      </c>
      <c r="BB292" s="1114">
        <v>5.4999999999999997E-3</v>
      </c>
      <c r="BC292" s="1115">
        <v>6</v>
      </c>
      <c r="BD292" s="1115">
        <v>6</v>
      </c>
      <c r="BE292" s="1116">
        <v>1</v>
      </c>
      <c r="BF292" s="1115"/>
      <c r="BG292" s="1115"/>
      <c r="BH292" s="1115"/>
      <c r="BI292" s="1115"/>
      <c r="BJ292" s="1115"/>
      <c r="BK292" s="1115"/>
      <c r="BL292" s="1115"/>
      <c r="BM292" s="1115"/>
      <c r="BN292" s="1115"/>
      <c r="BO292" s="1115"/>
      <c r="BP292" s="1115"/>
      <c r="BQ292" s="1115"/>
      <c r="BR292" s="1115">
        <v>1</v>
      </c>
      <c r="BS292" s="1115"/>
      <c r="BT292" s="1115"/>
      <c r="BU292" s="1115"/>
      <c r="BV292" s="1115"/>
      <c r="BW292" s="1115"/>
      <c r="BX292" s="1115"/>
      <c r="BY292" s="1115"/>
      <c r="BZ292" s="1115"/>
      <c r="CA292" s="1117">
        <f t="shared" si="40"/>
        <v>1</v>
      </c>
      <c r="CB292" s="1117">
        <f t="shared" si="37"/>
        <v>1</v>
      </c>
      <c r="CC292" s="1117">
        <f t="shared" si="38"/>
        <v>0</v>
      </c>
      <c r="CD292" s="1113">
        <v>0.32900000000000001</v>
      </c>
      <c r="CE292" s="1109" t="s">
        <v>4601</v>
      </c>
      <c r="CF292" s="1109"/>
      <c r="CG292" s="1109">
        <v>100</v>
      </c>
      <c r="CH292" s="1113">
        <v>0.32900000000000001</v>
      </c>
      <c r="CI292" s="1114" t="s">
        <v>4602</v>
      </c>
      <c r="CJ292" s="1109" t="s">
        <v>500</v>
      </c>
      <c r="CK292" s="1109" t="s">
        <v>4502</v>
      </c>
      <c r="CL292" s="1109" t="s">
        <v>504</v>
      </c>
      <c r="CM292" s="1115">
        <v>1</v>
      </c>
      <c r="CN292" s="1115"/>
      <c r="CO292" s="1115"/>
      <c r="CP292" s="1109" t="s">
        <v>504</v>
      </c>
      <c r="CQ292" s="1109"/>
      <c r="CR292" s="1115"/>
      <c r="CS292" s="1109" t="s">
        <v>500</v>
      </c>
      <c r="CT292" s="1109">
        <v>30</v>
      </c>
      <c r="CU292" s="1115">
        <v>30</v>
      </c>
      <c r="CV292" s="1115" t="s">
        <v>504</v>
      </c>
      <c r="CW292" s="1115"/>
      <c r="CX292" s="1115"/>
      <c r="CY292" s="1115" t="s">
        <v>504</v>
      </c>
      <c r="CZ292" s="1115"/>
      <c r="DA292" s="1115"/>
      <c r="DB292" s="1109" t="s">
        <v>504</v>
      </c>
      <c r="DC292" s="1109"/>
      <c r="DD292" s="1115"/>
      <c r="DE292" s="1109" t="s">
        <v>504</v>
      </c>
      <c r="DF292" s="1109"/>
      <c r="DG292" s="1115"/>
      <c r="DH292" s="1109" t="s">
        <v>504</v>
      </c>
      <c r="DI292" s="1109"/>
      <c r="DJ292" s="1115"/>
      <c r="DK292" s="1109"/>
      <c r="DL292" s="1109"/>
      <c r="DM292" s="1115"/>
      <c r="DN292" s="1109" t="s">
        <v>504</v>
      </c>
      <c r="DO292" s="1109"/>
      <c r="DP292" s="1115"/>
      <c r="DQ292" s="1109" t="s">
        <v>500</v>
      </c>
      <c r="DR292" s="1109" t="s">
        <v>4603</v>
      </c>
      <c r="DS292" s="1115">
        <v>30</v>
      </c>
      <c r="DT292" s="1115" t="s">
        <v>504</v>
      </c>
      <c r="DU292" s="1115"/>
      <c r="DV292" s="1115"/>
      <c r="DW292" s="1109" t="s">
        <v>504</v>
      </c>
      <c r="DX292" s="1109"/>
      <c r="DY292" s="1115"/>
      <c r="DZ292" s="1109" t="s">
        <v>504</v>
      </c>
      <c r="EA292" s="1109"/>
      <c r="EB292" s="1115"/>
      <c r="EC292" s="1109" t="s">
        <v>500</v>
      </c>
      <c r="ED292" s="1109" t="s">
        <v>4604</v>
      </c>
      <c r="EE292" s="1115">
        <v>7</v>
      </c>
      <c r="EF292" s="1115" t="s">
        <v>504</v>
      </c>
      <c r="EG292" s="1115"/>
      <c r="EH292" s="1115"/>
      <c r="EI292" s="1109"/>
      <c r="EJ292" s="1109"/>
      <c r="EK292" s="1115"/>
      <c r="EL292" s="1115"/>
      <c r="EM292" s="1115"/>
      <c r="EN292" s="1115"/>
      <c r="EO292" s="1109" t="s">
        <v>500</v>
      </c>
      <c r="EP292" s="1109" t="s">
        <v>4588</v>
      </c>
      <c r="EQ292" s="1143" t="s">
        <v>4605</v>
      </c>
      <c r="ER292" s="1109"/>
      <c r="ES292" s="1109"/>
      <c r="ET292" s="1109"/>
      <c r="EU292" s="1109"/>
      <c r="EV292" s="1109"/>
      <c r="EW292" s="1109"/>
      <c r="EX292" s="1109"/>
    </row>
    <row r="293" spans="3:154" customFormat="1" ht="63" customHeight="1" x14ac:dyDescent="0.25">
      <c r="C293" s="1156" t="s">
        <v>693</v>
      </c>
      <c r="D293" s="1156" t="s">
        <v>5278</v>
      </c>
      <c r="E293" s="1104" t="s">
        <v>370</v>
      </c>
      <c r="F293" s="1104" t="s">
        <v>455</v>
      </c>
      <c r="G293" s="1109" t="s">
        <v>4606</v>
      </c>
      <c r="H293" s="1109" t="s">
        <v>4595</v>
      </c>
      <c r="I293" s="1109" t="s">
        <v>4502</v>
      </c>
      <c r="J293" s="1110">
        <v>2018</v>
      </c>
      <c r="K293" s="1105">
        <v>43819</v>
      </c>
      <c r="L293" s="1105">
        <v>44187</v>
      </c>
      <c r="M293" s="1369">
        <f t="shared" si="39"/>
        <v>368</v>
      </c>
      <c r="N293" s="1105"/>
      <c r="O293" s="1105"/>
      <c r="P293" s="1105"/>
      <c r="Q293" s="1105"/>
      <c r="R293" s="1105"/>
      <c r="S293" s="1105"/>
      <c r="T293" s="1105"/>
      <c r="U293" s="1105"/>
      <c r="V293" s="1105"/>
      <c r="W293" s="1105"/>
      <c r="X293" s="1105"/>
      <c r="Y293" s="1109" t="s">
        <v>4609</v>
      </c>
      <c r="Z293" s="1143" t="s">
        <v>4610</v>
      </c>
      <c r="AA293" s="1109" t="s">
        <v>4611</v>
      </c>
      <c r="AB293" s="1109" t="s">
        <v>4611</v>
      </c>
      <c r="AC293" s="1109" t="s">
        <v>4612</v>
      </c>
      <c r="AD293" s="1109" t="s">
        <v>4611</v>
      </c>
      <c r="AE293" s="1112">
        <v>0.19900000000000001</v>
      </c>
      <c r="AF293" s="1113">
        <f t="shared" si="34"/>
        <v>0.19900000000000001</v>
      </c>
      <c r="AG293" s="1113">
        <f t="shared" si="35"/>
        <v>0</v>
      </c>
      <c r="AH293" s="1112"/>
      <c r="AI293" s="1113"/>
      <c r="AJ293" s="1113"/>
      <c r="AK293" s="1112">
        <v>0.19900000000000001</v>
      </c>
      <c r="AL293" s="1114">
        <v>1</v>
      </c>
      <c r="AM293" s="1114">
        <v>2E-3</v>
      </c>
      <c r="AN293" s="1112"/>
      <c r="AO293" s="1114"/>
      <c r="AP293" s="1112"/>
      <c r="AQ293" s="1114"/>
      <c r="AR293" s="1112"/>
      <c r="AS293" s="1114"/>
      <c r="AT293" s="1114"/>
      <c r="AU293" s="1114"/>
      <c r="AV293" s="1114"/>
      <c r="AW293" s="1114" t="s">
        <v>500</v>
      </c>
      <c r="AX293" s="1114" t="s">
        <v>4196</v>
      </c>
      <c r="AY293" s="1114"/>
      <c r="AZ293" s="1114"/>
      <c r="BA293" s="1113">
        <v>0.15</v>
      </c>
      <c r="BB293" s="1114">
        <v>1.6000000000000001E-3</v>
      </c>
      <c r="BC293" s="1115">
        <v>2</v>
      </c>
      <c r="BD293" s="1115">
        <v>2</v>
      </c>
      <c r="BE293" s="1116">
        <v>1</v>
      </c>
      <c r="BF293" s="1115"/>
      <c r="BG293" s="1115"/>
      <c r="BH293" s="1115"/>
      <c r="BI293" s="1115"/>
      <c r="BJ293" s="1115"/>
      <c r="BK293" s="1115"/>
      <c r="BL293" s="1115"/>
      <c r="BM293" s="1115"/>
      <c r="BN293" s="1115"/>
      <c r="BO293" s="1115"/>
      <c r="BP293" s="1115"/>
      <c r="BQ293" s="1115">
        <v>1</v>
      </c>
      <c r="BR293" s="1115"/>
      <c r="BS293" s="1115"/>
      <c r="BT293" s="1115"/>
      <c r="BU293" s="1115"/>
      <c r="BV293" s="1115"/>
      <c r="BW293" s="1115"/>
      <c r="BX293" s="1115"/>
      <c r="BY293" s="1115"/>
      <c r="BZ293" s="1115"/>
      <c r="CA293" s="1117">
        <f t="shared" si="40"/>
        <v>1</v>
      </c>
      <c r="CB293" s="1117">
        <f t="shared" si="37"/>
        <v>1</v>
      </c>
      <c r="CC293" s="1117">
        <f t="shared" si="38"/>
        <v>0</v>
      </c>
      <c r="CD293" s="1113">
        <v>1.681</v>
      </c>
      <c r="CE293" s="1109" t="s">
        <v>4613</v>
      </c>
      <c r="CF293" s="1109"/>
      <c r="CG293" s="1109">
        <v>100</v>
      </c>
      <c r="CH293" s="1113">
        <v>1.681</v>
      </c>
      <c r="CI293" s="1114" t="s">
        <v>4602</v>
      </c>
      <c r="CJ293" s="1109" t="s">
        <v>500</v>
      </c>
      <c r="CK293" s="1109" t="s">
        <v>4502</v>
      </c>
      <c r="CL293" s="1109" t="s">
        <v>504</v>
      </c>
      <c r="CM293" s="1115">
        <v>1</v>
      </c>
      <c r="CN293" s="1115"/>
      <c r="CO293" s="1115"/>
      <c r="CP293" s="1109" t="s">
        <v>504</v>
      </c>
      <c r="CQ293" s="1109"/>
      <c r="CR293" s="1115"/>
      <c r="CS293" s="1109" t="s">
        <v>500</v>
      </c>
      <c r="CT293" s="1109" t="s">
        <v>4603</v>
      </c>
      <c r="CU293" s="1115">
        <v>10</v>
      </c>
      <c r="CV293" s="1115" t="s">
        <v>504</v>
      </c>
      <c r="CW293" s="1115"/>
      <c r="CX293" s="1115"/>
      <c r="CY293" s="1115" t="s">
        <v>504</v>
      </c>
      <c r="CZ293" s="1115"/>
      <c r="DA293" s="1115"/>
      <c r="DB293" s="1109" t="s">
        <v>504</v>
      </c>
      <c r="DC293" s="1109"/>
      <c r="DD293" s="1115"/>
      <c r="DE293" s="1109" t="s">
        <v>504</v>
      </c>
      <c r="DF293" s="1109"/>
      <c r="DG293" s="1115"/>
      <c r="DH293" s="1109" t="s">
        <v>504</v>
      </c>
      <c r="DI293" s="1109"/>
      <c r="DJ293" s="1115"/>
      <c r="DK293" s="1109"/>
      <c r="DL293" s="1109"/>
      <c r="DM293" s="1115"/>
      <c r="DN293" s="1109" t="s">
        <v>504</v>
      </c>
      <c r="DO293" s="1109"/>
      <c r="DP293" s="1115"/>
      <c r="DQ293" s="1109" t="s">
        <v>504</v>
      </c>
      <c r="DR293" s="1109"/>
      <c r="DS293" s="1115"/>
      <c r="DT293" s="1115" t="s">
        <v>504</v>
      </c>
      <c r="DU293" s="1115"/>
      <c r="DV293" s="1115"/>
      <c r="DW293" s="1109" t="s">
        <v>504</v>
      </c>
      <c r="DX293" s="1109"/>
      <c r="DY293" s="1115"/>
      <c r="DZ293" s="1109" t="s">
        <v>504</v>
      </c>
      <c r="EA293" s="1109"/>
      <c r="EB293" s="1115"/>
      <c r="EC293" s="1109" t="s">
        <v>500</v>
      </c>
      <c r="ED293" s="1109" t="s">
        <v>4614</v>
      </c>
      <c r="EE293" s="1115">
        <v>6</v>
      </c>
      <c r="EF293" s="1115"/>
      <c r="EG293" s="1115"/>
      <c r="EH293" s="1115"/>
      <c r="EI293" s="1109"/>
      <c r="EJ293" s="1109"/>
      <c r="EK293" s="1115"/>
      <c r="EL293" s="1115"/>
      <c r="EM293" s="1115"/>
      <c r="EN293" s="1115"/>
      <c r="EO293" s="1109" t="s">
        <v>500</v>
      </c>
      <c r="EP293" s="1109" t="s">
        <v>4588</v>
      </c>
      <c r="EQ293" s="1143" t="s">
        <v>4615</v>
      </c>
      <c r="ER293" s="1143" t="s">
        <v>4616</v>
      </c>
      <c r="ES293" s="1109"/>
      <c r="ET293" s="1109" t="s">
        <v>4617</v>
      </c>
      <c r="EU293" s="1109"/>
      <c r="EV293" s="1109"/>
      <c r="EW293" s="1109">
        <v>0</v>
      </c>
      <c r="EX293" s="1109"/>
    </row>
    <row r="294" spans="3:154" ht="74.099999999999994" customHeight="1" x14ac:dyDescent="0.2">
      <c r="C294" s="1156" t="s">
        <v>693</v>
      </c>
      <c r="D294" s="1156" t="s">
        <v>5278</v>
      </c>
      <c r="E294" s="1104" t="s">
        <v>370</v>
      </c>
      <c r="F294" s="1104" t="s">
        <v>455</v>
      </c>
      <c r="G294" s="1109" t="s">
        <v>4618</v>
      </c>
      <c r="H294" s="1109" t="s">
        <v>1035</v>
      </c>
      <c r="I294" s="1109" t="s">
        <v>4502</v>
      </c>
      <c r="J294" s="1110">
        <v>2019</v>
      </c>
      <c r="K294" s="1105">
        <v>43814</v>
      </c>
      <c r="L294" s="1105">
        <v>44074</v>
      </c>
      <c r="M294" s="1369">
        <f t="shared" si="39"/>
        <v>260</v>
      </c>
      <c r="N294" s="1105"/>
      <c r="O294" s="1105"/>
      <c r="P294" s="1105"/>
      <c r="Q294" s="1105"/>
      <c r="R294" s="1105"/>
      <c r="S294" s="1105"/>
      <c r="T294" s="1105"/>
      <c r="U294" s="1105"/>
      <c r="V294" s="1105"/>
      <c r="W294" s="1105"/>
      <c r="X294" s="1105"/>
      <c r="Y294" s="1109" t="s">
        <v>4621</v>
      </c>
      <c r="Z294" s="1143" t="s">
        <v>4622</v>
      </c>
      <c r="AA294" s="1109" t="s">
        <v>4623</v>
      </c>
      <c r="AB294" s="1109" t="s">
        <v>4623</v>
      </c>
      <c r="AC294" s="1109" t="s">
        <v>4624</v>
      </c>
      <c r="AD294" s="1109" t="s">
        <v>4623</v>
      </c>
      <c r="AE294" s="1112">
        <v>0.18024999999999999</v>
      </c>
      <c r="AF294" s="1113">
        <f t="shared" si="34"/>
        <v>0.18039999999999998</v>
      </c>
      <c r="AG294" s="1113">
        <f t="shared" si="35"/>
        <v>1.4999999999998348E-4</v>
      </c>
      <c r="AH294" s="1112"/>
      <c r="AI294" s="1113"/>
      <c r="AJ294" s="1113"/>
      <c r="AK294" s="1112">
        <v>0.17499999999999999</v>
      </c>
      <c r="AL294" s="1114">
        <f>AK294/AE294</f>
        <v>0.970873786407767</v>
      </c>
      <c r="AM294" s="1114">
        <v>6.3E-3</v>
      </c>
      <c r="AN294" s="1112">
        <v>5.4000000000000003E-3</v>
      </c>
      <c r="AO294" s="1114">
        <f>AN294/AE294</f>
        <v>2.9958391123439669E-2</v>
      </c>
      <c r="AP294" s="1112"/>
      <c r="AQ294" s="1114"/>
      <c r="AR294" s="1112"/>
      <c r="AS294" s="1114"/>
      <c r="AT294" s="1114"/>
      <c r="AU294" s="1114"/>
      <c r="AV294" s="1114"/>
      <c r="AW294" s="1114" t="s">
        <v>500</v>
      </c>
      <c r="AX294" s="1114" t="s">
        <v>4625</v>
      </c>
      <c r="AY294" s="1114"/>
      <c r="AZ294" s="1114"/>
      <c r="BA294" s="1113">
        <v>0.15</v>
      </c>
      <c r="BB294" s="1114">
        <v>4.0000000000000001E-3</v>
      </c>
      <c r="BC294" s="1115"/>
      <c r="BD294" s="1115"/>
      <c r="BE294" s="1116"/>
      <c r="BF294" s="1115"/>
      <c r="BG294" s="1115"/>
      <c r="BH294" s="1115"/>
      <c r="BI294" s="1115"/>
      <c r="BJ294" s="1115"/>
      <c r="BK294" s="1115"/>
      <c r="BL294" s="1115"/>
      <c r="BM294" s="1115"/>
      <c r="BN294" s="1115"/>
      <c r="BO294" s="1115"/>
      <c r="BP294" s="1115"/>
      <c r="BQ294" s="1115"/>
      <c r="BR294" s="1115">
        <v>1</v>
      </c>
      <c r="BS294" s="1115"/>
      <c r="BT294" s="1115"/>
      <c r="BU294" s="1115"/>
      <c r="BV294" s="1115"/>
      <c r="BW294" s="1115"/>
      <c r="BX294" s="1115"/>
      <c r="BY294" s="1115"/>
      <c r="BZ294" s="1115"/>
      <c r="CA294" s="1117">
        <f t="shared" si="40"/>
        <v>1</v>
      </c>
      <c r="CB294" s="1117">
        <f t="shared" si="37"/>
        <v>1</v>
      </c>
      <c r="CC294" s="1117">
        <f t="shared" si="38"/>
        <v>0</v>
      </c>
      <c r="CD294" s="1113">
        <v>0.499</v>
      </c>
      <c r="CE294" s="1109" t="s">
        <v>4601</v>
      </c>
      <c r="CF294" s="1109"/>
      <c r="CG294" s="1109">
        <v>100</v>
      </c>
      <c r="CH294" s="1113">
        <v>0.499</v>
      </c>
      <c r="CI294" s="1114" t="s">
        <v>4602</v>
      </c>
      <c r="CJ294" s="1109" t="s">
        <v>500</v>
      </c>
      <c r="CK294" s="1109" t="s">
        <v>4502</v>
      </c>
      <c r="CL294" s="1109" t="s">
        <v>504</v>
      </c>
      <c r="CM294" s="1115">
        <v>1</v>
      </c>
      <c r="CN294" s="1115"/>
      <c r="CO294" s="1115">
        <v>2</v>
      </c>
      <c r="CP294" s="1109" t="s">
        <v>504</v>
      </c>
      <c r="CQ294" s="1109"/>
      <c r="CR294" s="1115"/>
      <c r="CS294" s="1109" t="s">
        <v>500</v>
      </c>
      <c r="CT294" s="1109"/>
      <c r="CU294" s="1115"/>
      <c r="CV294" s="1115" t="s">
        <v>504</v>
      </c>
      <c r="CW294" s="1115"/>
      <c r="CX294" s="1115"/>
      <c r="CY294" s="1115" t="s">
        <v>504</v>
      </c>
      <c r="CZ294" s="1115"/>
      <c r="DA294" s="1115"/>
      <c r="DB294" s="1109" t="s">
        <v>504</v>
      </c>
      <c r="DC294" s="1109"/>
      <c r="DD294" s="1115"/>
      <c r="DE294" s="1109" t="s">
        <v>504</v>
      </c>
      <c r="DF294" s="1109"/>
      <c r="DG294" s="1115"/>
      <c r="DH294" s="1109" t="s">
        <v>504</v>
      </c>
      <c r="DI294" s="1109"/>
      <c r="DJ294" s="1115"/>
      <c r="DK294" s="1109"/>
      <c r="DL294" s="1109"/>
      <c r="DM294" s="1115"/>
      <c r="DN294" s="1109" t="s">
        <v>504</v>
      </c>
      <c r="DO294" s="1109"/>
      <c r="DP294" s="1115"/>
      <c r="DQ294" s="1109" t="s">
        <v>504</v>
      </c>
      <c r="DR294" s="1109"/>
      <c r="DS294" s="1115"/>
      <c r="DT294" s="1115" t="s">
        <v>504</v>
      </c>
      <c r="DU294" s="1115"/>
      <c r="DV294" s="1115"/>
      <c r="DW294" s="1109"/>
      <c r="DX294" s="1109"/>
      <c r="DY294" s="1115"/>
      <c r="DZ294" s="1109" t="s">
        <v>504</v>
      </c>
      <c r="EA294" s="1109"/>
      <c r="EB294" s="1115"/>
      <c r="EC294" s="1109" t="s">
        <v>500</v>
      </c>
      <c r="ED294" s="1109" t="s">
        <v>4614</v>
      </c>
      <c r="EE294" s="1115">
        <v>4</v>
      </c>
      <c r="EF294" s="1115"/>
      <c r="EG294" s="1115"/>
      <c r="EH294" s="1115"/>
      <c r="EI294" s="1109"/>
      <c r="EJ294" s="1109"/>
      <c r="EK294" s="1115"/>
      <c r="EL294" s="1115"/>
      <c r="EM294" s="1115"/>
      <c r="EN294" s="1115"/>
      <c r="EO294" s="1109" t="s">
        <v>500</v>
      </c>
      <c r="EP294" s="1109" t="s">
        <v>4588</v>
      </c>
      <c r="EQ294" s="1143" t="s">
        <v>4626</v>
      </c>
      <c r="ER294" s="1109"/>
      <c r="ES294" s="1109"/>
      <c r="ET294" s="1109" t="s">
        <v>4627</v>
      </c>
      <c r="EU294" s="1109"/>
      <c r="EV294" s="1109" t="s">
        <v>504</v>
      </c>
      <c r="EW294" s="1109"/>
      <c r="EX294" s="1109"/>
    </row>
    <row r="295" spans="3:154" customFormat="1" ht="84.95" customHeight="1" x14ac:dyDescent="0.25">
      <c r="C295" s="1156" t="s">
        <v>693</v>
      </c>
      <c r="D295" s="1156" t="s">
        <v>5278</v>
      </c>
      <c r="E295" s="1104" t="s">
        <v>370</v>
      </c>
      <c r="F295" s="1104" t="s">
        <v>455</v>
      </c>
      <c r="G295" s="1109" t="s">
        <v>4628</v>
      </c>
      <c r="H295" s="1109" t="s">
        <v>4595</v>
      </c>
      <c r="I295" s="1109" t="s">
        <v>4502</v>
      </c>
      <c r="J295" s="1110">
        <v>2019</v>
      </c>
      <c r="K295" s="1105">
        <v>43983</v>
      </c>
      <c r="L295" s="1105">
        <v>44008</v>
      </c>
      <c r="M295" s="1369">
        <f t="shared" si="39"/>
        <v>25</v>
      </c>
      <c r="N295" s="1105"/>
      <c r="O295" s="1105"/>
      <c r="P295" s="1105"/>
      <c r="Q295" s="1105"/>
      <c r="R295" s="1105"/>
      <c r="S295" s="1105"/>
      <c r="T295" s="1105"/>
      <c r="U295" s="1105"/>
      <c r="V295" s="1105"/>
      <c r="W295" s="1105"/>
      <c r="X295" s="1105"/>
      <c r="Y295" s="1109" t="s">
        <v>4629</v>
      </c>
      <c r="Z295" s="1148" t="s">
        <v>4630</v>
      </c>
      <c r="AA295" s="1109" t="s">
        <v>4631</v>
      </c>
      <c r="AB295" s="1109" t="s">
        <v>4631</v>
      </c>
      <c r="AC295" s="1109" t="s">
        <v>4632</v>
      </c>
      <c r="AD295" s="1109" t="s">
        <v>4631</v>
      </c>
      <c r="AE295" s="1112">
        <v>0.34279999999999999</v>
      </c>
      <c r="AF295" s="1113">
        <f t="shared" si="34"/>
        <v>0.34284000000000003</v>
      </c>
      <c r="AG295" s="1113">
        <f t="shared" si="35"/>
        <v>4.0000000000040004E-5</v>
      </c>
      <c r="AH295" s="1112"/>
      <c r="AI295" s="1113"/>
      <c r="AJ295" s="1113"/>
      <c r="AK295" s="1112">
        <v>0.33200000000000002</v>
      </c>
      <c r="AL295" s="1114">
        <f>AK295/AE295</f>
        <v>0.96849474912485423</v>
      </c>
      <c r="AM295" s="1114">
        <v>8.0000000000000004E-4</v>
      </c>
      <c r="AN295" s="1112">
        <v>1.0840000000000001E-2</v>
      </c>
      <c r="AO295" s="1114">
        <f>AN295/AE295</f>
        <v>3.162193698949825E-2</v>
      </c>
      <c r="AP295" s="1112"/>
      <c r="AQ295" s="1114"/>
      <c r="AR295" s="1112"/>
      <c r="AS295" s="1114"/>
      <c r="AT295" s="1114"/>
      <c r="AU295" s="1114"/>
      <c r="AV295" s="1114"/>
      <c r="AW295" s="1114" t="s">
        <v>500</v>
      </c>
      <c r="AX295" s="1114" t="s">
        <v>4633</v>
      </c>
      <c r="AY295" s="1114"/>
      <c r="AZ295" s="1114"/>
      <c r="BA295" s="1113">
        <v>0.15</v>
      </c>
      <c r="BB295" s="1114">
        <v>5.9999999999999995E-4</v>
      </c>
      <c r="BC295" s="1115">
        <v>2</v>
      </c>
      <c r="BD295" s="1115">
        <v>2</v>
      </c>
      <c r="BE295" s="1116">
        <v>2</v>
      </c>
      <c r="BF295" s="1115"/>
      <c r="BG295" s="1115"/>
      <c r="BH295" s="1115"/>
      <c r="BI295" s="1115"/>
      <c r="BJ295" s="1115"/>
      <c r="BK295" s="1115">
        <v>1</v>
      </c>
      <c r="BL295" s="1115"/>
      <c r="BM295" s="1115"/>
      <c r="BN295" s="1115"/>
      <c r="BO295" s="1115"/>
      <c r="BP295" s="1115"/>
      <c r="BQ295" s="1115">
        <v>1</v>
      </c>
      <c r="BR295" s="1115"/>
      <c r="BS295" s="1115"/>
      <c r="BT295" s="1115"/>
      <c r="BU295" s="1115"/>
      <c r="BV295" s="1115"/>
      <c r="BW295" s="1115"/>
      <c r="BX295" s="1115"/>
      <c r="BY295" s="1115"/>
      <c r="BZ295" s="1115"/>
      <c r="CA295" s="1117">
        <f t="shared" si="40"/>
        <v>2</v>
      </c>
      <c r="CB295" s="1117">
        <f t="shared" si="37"/>
        <v>2</v>
      </c>
      <c r="CC295" s="1117">
        <f t="shared" si="38"/>
        <v>0</v>
      </c>
      <c r="CD295" s="1113">
        <v>4.258</v>
      </c>
      <c r="CE295" s="1109" t="s">
        <v>4634</v>
      </c>
      <c r="CF295" s="1109"/>
      <c r="CG295" s="1109">
        <v>100</v>
      </c>
      <c r="CH295" s="1113">
        <v>4.258</v>
      </c>
      <c r="CI295" s="1114" t="s">
        <v>4602</v>
      </c>
      <c r="CJ295" s="1109" t="s">
        <v>500</v>
      </c>
      <c r="CK295" s="1109" t="s">
        <v>4502</v>
      </c>
      <c r="CL295" s="1109" t="s">
        <v>504</v>
      </c>
      <c r="CM295" s="1115">
        <v>1</v>
      </c>
      <c r="CN295" s="1115"/>
      <c r="CO295" s="1115"/>
      <c r="CP295" s="1109" t="s">
        <v>504</v>
      </c>
      <c r="CQ295" s="1109"/>
      <c r="CR295" s="1115"/>
      <c r="CS295" s="1109" t="s">
        <v>500</v>
      </c>
      <c r="CT295" s="1109" t="s">
        <v>4635</v>
      </c>
      <c r="CU295" s="1115">
        <v>16</v>
      </c>
      <c r="CV295" s="1115" t="s">
        <v>504</v>
      </c>
      <c r="CW295" s="1115"/>
      <c r="CX295" s="1115"/>
      <c r="CY295" s="1115" t="s">
        <v>504</v>
      </c>
      <c r="CZ295" s="1115"/>
      <c r="DA295" s="1115"/>
      <c r="DB295" s="1109" t="s">
        <v>504</v>
      </c>
      <c r="DC295" s="1109"/>
      <c r="DD295" s="1115"/>
      <c r="DE295" s="1109" t="s">
        <v>504</v>
      </c>
      <c r="DF295" s="1109"/>
      <c r="DG295" s="1115"/>
      <c r="DH295" s="1109" t="s">
        <v>504</v>
      </c>
      <c r="DI295" s="1109"/>
      <c r="DJ295" s="1115"/>
      <c r="DK295" s="1109"/>
      <c r="DL295" s="1109"/>
      <c r="DM295" s="1115"/>
      <c r="DN295" s="1109" t="s">
        <v>504</v>
      </c>
      <c r="DO295" s="1109"/>
      <c r="DP295" s="1115"/>
      <c r="DQ295" s="1109" t="s">
        <v>504</v>
      </c>
      <c r="DR295" s="1109"/>
      <c r="DS295" s="1115"/>
      <c r="DT295" s="1115" t="s">
        <v>504</v>
      </c>
      <c r="DU295" s="1115"/>
      <c r="DV295" s="1115"/>
      <c r="DW295" s="1109" t="s">
        <v>504</v>
      </c>
      <c r="DX295" s="1109"/>
      <c r="DY295" s="1115"/>
      <c r="DZ295" s="1109" t="s">
        <v>504</v>
      </c>
      <c r="EA295" s="1109"/>
      <c r="EB295" s="1115"/>
      <c r="EC295" s="1109" t="s">
        <v>500</v>
      </c>
      <c r="ED295" s="1109" t="s">
        <v>4636</v>
      </c>
      <c r="EE295" s="1115">
        <v>4</v>
      </c>
      <c r="EF295" s="1115" t="s">
        <v>504</v>
      </c>
      <c r="EG295" s="1115"/>
      <c r="EH295" s="1115"/>
      <c r="EI295" s="1109" t="s">
        <v>504</v>
      </c>
      <c r="EJ295" s="1109"/>
      <c r="EK295" s="1115"/>
      <c r="EL295" s="1115"/>
      <c r="EM295" s="1115"/>
      <c r="EN295" s="1115"/>
      <c r="EO295" s="1109" t="s">
        <v>504</v>
      </c>
      <c r="EP295" s="1109"/>
      <c r="EQ295" s="1143" t="s">
        <v>4637</v>
      </c>
      <c r="ER295" s="1109"/>
      <c r="ES295" s="1109"/>
      <c r="ET295" s="1109" t="s">
        <v>4638</v>
      </c>
      <c r="EU295" s="1109"/>
      <c r="EV295" s="1109"/>
      <c r="EW295" s="1109"/>
      <c r="EX295" s="1109"/>
    </row>
    <row r="296" spans="3:154" ht="87.95" customHeight="1" x14ac:dyDescent="0.2">
      <c r="C296" s="1156" t="s">
        <v>693</v>
      </c>
      <c r="D296" s="1156" t="s">
        <v>5278</v>
      </c>
      <c r="E296" s="1104" t="s">
        <v>370</v>
      </c>
      <c r="F296" s="1104" t="s">
        <v>455</v>
      </c>
      <c r="G296" s="1109" t="s">
        <v>4639</v>
      </c>
      <c r="H296" s="1109" t="s">
        <v>4595</v>
      </c>
      <c r="I296" s="1109" t="s">
        <v>4502</v>
      </c>
      <c r="J296" s="1110">
        <v>2019</v>
      </c>
      <c r="K296" s="1105">
        <v>43890</v>
      </c>
      <c r="L296" s="1105">
        <v>44074</v>
      </c>
      <c r="M296" s="1369">
        <f t="shared" si="39"/>
        <v>184</v>
      </c>
      <c r="N296" s="1105"/>
      <c r="O296" s="1105"/>
      <c r="P296" s="1105"/>
      <c r="Q296" s="1105"/>
      <c r="R296" s="1105"/>
      <c r="S296" s="1105"/>
      <c r="T296" s="1105"/>
      <c r="U296" s="1105"/>
      <c r="V296" s="1105"/>
      <c r="W296" s="1105"/>
      <c r="X296" s="1105"/>
      <c r="Y296" s="1109" t="s">
        <v>4641</v>
      </c>
      <c r="Z296" s="1143" t="s">
        <v>4642</v>
      </c>
      <c r="AA296" s="1109" t="s">
        <v>4643</v>
      </c>
      <c r="AB296" s="1109" t="s">
        <v>4643</v>
      </c>
      <c r="AC296" s="1109" t="s">
        <v>4644</v>
      </c>
      <c r="AD296" s="1109" t="s">
        <v>4643</v>
      </c>
      <c r="AE296" s="1112">
        <v>0.19500000000000001</v>
      </c>
      <c r="AF296" s="1113">
        <f t="shared" si="34"/>
        <v>0.19540000000000002</v>
      </c>
      <c r="AG296" s="1113">
        <f t="shared" si="35"/>
        <v>4.0000000000001146E-4</v>
      </c>
      <c r="AH296" s="1112"/>
      <c r="AI296" s="1113"/>
      <c r="AJ296" s="1113"/>
      <c r="AK296" s="1112">
        <v>0.19400000000000001</v>
      </c>
      <c r="AL296" s="1114">
        <v>0.995</v>
      </c>
      <c r="AM296" s="1114">
        <v>2.5000000000000001E-3</v>
      </c>
      <c r="AN296" s="1112">
        <v>1.4E-3</v>
      </c>
      <c r="AO296" s="1114">
        <v>5.0000000000000001E-3</v>
      </c>
      <c r="AP296" s="1112"/>
      <c r="AQ296" s="1114"/>
      <c r="AR296" s="1112"/>
      <c r="AS296" s="1114"/>
      <c r="AT296" s="1114"/>
      <c r="AU296" s="1114"/>
      <c r="AV296" s="1114"/>
      <c r="AW296" s="1114" t="s">
        <v>500</v>
      </c>
      <c r="AX296" s="1114" t="s">
        <v>4196</v>
      </c>
      <c r="AY296" s="1114"/>
      <c r="AZ296" s="1114"/>
      <c r="BA296" s="1113">
        <v>0.15</v>
      </c>
      <c r="BB296" s="1114">
        <v>2E-3</v>
      </c>
      <c r="BC296" s="1115">
        <v>3</v>
      </c>
      <c r="BD296" s="1115">
        <v>2</v>
      </c>
      <c r="BE296" s="1116">
        <v>2</v>
      </c>
      <c r="BF296" s="1115"/>
      <c r="BG296" s="1115"/>
      <c r="BH296" s="1115"/>
      <c r="BI296" s="1115"/>
      <c r="BJ296" s="1115"/>
      <c r="BK296" s="1115">
        <v>1</v>
      </c>
      <c r="BL296" s="1115"/>
      <c r="BM296" s="1115"/>
      <c r="BN296" s="1115"/>
      <c r="BO296" s="1115"/>
      <c r="BP296" s="1115"/>
      <c r="BQ296" s="1115"/>
      <c r="BR296" s="1115">
        <v>1</v>
      </c>
      <c r="BS296" s="1115"/>
      <c r="BT296" s="1115"/>
      <c r="BU296" s="1115"/>
      <c r="BV296" s="1115"/>
      <c r="BW296" s="1115"/>
      <c r="BX296" s="1115"/>
      <c r="BY296" s="1115"/>
      <c r="BZ296" s="1115"/>
      <c r="CA296" s="1117">
        <f t="shared" si="40"/>
        <v>2</v>
      </c>
      <c r="CB296" s="1117">
        <f t="shared" si="37"/>
        <v>2</v>
      </c>
      <c r="CC296" s="1117">
        <f t="shared" si="38"/>
        <v>0</v>
      </c>
      <c r="CD296" s="1113">
        <v>1.343</v>
      </c>
      <c r="CE296" s="1109" t="s">
        <v>4601</v>
      </c>
      <c r="CF296" s="1109"/>
      <c r="CG296" s="1109">
        <v>100</v>
      </c>
      <c r="CH296" s="1113">
        <v>1.343</v>
      </c>
      <c r="CI296" s="1114" t="s">
        <v>4602</v>
      </c>
      <c r="CJ296" s="1109" t="s">
        <v>500</v>
      </c>
      <c r="CK296" s="1109" t="s">
        <v>4502</v>
      </c>
      <c r="CL296" s="1109" t="s">
        <v>504</v>
      </c>
      <c r="CM296" s="1115">
        <v>1</v>
      </c>
      <c r="CN296" s="1115"/>
      <c r="CO296" s="1115"/>
      <c r="CP296" s="1109" t="s">
        <v>504</v>
      </c>
      <c r="CQ296" s="1109"/>
      <c r="CR296" s="1115"/>
      <c r="CS296" s="1109" t="s">
        <v>500</v>
      </c>
      <c r="CT296" s="1109"/>
      <c r="CU296" s="1115">
        <v>15</v>
      </c>
      <c r="CV296" s="1115" t="s">
        <v>504</v>
      </c>
      <c r="CW296" s="1115"/>
      <c r="CX296" s="1115"/>
      <c r="CY296" s="1115" t="s">
        <v>504</v>
      </c>
      <c r="CZ296" s="1115"/>
      <c r="DA296" s="1115"/>
      <c r="DB296" s="1109" t="s">
        <v>504</v>
      </c>
      <c r="DC296" s="1109"/>
      <c r="DD296" s="1115"/>
      <c r="DE296" s="1109" t="s">
        <v>504</v>
      </c>
      <c r="DF296" s="1109"/>
      <c r="DG296" s="1115"/>
      <c r="DH296" s="1109" t="s">
        <v>504</v>
      </c>
      <c r="DI296" s="1109"/>
      <c r="DJ296" s="1115"/>
      <c r="DK296" s="1109"/>
      <c r="DL296" s="1109"/>
      <c r="DM296" s="1115"/>
      <c r="DN296" s="1109" t="s">
        <v>504</v>
      </c>
      <c r="DO296" s="1109"/>
      <c r="DP296" s="1115"/>
      <c r="DQ296" s="1109" t="s">
        <v>504</v>
      </c>
      <c r="DR296" s="1109"/>
      <c r="DS296" s="1115"/>
      <c r="DT296" s="1115" t="s">
        <v>504</v>
      </c>
      <c r="DU296" s="1115"/>
      <c r="DV296" s="1115"/>
      <c r="DW296" s="1109" t="s">
        <v>504</v>
      </c>
      <c r="DX296" s="1109"/>
      <c r="DY296" s="1115"/>
      <c r="DZ296" s="1109" t="s">
        <v>504</v>
      </c>
      <c r="EA296" s="1109"/>
      <c r="EB296" s="1115"/>
      <c r="EC296" s="1109" t="s">
        <v>500</v>
      </c>
      <c r="ED296" s="1109" t="s">
        <v>4614</v>
      </c>
      <c r="EE296" s="1115">
        <v>7</v>
      </c>
      <c r="EF296" s="1115" t="s">
        <v>504</v>
      </c>
      <c r="EG296" s="1115"/>
      <c r="EH296" s="1115"/>
      <c r="EI296" s="1109"/>
      <c r="EJ296" s="1109"/>
      <c r="EK296" s="1115"/>
      <c r="EL296" s="1115"/>
      <c r="EM296" s="1115"/>
      <c r="EN296" s="1115"/>
      <c r="EO296" s="1109" t="s">
        <v>504</v>
      </c>
      <c r="EP296" s="1143"/>
      <c r="EQ296" s="1143" t="s">
        <v>4645</v>
      </c>
      <c r="ER296" s="1109"/>
      <c r="ES296" s="1109"/>
      <c r="ET296" s="1109" t="s">
        <v>4646</v>
      </c>
      <c r="EU296" s="1109"/>
      <c r="EV296" s="1109"/>
      <c r="EW296" s="1109">
        <v>0</v>
      </c>
      <c r="EX296" s="1109"/>
    </row>
    <row r="297" spans="3:154" ht="86.1" customHeight="1" x14ac:dyDescent="0.2">
      <c r="C297" s="1156" t="s">
        <v>693</v>
      </c>
      <c r="D297" s="1156" t="s">
        <v>5278</v>
      </c>
      <c r="E297" s="1104" t="s">
        <v>370</v>
      </c>
      <c r="F297" s="1104" t="s">
        <v>455</v>
      </c>
      <c r="G297" s="1109" t="s">
        <v>4647</v>
      </c>
      <c r="H297" s="1109" t="s">
        <v>4648</v>
      </c>
      <c r="I297" s="1109" t="s">
        <v>4502</v>
      </c>
      <c r="J297" s="1110">
        <v>2019</v>
      </c>
      <c r="K297" s="1105">
        <v>43709</v>
      </c>
      <c r="L297" s="1105">
        <v>44012</v>
      </c>
      <c r="M297" s="1369">
        <f t="shared" si="39"/>
        <v>303</v>
      </c>
      <c r="N297" s="1105"/>
      <c r="O297" s="1105"/>
      <c r="P297" s="1105"/>
      <c r="Q297" s="1105"/>
      <c r="R297" s="1105"/>
      <c r="S297" s="1105"/>
      <c r="T297" s="1105"/>
      <c r="U297" s="1105"/>
      <c r="V297" s="1105"/>
      <c r="W297" s="1105"/>
      <c r="X297" s="1105"/>
      <c r="Y297" s="1109" t="s">
        <v>4651</v>
      </c>
      <c r="Z297" s="1143" t="s">
        <v>4652</v>
      </c>
      <c r="AA297" s="1109" t="s">
        <v>4653</v>
      </c>
      <c r="AB297" s="1109" t="s">
        <v>4653</v>
      </c>
      <c r="AC297" s="1109" t="s">
        <v>4654</v>
      </c>
      <c r="AD297" s="1109" t="s">
        <v>4653</v>
      </c>
      <c r="AE297" s="1112">
        <v>0.15</v>
      </c>
      <c r="AF297" s="1113">
        <f t="shared" si="34"/>
        <v>0.15</v>
      </c>
      <c r="AG297" s="1113">
        <f t="shared" si="35"/>
        <v>0</v>
      </c>
      <c r="AH297" s="1112"/>
      <c r="AI297" s="1113"/>
      <c r="AJ297" s="1113"/>
      <c r="AK297" s="1112">
        <v>0.15</v>
      </c>
      <c r="AL297" s="1114">
        <v>1</v>
      </c>
      <c r="AM297" s="1114">
        <v>5.0000000000000001E-3</v>
      </c>
      <c r="AN297" s="1112"/>
      <c r="AO297" s="1114"/>
      <c r="AP297" s="1112"/>
      <c r="AQ297" s="1114"/>
      <c r="AR297" s="1112"/>
      <c r="AS297" s="1114"/>
      <c r="AT297" s="1114"/>
      <c r="AU297" s="1114"/>
      <c r="AV297" s="1114"/>
      <c r="AW297" s="1114" t="s">
        <v>500</v>
      </c>
      <c r="AX297" s="1114" t="s">
        <v>838</v>
      </c>
      <c r="AY297" s="1114"/>
      <c r="AZ297" s="1114"/>
      <c r="BA297" s="1113">
        <v>0.15</v>
      </c>
      <c r="BB297" s="1114">
        <v>3.8E-3</v>
      </c>
      <c r="BC297" s="1115">
        <v>1</v>
      </c>
      <c r="BD297" s="1115">
        <v>1</v>
      </c>
      <c r="BE297" s="1116">
        <v>1</v>
      </c>
      <c r="BF297" s="1115"/>
      <c r="BG297" s="1115"/>
      <c r="BH297" s="1115"/>
      <c r="BI297" s="1115"/>
      <c r="BJ297" s="1115"/>
      <c r="BK297" s="1115">
        <v>1</v>
      </c>
      <c r="BL297" s="1115"/>
      <c r="BM297" s="1115"/>
      <c r="BN297" s="1115"/>
      <c r="BO297" s="1115"/>
      <c r="BP297" s="1115"/>
      <c r="BQ297" s="1115"/>
      <c r="BR297" s="1115"/>
      <c r="BS297" s="1115"/>
      <c r="BT297" s="1115"/>
      <c r="BU297" s="1115"/>
      <c r="BV297" s="1115"/>
      <c r="BW297" s="1115"/>
      <c r="BX297" s="1115"/>
      <c r="BY297" s="1115"/>
      <c r="BZ297" s="1115"/>
      <c r="CA297" s="1117">
        <f t="shared" si="40"/>
        <v>1</v>
      </c>
      <c r="CB297" s="1117">
        <f t="shared" si="37"/>
        <v>1</v>
      </c>
      <c r="CC297" s="1117">
        <f t="shared" si="38"/>
        <v>0</v>
      </c>
      <c r="CD297" s="1113">
        <v>0.47</v>
      </c>
      <c r="CE297" s="1109" t="s">
        <v>4601</v>
      </c>
      <c r="CF297" s="1109"/>
      <c r="CG297" s="1109">
        <v>100</v>
      </c>
      <c r="CH297" s="1113">
        <v>0.47</v>
      </c>
      <c r="CI297" s="1114" t="s">
        <v>4602</v>
      </c>
      <c r="CJ297" s="1109" t="s">
        <v>504</v>
      </c>
      <c r="CK297" s="1109"/>
      <c r="CL297" s="1109"/>
      <c r="CM297" s="1115"/>
      <c r="CN297" s="1115"/>
      <c r="CO297" s="1115">
        <v>1</v>
      </c>
      <c r="CP297" s="1109" t="s">
        <v>504</v>
      </c>
      <c r="CQ297" s="1109"/>
      <c r="CR297" s="1115"/>
      <c r="CS297" s="1109" t="s">
        <v>500</v>
      </c>
      <c r="CT297" s="1109" t="s">
        <v>935</v>
      </c>
      <c r="CU297" s="1115">
        <v>12</v>
      </c>
      <c r="CV297" s="1115" t="s">
        <v>504</v>
      </c>
      <c r="CW297" s="1115"/>
      <c r="CX297" s="1115"/>
      <c r="CY297" s="1115" t="s">
        <v>504</v>
      </c>
      <c r="CZ297" s="1115"/>
      <c r="DA297" s="1115"/>
      <c r="DB297" s="1109" t="s">
        <v>504</v>
      </c>
      <c r="DC297" s="1109"/>
      <c r="DD297" s="1115"/>
      <c r="DE297" s="1109" t="s">
        <v>504</v>
      </c>
      <c r="DF297" s="1109"/>
      <c r="DG297" s="1115"/>
      <c r="DH297" s="1109" t="s">
        <v>504</v>
      </c>
      <c r="DI297" s="1109"/>
      <c r="DJ297" s="1115"/>
      <c r="DK297" s="1109"/>
      <c r="DL297" s="1109"/>
      <c r="DM297" s="1115"/>
      <c r="DN297" s="1109" t="s">
        <v>504</v>
      </c>
      <c r="DO297" s="1109"/>
      <c r="DP297" s="1115"/>
      <c r="DQ297" s="1109" t="s">
        <v>504</v>
      </c>
      <c r="DR297" s="1109"/>
      <c r="DS297" s="1115"/>
      <c r="DT297" s="1115" t="s">
        <v>504</v>
      </c>
      <c r="DU297" s="1115"/>
      <c r="DV297" s="1115"/>
      <c r="DW297" s="1109" t="s">
        <v>504</v>
      </c>
      <c r="DX297" s="1109"/>
      <c r="DY297" s="1115"/>
      <c r="DZ297" s="1109" t="s">
        <v>504</v>
      </c>
      <c r="EA297" s="1109"/>
      <c r="EB297" s="1115"/>
      <c r="EC297" s="1109" t="s">
        <v>500</v>
      </c>
      <c r="ED297" s="1109" t="s">
        <v>4614</v>
      </c>
      <c r="EE297" s="1115">
        <v>9</v>
      </c>
      <c r="EF297" s="1115"/>
      <c r="EG297" s="1115"/>
      <c r="EH297" s="1115"/>
      <c r="EI297" s="1109"/>
      <c r="EJ297" s="1109"/>
      <c r="EK297" s="1115"/>
      <c r="EL297" s="1115"/>
      <c r="EM297" s="1115"/>
      <c r="EN297" s="1115"/>
      <c r="EO297" s="1109" t="s">
        <v>500</v>
      </c>
      <c r="EP297" s="1109" t="s">
        <v>4588</v>
      </c>
      <c r="EQ297" s="1143" t="s">
        <v>4655</v>
      </c>
      <c r="ER297" s="1109"/>
      <c r="ES297" s="1109"/>
      <c r="ET297" s="1109" t="s">
        <v>4627</v>
      </c>
      <c r="EU297" s="1109"/>
      <c r="EV297" s="1109" t="s">
        <v>504</v>
      </c>
      <c r="EW297" s="1109"/>
      <c r="EX297" s="1109"/>
    </row>
    <row r="298" spans="3:154" ht="75" customHeight="1" x14ac:dyDescent="0.2">
      <c r="C298" s="1156" t="s">
        <v>693</v>
      </c>
      <c r="D298" s="1156" t="s">
        <v>5278</v>
      </c>
      <c r="E298" s="1104" t="s">
        <v>370</v>
      </c>
      <c r="F298" s="1104" t="s">
        <v>455</v>
      </c>
      <c r="G298" s="1109" t="s">
        <v>4656</v>
      </c>
      <c r="H298" s="1109" t="s">
        <v>4595</v>
      </c>
      <c r="I298" s="1109" t="s">
        <v>4502</v>
      </c>
      <c r="J298" s="1110">
        <v>2019</v>
      </c>
      <c r="K298" s="1105">
        <v>43673</v>
      </c>
      <c r="L298" s="1105">
        <v>44104</v>
      </c>
      <c r="M298" s="1369">
        <f t="shared" si="39"/>
        <v>431</v>
      </c>
      <c r="N298" s="1105"/>
      <c r="O298" s="1105"/>
      <c r="P298" s="1105"/>
      <c r="Q298" s="1105"/>
      <c r="R298" s="1105"/>
      <c r="S298" s="1105"/>
      <c r="T298" s="1105"/>
      <c r="U298" s="1105"/>
      <c r="V298" s="1105"/>
      <c r="W298" s="1105"/>
      <c r="X298" s="1105"/>
      <c r="Y298" s="1109" t="s">
        <v>4659</v>
      </c>
      <c r="Z298" s="1143" t="s">
        <v>4660</v>
      </c>
      <c r="AA298" s="1109" t="s">
        <v>4661</v>
      </c>
      <c r="AB298" s="1109" t="s">
        <v>4661</v>
      </c>
      <c r="AC298" s="1109" t="s">
        <v>4654</v>
      </c>
      <c r="AD298" s="1109" t="s">
        <v>4661</v>
      </c>
      <c r="AE298" s="1112">
        <v>0.15</v>
      </c>
      <c r="AF298" s="1113">
        <f t="shared" si="34"/>
        <v>0.15</v>
      </c>
      <c r="AG298" s="1113">
        <f t="shared" si="35"/>
        <v>0</v>
      </c>
      <c r="AH298" s="1112"/>
      <c r="AI298" s="1113"/>
      <c r="AJ298" s="1113"/>
      <c r="AK298" s="1112">
        <v>0.15</v>
      </c>
      <c r="AL298" s="1114">
        <v>1</v>
      </c>
      <c r="AM298" s="1114">
        <v>2.5000000000000001E-3</v>
      </c>
      <c r="AN298" s="1112"/>
      <c r="AO298" s="1114"/>
      <c r="AP298" s="1112"/>
      <c r="AQ298" s="1114"/>
      <c r="AR298" s="1112"/>
      <c r="AS298" s="1114"/>
      <c r="AT298" s="1114"/>
      <c r="AU298" s="1114"/>
      <c r="AV298" s="1114"/>
      <c r="AW298" s="1114" t="s">
        <v>500</v>
      </c>
      <c r="AX298" s="1114" t="s">
        <v>4196</v>
      </c>
      <c r="AY298" s="1114"/>
      <c r="AZ298" s="1114"/>
      <c r="BA298" s="1113">
        <v>0.15</v>
      </c>
      <c r="BB298" s="1114">
        <v>3.0000000000000001E-3</v>
      </c>
      <c r="BC298" s="1115">
        <v>3</v>
      </c>
      <c r="BD298" s="1115">
        <v>3</v>
      </c>
      <c r="BE298" s="1116">
        <v>1</v>
      </c>
      <c r="BF298" s="1115"/>
      <c r="BG298" s="1115"/>
      <c r="BH298" s="1115"/>
      <c r="BI298" s="1115"/>
      <c r="BJ298" s="1115"/>
      <c r="BK298" s="1115"/>
      <c r="BL298" s="1115"/>
      <c r="BM298" s="1115"/>
      <c r="BN298" s="1115"/>
      <c r="BO298" s="1115"/>
      <c r="BP298" s="1115"/>
      <c r="BQ298" s="1115">
        <v>1</v>
      </c>
      <c r="BR298" s="1115"/>
      <c r="BS298" s="1115"/>
      <c r="BT298" s="1115"/>
      <c r="BU298" s="1115"/>
      <c r="BV298" s="1115"/>
      <c r="BW298" s="1115"/>
      <c r="BX298" s="1115"/>
      <c r="BY298" s="1115"/>
      <c r="BZ298" s="1115"/>
      <c r="CA298" s="1117">
        <f t="shared" si="40"/>
        <v>1</v>
      </c>
      <c r="CB298" s="1117">
        <f t="shared" si="37"/>
        <v>1</v>
      </c>
      <c r="CC298" s="1117">
        <f t="shared" si="38"/>
        <v>0</v>
      </c>
      <c r="CD298" s="1113">
        <v>0.76100000000000001</v>
      </c>
      <c r="CE298" s="1109" t="s">
        <v>4662</v>
      </c>
      <c r="CF298" s="1109"/>
      <c r="CG298" s="1109">
        <v>100</v>
      </c>
      <c r="CH298" s="1113">
        <v>0.76100000000000001</v>
      </c>
      <c r="CI298" s="1114" t="s">
        <v>4602</v>
      </c>
      <c r="CJ298" s="1109" t="s">
        <v>504</v>
      </c>
      <c r="CK298" s="1109"/>
      <c r="CL298" s="1109"/>
      <c r="CM298" s="1115"/>
      <c r="CN298" s="1115"/>
      <c r="CO298" s="1115"/>
      <c r="CP298" s="1109" t="s">
        <v>504</v>
      </c>
      <c r="CQ298" s="1109"/>
      <c r="CR298" s="1115"/>
      <c r="CS298" s="1109" t="s">
        <v>500</v>
      </c>
      <c r="CT298" s="1109" t="s">
        <v>4663</v>
      </c>
      <c r="CU298" s="1115">
        <v>10</v>
      </c>
      <c r="CV298" s="1115" t="s">
        <v>504</v>
      </c>
      <c r="CW298" s="1115"/>
      <c r="CX298" s="1115"/>
      <c r="CY298" s="1115" t="s">
        <v>504</v>
      </c>
      <c r="CZ298" s="1115"/>
      <c r="DA298" s="1115"/>
      <c r="DB298" s="1109" t="s">
        <v>504</v>
      </c>
      <c r="DC298" s="1109"/>
      <c r="DD298" s="1115"/>
      <c r="DE298" s="1109" t="s">
        <v>504</v>
      </c>
      <c r="DF298" s="1109"/>
      <c r="DG298" s="1115"/>
      <c r="DH298" s="1109" t="s">
        <v>504</v>
      </c>
      <c r="DI298" s="1109"/>
      <c r="DJ298" s="1115"/>
      <c r="DK298" s="1109"/>
      <c r="DL298" s="1109"/>
      <c r="DM298" s="1115"/>
      <c r="DN298" s="1109" t="s">
        <v>504</v>
      </c>
      <c r="DO298" s="1109"/>
      <c r="DP298" s="1115"/>
      <c r="DQ298" s="1109" t="s">
        <v>504</v>
      </c>
      <c r="DR298" s="1109"/>
      <c r="DS298" s="1115"/>
      <c r="DT298" s="1115" t="s">
        <v>504</v>
      </c>
      <c r="DU298" s="1115"/>
      <c r="DV298" s="1115"/>
      <c r="DW298" s="1109" t="s">
        <v>504</v>
      </c>
      <c r="DX298" s="1109"/>
      <c r="DY298" s="1115"/>
      <c r="DZ298" s="1109" t="s">
        <v>504</v>
      </c>
      <c r="EA298" s="1109"/>
      <c r="EB298" s="1115"/>
      <c r="EC298" s="1109" t="s">
        <v>500</v>
      </c>
      <c r="ED298" s="1109" t="s">
        <v>4664</v>
      </c>
      <c r="EE298" s="1115">
        <v>6</v>
      </c>
      <c r="EF298" s="1115"/>
      <c r="EG298" s="1115"/>
      <c r="EH298" s="1115"/>
      <c r="EI298" s="1109"/>
      <c r="EJ298" s="1109"/>
      <c r="EK298" s="1115"/>
      <c r="EL298" s="1115"/>
      <c r="EM298" s="1115"/>
      <c r="EN298" s="1115"/>
      <c r="EO298" s="1109" t="s">
        <v>500</v>
      </c>
      <c r="EP298" s="1109" t="s">
        <v>4588</v>
      </c>
      <c r="EQ298" s="1143" t="s">
        <v>4665</v>
      </c>
      <c r="ER298" s="1143"/>
      <c r="ES298" s="1109"/>
      <c r="ET298" s="1109" t="s">
        <v>4666</v>
      </c>
      <c r="EU298" s="1109"/>
      <c r="EV298" s="1109"/>
      <c r="EW298" s="1109">
        <v>0</v>
      </c>
      <c r="EX298" s="1109"/>
    </row>
    <row r="299" spans="3:154" ht="66.95" customHeight="1" x14ac:dyDescent="0.2">
      <c r="C299" s="1156" t="s">
        <v>693</v>
      </c>
      <c r="D299" s="1156" t="s">
        <v>5278</v>
      </c>
      <c r="E299" s="1104" t="s">
        <v>370</v>
      </c>
      <c r="F299" s="1104" t="s">
        <v>455</v>
      </c>
      <c r="G299" s="1109" t="s">
        <v>4667</v>
      </c>
      <c r="H299" s="1109" t="s">
        <v>4668</v>
      </c>
      <c r="I299" s="1109" t="s">
        <v>4502</v>
      </c>
      <c r="J299" s="1110">
        <v>2019</v>
      </c>
      <c r="K299" s="1105">
        <v>43556</v>
      </c>
      <c r="L299" s="1105">
        <v>44175</v>
      </c>
      <c r="M299" s="1369">
        <f t="shared" si="39"/>
        <v>619</v>
      </c>
      <c r="N299" s="1105"/>
      <c r="O299" s="1105"/>
      <c r="P299" s="1105"/>
      <c r="Q299" s="1105"/>
      <c r="R299" s="1105"/>
      <c r="S299" s="1105"/>
      <c r="T299" s="1105"/>
      <c r="U299" s="1105"/>
      <c r="V299" s="1105"/>
      <c r="W299" s="1105"/>
      <c r="X299" s="1105"/>
      <c r="Y299" s="1109" t="s">
        <v>4669</v>
      </c>
      <c r="Z299" s="1131" t="s">
        <v>4670</v>
      </c>
      <c r="AA299" s="1109" t="s">
        <v>4671</v>
      </c>
      <c r="AB299" s="1109" t="s">
        <v>4672</v>
      </c>
      <c r="AC299" s="1109" t="s">
        <v>4368</v>
      </c>
      <c r="AD299" s="1109" t="s">
        <v>4673</v>
      </c>
      <c r="AE299" s="1112">
        <v>4.5042010000000001</v>
      </c>
      <c r="AF299" s="1113">
        <f t="shared" si="34"/>
        <v>4.5042001000000003</v>
      </c>
      <c r="AG299" s="1113">
        <f t="shared" si="35"/>
        <v>-8.9999999985934664E-7</v>
      </c>
      <c r="AH299" s="1112"/>
      <c r="AI299" s="1113"/>
      <c r="AJ299" s="1113"/>
      <c r="AK299" s="1112">
        <v>4.3846001000000001</v>
      </c>
      <c r="AL299" s="1114">
        <f>AK299/AE299</f>
        <v>0.97344681109923825</v>
      </c>
      <c r="AM299" s="1114">
        <v>7.5000000000000002E-4</v>
      </c>
      <c r="AN299" s="1112">
        <v>0.1196</v>
      </c>
      <c r="AO299" s="1114">
        <f>AN299/AE299</f>
        <v>2.6552989087298723E-2</v>
      </c>
      <c r="AP299" s="1112"/>
      <c r="AQ299" s="1114"/>
      <c r="AR299" s="1112"/>
      <c r="AS299" s="1114"/>
      <c r="AT299" s="1114"/>
      <c r="AU299" s="1114"/>
      <c r="AV299" s="1114"/>
      <c r="AW299" s="1114" t="s">
        <v>500</v>
      </c>
      <c r="AX299" s="1114" t="s">
        <v>4579</v>
      </c>
      <c r="AY299" s="1114"/>
      <c r="AZ299" s="1114"/>
      <c r="BA299" s="1113">
        <v>1.077</v>
      </c>
      <c r="BB299" s="1114">
        <v>4.8999999999999998E-4</v>
      </c>
      <c r="BC299" s="1115">
        <v>29</v>
      </c>
      <c r="BD299" s="1115">
        <v>27</v>
      </c>
      <c r="BE299" s="1116">
        <v>16</v>
      </c>
      <c r="BF299" s="1115"/>
      <c r="BG299" s="1115"/>
      <c r="BH299" s="1115"/>
      <c r="BI299" s="1115"/>
      <c r="BJ299" s="1115"/>
      <c r="BK299" s="1115">
        <v>1</v>
      </c>
      <c r="BL299" s="1115"/>
      <c r="BM299" s="1115">
        <v>4</v>
      </c>
      <c r="BN299" s="1115">
        <v>2</v>
      </c>
      <c r="BO299" s="1115"/>
      <c r="BP299" s="1115"/>
      <c r="BQ299" s="1115"/>
      <c r="BR299" s="1115"/>
      <c r="BS299" s="1115"/>
      <c r="BT299" s="1115"/>
      <c r="BU299" s="1115"/>
      <c r="BV299" s="1115"/>
      <c r="BW299" s="1115"/>
      <c r="BX299" s="1115"/>
      <c r="BY299" s="1115">
        <v>9</v>
      </c>
      <c r="BZ299" s="1115"/>
      <c r="CA299" s="1117">
        <f t="shared" si="40"/>
        <v>16</v>
      </c>
      <c r="CB299" s="1117">
        <f t="shared" si="37"/>
        <v>16</v>
      </c>
      <c r="CC299" s="1117">
        <f t="shared" si="38"/>
        <v>0</v>
      </c>
      <c r="CD299" s="1113">
        <v>3.4279999999999999</v>
      </c>
      <c r="CE299" s="1109" t="s">
        <v>504</v>
      </c>
      <c r="CF299" s="1109"/>
      <c r="CG299" s="1109">
        <v>22</v>
      </c>
      <c r="CH299" s="1113">
        <v>15.236000000000001</v>
      </c>
      <c r="CI299" s="1114" t="s">
        <v>4674</v>
      </c>
      <c r="CJ299" s="1109" t="s">
        <v>500</v>
      </c>
      <c r="CK299" s="1109" t="s">
        <v>4502</v>
      </c>
      <c r="CL299" s="1109" t="s">
        <v>504</v>
      </c>
      <c r="CM299" s="1115">
        <v>1</v>
      </c>
      <c r="CN299" s="1115"/>
      <c r="CO299" s="1115"/>
      <c r="CP299" s="1109" t="s">
        <v>504</v>
      </c>
      <c r="CQ299" s="1109"/>
      <c r="CR299" s="1115"/>
      <c r="CS299" s="1109" t="s">
        <v>504</v>
      </c>
      <c r="CT299" s="1109"/>
      <c r="CU299" s="1115"/>
      <c r="CV299" s="1115" t="s">
        <v>504</v>
      </c>
      <c r="CW299" s="1115"/>
      <c r="CX299" s="1115"/>
      <c r="CY299" s="1115" t="s">
        <v>504</v>
      </c>
      <c r="CZ299" s="1115"/>
      <c r="DA299" s="1115"/>
      <c r="DB299" s="1109" t="s">
        <v>504</v>
      </c>
      <c r="DC299" s="1109"/>
      <c r="DD299" s="1115"/>
      <c r="DE299" s="1109" t="s">
        <v>504</v>
      </c>
      <c r="DF299" s="1109"/>
      <c r="DG299" s="1115"/>
      <c r="DH299" s="1109" t="s">
        <v>500</v>
      </c>
      <c r="DI299" s="1109"/>
      <c r="DJ299" s="1115">
        <v>4</v>
      </c>
      <c r="DK299" s="1109" t="s">
        <v>504</v>
      </c>
      <c r="DL299" s="1109"/>
      <c r="DM299" s="1115"/>
      <c r="DN299" s="1109" t="s">
        <v>500</v>
      </c>
      <c r="DO299" s="1109" t="s">
        <v>4675</v>
      </c>
      <c r="DP299" s="1115"/>
      <c r="DQ299" s="1109" t="s">
        <v>500</v>
      </c>
      <c r="DR299" s="1109" t="s">
        <v>4676</v>
      </c>
      <c r="DS299" s="1115">
        <v>362</v>
      </c>
      <c r="DT299" s="1115" t="s">
        <v>504</v>
      </c>
      <c r="DU299" s="1115"/>
      <c r="DV299" s="1115"/>
      <c r="DW299" s="1109" t="s">
        <v>504</v>
      </c>
      <c r="DX299" s="1109"/>
      <c r="DY299" s="1115"/>
      <c r="DZ299" s="1109" t="s">
        <v>504</v>
      </c>
      <c r="EA299" s="1109"/>
      <c r="EB299" s="1115"/>
      <c r="EC299" s="1109" t="s">
        <v>504</v>
      </c>
      <c r="ED299" s="1109"/>
      <c r="EE299" s="1115"/>
      <c r="EF299" s="1115" t="s">
        <v>500</v>
      </c>
      <c r="EG299" s="1115" t="s">
        <v>4677</v>
      </c>
      <c r="EH299" s="1115">
        <v>10</v>
      </c>
      <c r="EI299" s="1109" t="s">
        <v>504</v>
      </c>
      <c r="EJ299" s="1109"/>
      <c r="EK299" s="1115">
        <v>0</v>
      </c>
      <c r="EL299" s="1115"/>
      <c r="EM299" s="1115"/>
      <c r="EN299" s="1115"/>
      <c r="EO299" s="1109" t="s">
        <v>504</v>
      </c>
      <c r="EP299" s="1109"/>
      <c r="EQ299" s="1131" t="s">
        <v>4678</v>
      </c>
      <c r="ER299" s="1109"/>
      <c r="ES299" s="1109"/>
      <c r="ET299" s="1109"/>
      <c r="EU299" s="1109"/>
      <c r="EV299" s="1109"/>
      <c r="EW299" s="1109">
        <v>0</v>
      </c>
      <c r="EX299" s="1109">
        <v>0</v>
      </c>
    </row>
    <row r="300" spans="3:154" ht="75" customHeight="1" x14ac:dyDescent="0.2">
      <c r="C300" s="1156" t="s">
        <v>693</v>
      </c>
      <c r="D300" s="1156" t="s">
        <v>5278</v>
      </c>
      <c r="E300" s="1104" t="s">
        <v>370</v>
      </c>
      <c r="F300" s="1104" t="s">
        <v>455</v>
      </c>
      <c r="G300" s="1109" t="s">
        <v>4679</v>
      </c>
      <c r="H300" s="1109" t="s">
        <v>4680</v>
      </c>
      <c r="I300" s="1109" t="s">
        <v>4595</v>
      </c>
      <c r="J300" s="1110">
        <v>2019</v>
      </c>
      <c r="K300" s="1105">
        <v>43585</v>
      </c>
      <c r="L300" s="1105">
        <v>44081</v>
      </c>
      <c r="M300" s="1369">
        <f t="shared" si="39"/>
        <v>496</v>
      </c>
      <c r="N300" s="1105"/>
      <c r="O300" s="1105"/>
      <c r="P300" s="1105"/>
      <c r="Q300" s="1105"/>
      <c r="R300" s="1105"/>
      <c r="S300" s="1105"/>
      <c r="T300" s="1105"/>
      <c r="U300" s="1105"/>
      <c r="V300" s="1105"/>
      <c r="W300" s="1105"/>
      <c r="X300" s="1105"/>
      <c r="Y300" s="1109" t="s">
        <v>4681</v>
      </c>
      <c r="Z300" s="1131" t="s">
        <v>4682</v>
      </c>
      <c r="AA300" s="1109" t="s">
        <v>4683</v>
      </c>
      <c r="AB300" s="1109"/>
      <c r="AC300" s="1109"/>
      <c r="AD300" s="1109"/>
      <c r="AE300" s="1112">
        <v>9.9000000000000005E-2</v>
      </c>
      <c r="AF300" s="1113">
        <f t="shared" si="34"/>
        <v>9.9400000000000002E-2</v>
      </c>
      <c r="AG300" s="1113">
        <f t="shared" si="35"/>
        <v>3.9999999999999758E-4</v>
      </c>
      <c r="AH300" s="1112"/>
      <c r="AI300" s="1113"/>
      <c r="AJ300" s="1113"/>
      <c r="AK300" s="1112">
        <v>9.6000000000000002E-2</v>
      </c>
      <c r="AL300" s="1126">
        <v>0.97</v>
      </c>
      <c r="AM300" s="1126">
        <v>8.0000000000000004E-4</v>
      </c>
      <c r="AN300" s="1112">
        <v>3.3999999999999998E-3</v>
      </c>
      <c r="AO300" s="1126">
        <v>0.03</v>
      </c>
      <c r="AP300" s="1112"/>
      <c r="AQ300" s="1114"/>
      <c r="AR300" s="1112"/>
      <c r="AS300" s="1114"/>
      <c r="AT300" s="1114"/>
      <c r="AU300" s="1114"/>
      <c r="AV300" s="1114"/>
      <c r="AW300" s="1114" t="s">
        <v>504</v>
      </c>
      <c r="AX300" s="1114"/>
      <c r="AY300" s="1114"/>
      <c r="AZ300" s="1114"/>
      <c r="BA300" s="1113">
        <v>0.21</v>
      </c>
      <c r="BB300" s="1113">
        <v>0.4</v>
      </c>
      <c r="BC300" s="1115">
        <v>1</v>
      </c>
      <c r="BD300" s="1115">
        <v>1</v>
      </c>
      <c r="BE300" s="1116">
        <v>1</v>
      </c>
      <c r="BF300" s="1115"/>
      <c r="BG300" s="1115"/>
      <c r="BH300" s="1115"/>
      <c r="BI300" s="1115"/>
      <c r="BJ300" s="1115"/>
      <c r="BK300" s="1115"/>
      <c r="BL300" s="1115"/>
      <c r="BM300" s="1115"/>
      <c r="BN300" s="1115"/>
      <c r="BO300" s="1115"/>
      <c r="BP300" s="1115"/>
      <c r="BQ300" s="1115">
        <v>1</v>
      </c>
      <c r="BR300" s="1115"/>
      <c r="BS300" s="1115"/>
      <c r="BT300" s="1115"/>
      <c r="BU300" s="1115"/>
      <c r="BV300" s="1115"/>
      <c r="BW300" s="1115"/>
      <c r="BX300" s="1115"/>
      <c r="BY300" s="1115"/>
      <c r="BZ300" s="1115"/>
      <c r="CA300" s="1117">
        <f t="shared" si="40"/>
        <v>1</v>
      </c>
      <c r="CB300" s="1117">
        <f t="shared" si="37"/>
        <v>1</v>
      </c>
      <c r="CC300" s="1117">
        <f t="shared" si="38"/>
        <v>0</v>
      </c>
      <c r="CD300" s="1138">
        <v>0.5</v>
      </c>
      <c r="CE300" s="1109" t="s">
        <v>504</v>
      </c>
      <c r="CF300" s="1109"/>
      <c r="CG300" s="1109">
        <v>21</v>
      </c>
      <c r="CH300" s="1113">
        <v>2.3879999999999999</v>
      </c>
      <c r="CI300" s="1114"/>
      <c r="CJ300" s="1109" t="s">
        <v>471</v>
      </c>
      <c r="CK300" s="1109" t="s">
        <v>4502</v>
      </c>
      <c r="CL300" s="1109" t="s">
        <v>504</v>
      </c>
      <c r="CM300" s="1115">
        <v>1</v>
      </c>
      <c r="CN300" s="1115"/>
      <c r="CO300" s="1115"/>
      <c r="CP300" s="1109" t="s">
        <v>500</v>
      </c>
      <c r="CQ300" s="1131" t="s">
        <v>4684</v>
      </c>
      <c r="CR300" s="1115">
        <v>177</v>
      </c>
      <c r="CS300" s="1109" t="s">
        <v>500</v>
      </c>
      <c r="CT300" s="1131" t="s">
        <v>4685</v>
      </c>
      <c r="CU300" s="1115">
        <v>59</v>
      </c>
      <c r="CV300" s="1115" t="s">
        <v>504</v>
      </c>
      <c r="CW300" s="1115"/>
      <c r="CX300" s="1115"/>
      <c r="CY300" s="1115" t="s">
        <v>504</v>
      </c>
      <c r="CZ300" s="1115"/>
      <c r="DA300" s="1115"/>
      <c r="DB300" s="1109" t="s">
        <v>504</v>
      </c>
      <c r="DC300" s="1109"/>
      <c r="DD300" s="1115"/>
      <c r="DE300" s="1109" t="s">
        <v>504</v>
      </c>
      <c r="DF300" s="1109"/>
      <c r="DG300" s="1115"/>
      <c r="DH300" s="1109" t="s">
        <v>504</v>
      </c>
      <c r="DI300" s="1109"/>
      <c r="DJ300" s="1115"/>
      <c r="DK300" s="1109"/>
      <c r="DL300" s="1109"/>
      <c r="DM300" s="1115"/>
      <c r="DN300" s="1109" t="s">
        <v>504</v>
      </c>
      <c r="DO300" s="1109"/>
      <c r="DP300" s="1115"/>
      <c r="DQ300" s="1109" t="s">
        <v>504</v>
      </c>
      <c r="DR300" s="1109"/>
      <c r="DS300" s="1115"/>
      <c r="DT300" s="1115" t="s">
        <v>504</v>
      </c>
      <c r="DU300" s="1115"/>
      <c r="DV300" s="1115"/>
      <c r="DW300" s="1109" t="s">
        <v>504</v>
      </c>
      <c r="DX300" s="1109"/>
      <c r="DY300" s="1115"/>
      <c r="DZ300" s="1109" t="s">
        <v>504</v>
      </c>
      <c r="EA300" s="1109"/>
      <c r="EB300" s="1115"/>
      <c r="EC300" s="1109"/>
      <c r="ED300" s="1131"/>
      <c r="EE300" s="1115"/>
      <c r="EF300" s="1115" t="s">
        <v>500</v>
      </c>
      <c r="EG300" s="1144" t="s">
        <v>4686</v>
      </c>
      <c r="EH300" s="1115">
        <v>4</v>
      </c>
      <c r="EI300" s="1109"/>
      <c r="EJ300" s="1109"/>
      <c r="EK300" s="1115"/>
      <c r="EL300" s="1115"/>
      <c r="EM300" s="1115"/>
      <c r="EN300" s="1115"/>
      <c r="EO300" s="1109" t="s">
        <v>504</v>
      </c>
      <c r="EP300" s="1109"/>
      <c r="EQ300" s="1131" t="s">
        <v>4687</v>
      </c>
      <c r="ER300" s="1109"/>
      <c r="ES300" s="1109"/>
      <c r="ET300" s="1109"/>
      <c r="EU300" s="1109"/>
      <c r="EV300" s="1109" t="s">
        <v>504</v>
      </c>
      <c r="EW300" s="1109"/>
      <c r="EX300" s="1109"/>
    </row>
    <row r="301" spans="3:154" ht="68.099999999999994" customHeight="1" x14ac:dyDescent="0.2">
      <c r="C301" s="1156" t="s">
        <v>693</v>
      </c>
      <c r="D301" s="1156" t="s">
        <v>5278</v>
      </c>
      <c r="E301" s="1104" t="s">
        <v>370</v>
      </c>
      <c r="F301" s="1104" t="s">
        <v>455</v>
      </c>
      <c r="G301" s="1109" t="s">
        <v>4688</v>
      </c>
      <c r="H301" s="1109" t="s">
        <v>4689</v>
      </c>
      <c r="I301" s="1109" t="s">
        <v>4502</v>
      </c>
      <c r="J301" s="1110">
        <v>2020</v>
      </c>
      <c r="K301" s="1105">
        <v>43862</v>
      </c>
      <c r="L301" s="1105">
        <v>44135</v>
      </c>
      <c r="M301" s="1369">
        <f t="shared" si="39"/>
        <v>273</v>
      </c>
      <c r="N301" s="1105"/>
      <c r="O301" s="1105"/>
      <c r="P301" s="1105"/>
      <c r="Q301" s="1105"/>
      <c r="R301" s="1105"/>
      <c r="S301" s="1105"/>
      <c r="T301" s="1105"/>
      <c r="U301" s="1105"/>
      <c r="V301" s="1105"/>
      <c r="W301" s="1105"/>
      <c r="X301" s="1105"/>
      <c r="Y301" s="1135" t="s">
        <v>4691</v>
      </c>
      <c r="Z301" s="1143" t="s">
        <v>4692</v>
      </c>
      <c r="AA301" s="1109" t="s">
        <v>4693</v>
      </c>
      <c r="AB301" s="1109" t="s">
        <v>4694</v>
      </c>
      <c r="AC301" s="1109" t="s">
        <v>4695</v>
      </c>
      <c r="AD301" s="1109" t="s">
        <v>4696</v>
      </c>
      <c r="AE301" s="1112">
        <v>3.2719999999999998</v>
      </c>
      <c r="AF301" s="1113">
        <f t="shared" si="34"/>
        <v>3.2719999999999998</v>
      </c>
      <c r="AG301" s="1113">
        <f t="shared" si="35"/>
        <v>0</v>
      </c>
      <c r="AH301" s="1112"/>
      <c r="AI301" s="1113"/>
      <c r="AJ301" s="1113"/>
      <c r="AK301" s="1112">
        <v>3.2719999999999998</v>
      </c>
      <c r="AL301" s="1114">
        <v>1</v>
      </c>
      <c r="AM301" s="1114">
        <v>4.0000000000000002E-4</v>
      </c>
      <c r="AN301" s="1112"/>
      <c r="AO301" s="1114"/>
      <c r="AP301" s="1112"/>
      <c r="AQ301" s="1114"/>
      <c r="AR301" s="1112"/>
      <c r="AS301" s="1114"/>
      <c r="AT301" s="1114"/>
      <c r="AU301" s="1114"/>
      <c r="AV301" s="1114"/>
      <c r="AW301" s="1114"/>
      <c r="AX301" s="1114"/>
      <c r="AY301" s="1114"/>
      <c r="AZ301" s="1114"/>
      <c r="BA301" s="1113">
        <v>12.914999999999999</v>
      </c>
      <c r="BB301" s="1114">
        <v>1.6999999999999999E-3</v>
      </c>
      <c r="BC301" s="1145">
        <v>15</v>
      </c>
      <c r="BD301" s="1145">
        <v>15</v>
      </c>
      <c r="BE301" s="1146">
        <v>12</v>
      </c>
      <c r="BF301" s="1115"/>
      <c r="BG301" s="1115"/>
      <c r="BH301" s="1115"/>
      <c r="BI301" s="1115"/>
      <c r="BJ301" s="1115"/>
      <c r="BK301" s="1115"/>
      <c r="BL301" s="1115"/>
      <c r="BM301" s="1115"/>
      <c r="BN301" s="1115">
        <v>1</v>
      </c>
      <c r="BO301" s="1115"/>
      <c r="BP301" s="1115"/>
      <c r="BQ301" s="1115">
        <v>1</v>
      </c>
      <c r="BR301" s="1115"/>
      <c r="BS301" s="1115"/>
      <c r="BT301" s="1115"/>
      <c r="BU301" s="1115"/>
      <c r="BV301" s="1115"/>
      <c r="BW301" s="1115"/>
      <c r="BX301" s="1115"/>
      <c r="BY301" s="1115">
        <v>10</v>
      </c>
      <c r="BZ301" s="1115"/>
      <c r="CA301" s="1117">
        <f t="shared" si="40"/>
        <v>12</v>
      </c>
      <c r="CB301" s="1117">
        <f t="shared" si="37"/>
        <v>12</v>
      </c>
      <c r="CC301" s="1117">
        <f t="shared" si="38"/>
        <v>0</v>
      </c>
      <c r="CD301" s="1113">
        <v>3.9039999999999999</v>
      </c>
      <c r="CE301" s="1109" t="s">
        <v>4697</v>
      </c>
      <c r="CF301" s="1109" t="s">
        <v>4698</v>
      </c>
      <c r="CG301" s="1109">
        <v>51.13</v>
      </c>
      <c r="CH301" s="1113">
        <v>7.6360000000000001</v>
      </c>
      <c r="CI301" s="1114" t="s">
        <v>4699</v>
      </c>
      <c r="CJ301" s="1109" t="s">
        <v>500</v>
      </c>
      <c r="CK301" s="1109" t="s">
        <v>4502</v>
      </c>
      <c r="CL301" s="1109" t="s">
        <v>504</v>
      </c>
      <c r="CM301" s="1115">
        <v>1</v>
      </c>
      <c r="CN301" s="1115"/>
      <c r="CO301" s="1115"/>
      <c r="CP301" s="1135" t="s">
        <v>504</v>
      </c>
      <c r="CQ301" s="1109"/>
      <c r="CR301" s="1115"/>
      <c r="CS301" s="1109" t="s">
        <v>500</v>
      </c>
      <c r="CT301" s="1143" t="s">
        <v>4700</v>
      </c>
      <c r="CU301" s="1115">
        <v>173</v>
      </c>
      <c r="CV301" s="1115" t="s">
        <v>504</v>
      </c>
      <c r="CW301" s="1115"/>
      <c r="CX301" s="1115"/>
      <c r="CY301" s="1115" t="s">
        <v>504</v>
      </c>
      <c r="CZ301" s="1115"/>
      <c r="DA301" s="1115"/>
      <c r="DB301" s="1109" t="s">
        <v>500</v>
      </c>
      <c r="DC301" s="1109" t="s">
        <v>4701</v>
      </c>
      <c r="DD301" s="1115">
        <v>1093</v>
      </c>
      <c r="DE301" s="1109" t="s">
        <v>500</v>
      </c>
      <c r="DF301" s="1143" t="s">
        <v>4702</v>
      </c>
      <c r="DG301" s="1115">
        <v>5</v>
      </c>
      <c r="DH301" s="1109" t="s">
        <v>504</v>
      </c>
      <c r="DI301" s="1109"/>
      <c r="DJ301" s="1115"/>
      <c r="DK301" s="1109" t="s">
        <v>504</v>
      </c>
      <c r="DL301" s="1109"/>
      <c r="DM301" s="1115"/>
      <c r="DN301" s="1109" t="s">
        <v>500</v>
      </c>
      <c r="DO301" s="1143" t="s">
        <v>4702</v>
      </c>
      <c r="DP301" s="1115">
        <v>98</v>
      </c>
      <c r="DQ301" s="1109" t="s">
        <v>500</v>
      </c>
      <c r="DR301" s="1143" t="s">
        <v>4703</v>
      </c>
      <c r="DS301" s="1115">
        <v>2008</v>
      </c>
      <c r="DT301" s="1115" t="s">
        <v>504</v>
      </c>
      <c r="DU301" s="1115"/>
      <c r="DV301" s="1115"/>
      <c r="DW301" s="1109" t="s">
        <v>504</v>
      </c>
      <c r="DX301" s="1109"/>
      <c r="DY301" s="1115"/>
      <c r="DZ301" s="1109" t="s">
        <v>504</v>
      </c>
      <c r="EA301" s="1109"/>
      <c r="EB301" s="1115"/>
      <c r="EC301" s="1109" t="s">
        <v>504</v>
      </c>
      <c r="ED301" s="1109"/>
      <c r="EE301" s="1115"/>
      <c r="EF301" s="1115" t="s">
        <v>504</v>
      </c>
      <c r="EG301" s="1115"/>
      <c r="EH301" s="1115"/>
      <c r="EI301" s="1109" t="s">
        <v>504</v>
      </c>
      <c r="EJ301" s="1109"/>
      <c r="EK301" s="1115"/>
      <c r="EL301" s="1115"/>
      <c r="EM301" s="1115"/>
      <c r="EN301" s="1115"/>
      <c r="EO301" s="1109" t="s">
        <v>504</v>
      </c>
      <c r="EP301" s="1109"/>
      <c r="EQ301" s="1143" t="s">
        <v>4704</v>
      </c>
      <c r="ER301" s="1143" t="s">
        <v>4705</v>
      </c>
      <c r="ES301" s="1143" t="s">
        <v>4703</v>
      </c>
      <c r="ET301" s="1109" t="s">
        <v>4706</v>
      </c>
      <c r="EU301" s="1109" t="s">
        <v>4707</v>
      </c>
      <c r="EV301" s="1109" t="s">
        <v>4708</v>
      </c>
      <c r="EW301" s="1109">
        <v>26</v>
      </c>
      <c r="EX301" s="1109">
        <v>1200</v>
      </c>
    </row>
    <row r="302" spans="3:154" ht="90" customHeight="1" x14ac:dyDescent="0.2">
      <c r="C302" s="1156" t="s">
        <v>693</v>
      </c>
      <c r="D302" s="1156" t="s">
        <v>5278</v>
      </c>
      <c r="E302" s="1104" t="s">
        <v>370</v>
      </c>
      <c r="F302" s="1104" t="s">
        <v>455</v>
      </c>
      <c r="G302" s="1109" t="s">
        <v>4709</v>
      </c>
      <c r="H302" s="1109" t="s">
        <v>2535</v>
      </c>
      <c r="I302" s="1109" t="s">
        <v>2535</v>
      </c>
      <c r="J302" s="1110">
        <v>2020</v>
      </c>
      <c r="K302" s="1105">
        <v>43674</v>
      </c>
      <c r="L302" s="1105">
        <v>44099</v>
      </c>
      <c r="M302" s="1369">
        <f t="shared" si="39"/>
        <v>425</v>
      </c>
      <c r="N302" s="1105"/>
      <c r="O302" s="1105"/>
      <c r="P302" s="1105"/>
      <c r="Q302" s="1105"/>
      <c r="R302" s="1105"/>
      <c r="S302" s="1105"/>
      <c r="T302" s="1105"/>
      <c r="U302" s="1105"/>
      <c r="V302" s="1105"/>
      <c r="W302" s="1105"/>
      <c r="X302" s="1105"/>
      <c r="Y302" s="1104" t="s">
        <v>4712</v>
      </c>
      <c r="Z302" s="1143" t="s">
        <v>4713</v>
      </c>
      <c r="AA302" s="1104" t="s">
        <v>4714</v>
      </c>
      <c r="AB302" s="1109" t="s">
        <v>4715</v>
      </c>
      <c r="AC302" s="1104" t="s">
        <v>4716</v>
      </c>
      <c r="AD302" s="1109" t="s">
        <v>4717</v>
      </c>
      <c r="AE302" s="1112">
        <v>2.85825</v>
      </c>
      <c r="AF302" s="1113">
        <f t="shared" si="34"/>
        <v>2.85825</v>
      </c>
      <c r="AG302" s="1113">
        <f t="shared" si="35"/>
        <v>0</v>
      </c>
      <c r="AH302" s="1112"/>
      <c r="AI302" s="1113"/>
      <c r="AJ302" s="1113"/>
      <c r="AK302" s="1112">
        <v>2.85825</v>
      </c>
      <c r="AL302" s="1114">
        <v>1</v>
      </c>
      <c r="AM302" s="1114">
        <v>2.0000000000000001E-4</v>
      </c>
      <c r="AN302" s="1112"/>
      <c r="AO302" s="1114"/>
      <c r="AP302" s="1112"/>
      <c r="AQ302" s="1114"/>
      <c r="AR302" s="1112"/>
      <c r="AS302" s="1114"/>
      <c r="AT302" s="1114"/>
      <c r="AU302" s="1114"/>
      <c r="AV302" s="1114"/>
      <c r="AW302" s="1114"/>
      <c r="AX302" s="1114"/>
      <c r="AY302" s="1114"/>
      <c r="AZ302" s="1114"/>
      <c r="BA302" s="1113">
        <v>10.696</v>
      </c>
      <c r="BB302" s="1114">
        <v>2.5000000000000001E-3</v>
      </c>
      <c r="BC302" s="1115">
        <v>43</v>
      </c>
      <c r="BD302" s="1115">
        <v>41</v>
      </c>
      <c r="BE302" s="1116">
        <v>8</v>
      </c>
      <c r="BF302" s="1115"/>
      <c r="BG302" s="1115"/>
      <c r="BH302" s="1115"/>
      <c r="BI302" s="1115"/>
      <c r="BJ302" s="1115"/>
      <c r="BK302" s="1115"/>
      <c r="BL302" s="1115"/>
      <c r="BM302" s="1115">
        <v>1</v>
      </c>
      <c r="BN302" s="1115"/>
      <c r="BO302" s="1115"/>
      <c r="BP302" s="1115"/>
      <c r="BQ302" s="1115"/>
      <c r="BR302" s="1115"/>
      <c r="BS302" s="1115"/>
      <c r="BT302" s="1115"/>
      <c r="BU302" s="1115"/>
      <c r="BV302" s="1115"/>
      <c r="BW302" s="1115"/>
      <c r="BX302" s="1115"/>
      <c r="BY302" s="1115">
        <v>7</v>
      </c>
      <c r="BZ302" s="1115"/>
      <c r="CA302" s="1117">
        <f t="shared" si="40"/>
        <v>8</v>
      </c>
      <c r="CB302" s="1117">
        <f t="shared" si="37"/>
        <v>8</v>
      </c>
      <c r="CC302" s="1117">
        <f t="shared" si="38"/>
        <v>0</v>
      </c>
      <c r="CD302" s="1113">
        <v>11.86</v>
      </c>
      <c r="CE302" s="1104" t="s">
        <v>4718</v>
      </c>
      <c r="CF302" s="1109"/>
      <c r="CG302" s="1147">
        <f>CD302/CH302</f>
        <v>0.70435918755196569</v>
      </c>
      <c r="CH302" s="1113">
        <v>16.838000000000001</v>
      </c>
      <c r="CI302" s="1114" t="s">
        <v>4719</v>
      </c>
      <c r="CJ302" s="1104" t="s">
        <v>500</v>
      </c>
      <c r="CK302" s="1104" t="s">
        <v>4720</v>
      </c>
      <c r="CL302" s="1104" t="s">
        <v>4721</v>
      </c>
      <c r="CM302" s="1130">
        <v>19</v>
      </c>
      <c r="CN302" s="1115">
        <v>24</v>
      </c>
      <c r="CO302" s="1115"/>
      <c r="CP302" s="1109"/>
      <c r="CQ302" s="1109"/>
      <c r="CR302" s="1115"/>
      <c r="CS302" s="1109" t="s">
        <v>500</v>
      </c>
      <c r="CT302" s="1109" t="s">
        <v>4722</v>
      </c>
      <c r="CU302" s="1115">
        <v>20</v>
      </c>
      <c r="CV302" s="1115"/>
      <c r="CW302" s="1115"/>
      <c r="CX302" s="1115"/>
      <c r="CY302" s="1115"/>
      <c r="CZ302" s="1115"/>
      <c r="DA302" s="1115"/>
      <c r="DB302" s="1109"/>
      <c r="DC302" s="1109"/>
      <c r="DD302" s="1115"/>
      <c r="DE302" s="1109" t="s">
        <v>500</v>
      </c>
      <c r="DF302" s="1109" t="s">
        <v>4723</v>
      </c>
      <c r="DG302" s="1115">
        <v>12</v>
      </c>
      <c r="DH302" s="1109"/>
      <c r="DI302" s="1109"/>
      <c r="DJ302" s="1115"/>
      <c r="DK302" s="1109"/>
      <c r="DL302" s="1109"/>
      <c r="DM302" s="1115"/>
      <c r="DN302" s="1109" t="s">
        <v>500</v>
      </c>
      <c r="DO302" s="1109" t="s">
        <v>4723</v>
      </c>
      <c r="DP302" s="1115">
        <v>136</v>
      </c>
      <c r="DQ302" s="1109" t="s">
        <v>500</v>
      </c>
      <c r="DR302" s="1109" t="s">
        <v>4724</v>
      </c>
      <c r="DS302" s="1115">
        <v>5355</v>
      </c>
      <c r="DT302" s="1115"/>
      <c r="DU302" s="1115"/>
      <c r="DV302" s="1115"/>
      <c r="DW302" s="1109"/>
      <c r="DX302" s="1109"/>
      <c r="DY302" s="1115"/>
      <c r="DZ302" s="1109"/>
      <c r="EA302" s="1109"/>
      <c r="EB302" s="1115"/>
      <c r="EC302" s="1109"/>
      <c r="ED302" s="1109"/>
      <c r="EE302" s="1115"/>
      <c r="EF302" s="1115"/>
      <c r="EG302" s="1115"/>
      <c r="EH302" s="1115"/>
      <c r="EI302" s="1109"/>
      <c r="EJ302" s="1109"/>
      <c r="EK302" s="1115"/>
      <c r="EL302" s="1115"/>
      <c r="EM302" s="1115"/>
      <c r="EN302" s="1115"/>
      <c r="EO302" s="1109" t="s">
        <v>500</v>
      </c>
      <c r="EP302" s="1109" t="s">
        <v>4723</v>
      </c>
      <c r="EQ302" s="1148" t="s">
        <v>4725</v>
      </c>
      <c r="ER302" s="1109" t="s">
        <v>4726</v>
      </c>
      <c r="ES302" s="1148" t="s">
        <v>4725</v>
      </c>
      <c r="ET302" s="1109" t="s">
        <v>4727</v>
      </c>
      <c r="EU302" s="1109"/>
      <c r="EV302" s="1109"/>
      <c r="EW302" s="1109"/>
      <c r="EX302" s="1109"/>
    </row>
    <row r="303" spans="3:154" ht="72" customHeight="1" x14ac:dyDescent="0.2">
      <c r="C303" s="1156" t="s">
        <v>693</v>
      </c>
      <c r="D303" s="1156" t="s">
        <v>5278</v>
      </c>
      <c r="E303" s="1104" t="s">
        <v>370</v>
      </c>
      <c r="F303" s="1104" t="s">
        <v>455</v>
      </c>
      <c r="G303" s="1104" t="s">
        <v>4728</v>
      </c>
      <c r="H303" s="1104" t="s">
        <v>4729</v>
      </c>
      <c r="I303" s="1104" t="s">
        <v>4730</v>
      </c>
      <c r="J303" s="1122">
        <v>2018</v>
      </c>
      <c r="K303" s="1105">
        <v>43665</v>
      </c>
      <c r="L303" s="1105">
        <v>44196</v>
      </c>
      <c r="M303" s="1369">
        <f t="shared" si="39"/>
        <v>531</v>
      </c>
      <c r="N303" s="1105"/>
      <c r="O303" s="1105"/>
      <c r="P303" s="1105"/>
      <c r="Q303" s="1105"/>
      <c r="R303" s="1105"/>
      <c r="S303" s="1105"/>
      <c r="T303" s="1105"/>
      <c r="U303" s="1105"/>
      <c r="V303" s="1105"/>
      <c r="W303" s="1105"/>
      <c r="X303" s="1105"/>
      <c r="Y303" s="1109" t="s">
        <v>4731</v>
      </c>
      <c r="Z303" s="1131" t="s">
        <v>4732</v>
      </c>
      <c r="AA303" s="1104" t="s">
        <v>4733</v>
      </c>
      <c r="AB303" s="1109" t="s">
        <v>4734</v>
      </c>
      <c r="AC303" s="1109" t="s">
        <v>4735</v>
      </c>
      <c r="AD303" s="1109" t="s">
        <v>4736</v>
      </c>
      <c r="AE303" s="1112">
        <v>18.875</v>
      </c>
      <c r="AF303" s="1113">
        <f t="shared" si="34"/>
        <v>18.875</v>
      </c>
      <c r="AG303" s="1113">
        <f t="shared" si="35"/>
        <v>0</v>
      </c>
      <c r="AH303" s="1112"/>
      <c r="AI303" s="1113"/>
      <c r="AJ303" s="1113"/>
      <c r="AK303" s="1112">
        <v>18.855</v>
      </c>
      <c r="AL303" s="1114">
        <f>AK303/AE303</f>
        <v>0.99894039735099338</v>
      </c>
      <c r="AM303" s="1114">
        <f>AK303/13209.83</f>
        <v>1.4273461505560632E-3</v>
      </c>
      <c r="AN303" s="1112">
        <v>0.02</v>
      </c>
      <c r="AO303" s="1114">
        <f>AN303/AE303</f>
        <v>1.0596026490066225E-3</v>
      </c>
      <c r="AP303" s="1112"/>
      <c r="AQ303" s="1114"/>
      <c r="AR303" s="1112"/>
      <c r="AS303" s="1114"/>
      <c r="AT303" s="1114"/>
      <c r="AU303" s="1114"/>
      <c r="AV303" s="1114"/>
      <c r="AW303" s="1114" t="s">
        <v>500</v>
      </c>
      <c r="AX303" s="1114" t="s">
        <v>4737</v>
      </c>
      <c r="AY303" s="1116">
        <v>0.313</v>
      </c>
      <c r="AZ303" s="1114">
        <f>AY303/AE303</f>
        <v>1.6582781456953643E-2</v>
      </c>
      <c r="BA303" s="1113">
        <v>38.131999999999998</v>
      </c>
      <c r="BB303" s="1114">
        <f>BA303/12752</f>
        <v>2.9902760351317439E-3</v>
      </c>
      <c r="BC303" s="1115">
        <f>61+32</f>
        <v>93</v>
      </c>
      <c r="BD303" s="1115">
        <f>46+24</f>
        <v>70</v>
      </c>
      <c r="BE303" s="1116">
        <f>38+19</f>
        <v>57</v>
      </c>
      <c r="BF303" s="1115"/>
      <c r="BG303" s="1115"/>
      <c r="BH303" s="1115">
        <v>2</v>
      </c>
      <c r="BI303" s="1115"/>
      <c r="BJ303" s="1115"/>
      <c r="BK303" s="1115"/>
      <c r="BL303" s="1115">
        <v>2</v>
      </c>
      <c r="BM303" s="1115"/>
      <c r="BN303" s="1115">
        <v>3</v>
      </c>
      <c r="BO303" s="1115"/>
      <c r="BP303" s="1115">
        <v>1</v>
      </c>
      <c r="BQ303" s="1115">
        <v>4</v>
      </c>
      <c r="BR303" s="1115"/>
      <c r="BS303" s="1115"/>
      <c r="BT303" s="1115"/>
      <c r="BU303" s="1115"/>
      <c r="BV303" s="1115"/>
      <c r="BW303" s="1115">
        <v>2</v>
      </c>
      <c r="BX303" s="1115">
        <v>2</v>
      </c>
      <c r="BY303" s="1115">
        <v>22</v>
      </c>
      <c r="BZ303" s="1115"/>
      <c r="CA303" s="1117">
        <f t="shared" si="40"/>
        <v>38</v>
      </c>
      <c r="CB303" s="1117">
        <f t="shared" si="37"/>
        <v>38</v>
      </c>
      <c r="CC303" s="1117">
        <f t="shared" si="38"/>
        <v>0</v>
      </c>
      <c r="CD303" s="1113">
        <v>51.686</v>
      </c>
      <c r="CE303" s="1109" t="s">
        <v>4738</v>
      </c>
      <c r="CF303" s="1109"/>
      <c r="CG303" s="1126">
        <f>CH303/CD303</f>
        <v>1</v>
      </c>
      <c r="CH303" s="1113">
        <v>51.686</v>
      </c>
      <c r="CI303" s="1149" t="s">
        <v>1757</v>
      </c>
      <c r="CJ303" s="1109" t="s">
        <v>504</v>
      </c>
      <c r="CK303" s="1109"/>
      <c r="CL303" s="1109"/>
      <c r="CM303" s="1115"/>
      <c r="CN303" s="1115"/>
      <c r="CO303" s="1115">
        <v>3</v>
      </c>
      <c r="CP303" s="1109" t="s">
        <v>500</v>
      </c>
      <c r="CQ303" s="1109" t="s">
        <v>2761</v>
      </c>
      <c r="CR303" s="1115">
        <v>1128</v>
      </c>
      <c r="CS303" s="1109" t="s">
        <v>500</v>
      </c>
      <c r="CT303" s="1109" t="s">
        <v>935</v>
      </c>
      <c r="CU303" s="1115">
        <v>490</v>
      </c>
      <c r="CV303" s="1115"/>
      <c r="CW303" s="1115"/>
      <c r="CX303" s="1115"/>
      <c r="CY303" s="1115"/>
      <c r="CZ303" s="1115"/>
      <c r="DA303" s="1115"/>
      <c r="DB303" s="1109" t="s">
        <v>500</v>
      </c>
      <c r="DC303" s="1109"/>
      <c r="DD303" s="1115">
        <v>1675</v>
      </c>
      <c r="DE303" s="1109" t="s">
        <v>500</v>
      </c>
      <c r="DF303" s="1104" t="s">
        <v>4739</v>
      </c>
      <c r="DG303" s="1115">
        <v>120</v>
      </c>
      <c r="DH303" s="1109"/>
      <c r="DI303" s="1109"/>
      <c r="DJ303" s="1115"/>
      <c r="DK303" s="1109"/>
      <c r="DL303" s="1109"/>
      <c r="DM303" s="1115"/>
      <c r="DN303" s="1109" t="s">
        <v>504</v>
      </c>
      <c r="DO303" s="1109"/>
      <c r="DP303" s="1115"/>
      <c r="DQ303" s="1109" t="s">
        <v>504</v>
      </c>
      <c r="DR303" s="1109"/>
      <c r="DS303" s="1115"/>
      <c r="DT303" s="1115" t="s">
        <v>504</v>
      </c>
      <c r="DU303" s="1115"/>
      <c r="DV303" s="1115"/>
      <c r="DW303" s="1109" t="s">
        <v>504</v>
      </c>
      <c r="DX303" s="1109"/>
      <c r="DY303" s="1115"/>
      <c r="DZ303" s="1109" t="s">
        <v>504</v>
      </c>
      <c r="EA303" s="1131"/>
      <c r="EB303" s="1115"/>
      <c r="EC303" s="1109" t="s">
        <v>500</v>
      </c>
      <c r="ED303" s="1131" t="s">
        <v>4740</v>
      </c>
      <c r="EE303" s="1115">
        <v>9</v>
      </c>
      <c r="EF303" s="1115" t="s">
        <v>504</v>
      </c>
      <c r="EG303" s="1115"/>
      <c r="EH303" s="1115"/>
      <c r="EI303" s="1109" t="s">
        <v>504</v>
      </c>
      <c r="EJ303" s="1109"/>
      <c r="EK303" s="1115"/>
      <c r="EL303" s="1115"/>
      <c r="EM303" s="1115"/>
      <c r="EN303" s="1115"/>
      <c r="EO303" s="1109" t="s">
        <v>504</v>
      </c>
      <c r="EP303" s="1109"/>
      <c r="EQ303" s="1131" t="s">
        <v>4741</v>
      </c>
      <c r="ER303" s="1131" t="s">
        <v>4742</v>
      </c>
      <c r="ES303" s="1109"/>
      <c r="ET303" s="1109" t="s">
        <v>4743</v>
      </c>
      <c r="EU303" s="1109"/>
      <c r="EV303" s="1109" t="s">
        <v>4744</v>
      </c>
      <c r="EW303" s="1109">
        <v>1</v>
      </c>
      <c r="EX303" s="1109"/>
    </row>
    <row r="304" spans="3:154" ht="72.95" customHeight="1" x14ac:dyDescent="0.2">
      <c r="C304" s="1156" t="s">
        <v>693</v>
      </c>
      <c r="D304" s="1156" t="s">
        <v>5278</v>
      </c>
      <c r="E304" s="1104" t="s">
        <v>370</v>
      </c>
      <c r="F304" s="1104" t="s">
        <v>455</v>
      </c>
      <c r="G304" s="1104" t="s">
        <v>4745</v>
      </c>
      <c r="H304" s="1104" t="s">
        <v>4746</v>
      </c>
      <c r="I304" s="1104" t="s">
        <v>4502</v>
      </c>
      <c r="J304" s="1122">
        <v>2019</v>
      </c>
      <c r="K304" s="1105">
        <v>43789</v>
      </c>
      <c r="L304" s="1105">
        <v>44196</v>
      </c>
      <c r="M304" s="1369">
        <f t="shared" si="39"/>
        <v>407</v>
      </c>
      <c r="N304" s="1105"/>
      <c r="O304" s="1105"/>
      <c r="P304" s="1105"/>
      <c r="Q304" s="1105"/>
      <c r="R304" s="1105"/>
      <c r="S304" s="1105"/>
      <c r="T304" s="1105"/>
      <c r="U304" s="1105"/>
      <c r="V304" s="1105"/>
      <c r="W304" s="1105"/>
      <c r="X304" s="1105"/>
      <c r="Y304" s="1109" t="s">
        <v>4747</v>
      </c>
      <c r="Z304" s="1131" t="s">
        <v>4748</v>
      </c>
      <c r="AA304" s="1104" t="s">
        <v>4749</v>
      </c>
      <c r="AB304" s="1104" t="s">
        <v>4749</v>
      </c>
      <c r="AC304" s="1109" t="s">
        <v>4750</v>
      </c>
      <c r="AD304" s="1109" t="s">
        <v>4751</v>
      </c>
      <c r="AE304" s="1112">
        <v>1.5</v>
      </c>
      <c r="AF304" s="1113">
        <f t="shared" si="34"/>
        <v>1.5004000000000002</v>
      </c>
      <c r="AG304" s="1113">
        <f t="shared" si="35"/>
        <v>4.0000000000017799E-4</v>
      </c>
      <c r="AH304" s="1112"/>
      <c r="AI304" s="1113"/>
      <c r="AJ304" s="1113"/>
      <c r="AK304" s="1112">
        <v>1.4850000000000001</v>
      </c>
      <c r="AL304" s="1114">
        <f>AK304/AE304</f>
        <v>0.9900000000000001</v>
      </c>
      <c r="AM304" s="1114">
        <f>AK304/586.9628</f>
        <v>2.5299729386598266E-3</v>
      </c>
      <c r="AN304" s="1112">
        <v>1.54E-2</v>
      </c>
      <c r="AO304" s="1114">
        <f>AN304/AE304</f>
        <v>1.0266666666666667E-2</v>
      </c>
      <c r="AP304" s="1112"/>
      <c r="AQ304" s="1114"/>
      <c r="AR304" s="1112"/>
      <c r="AS304" s="1114"/>
      <c r="AT304" s="1114"/>
      <c r="AU304" s="1114"/>
      <c r="AV304" s="1114"/>
      <c r="AW304" s="1114" t="s">
        <v>500</v>
      </c>
      <c r="AX304" s="1114" t="s">
        <v>4737</v>
      </c>
      <c r="AY304" s="1116"/>
      <c r="AZ304" s="1114"/>
      <c r="BA304" s="1113"/>
      <c r="BB304" s="1114"/>
      <c r="BC304" s="1115">
        <v>1</v>
      </c>
      <c r="BD304" s="1115">
        <v>1</v>
      </c>
      <c r="BE304" s="1116">
        <v>1</v>
      </c>
      <c r="BF304" s="1115"/>
      <c r="BG304" s="1115"/>
      <c r="BH304" s="1115"/>
      <c r="BI304" s="1115"/>
      <c r="BJ304" s="1115"/>
      <c r="BK304" s="1115"/>
      <c r="BL304" s="1115"/>
      <c r="BM304" s="1115"/>
      <c r="BN304" s="1115"/>
      <c r="BO304" s="1115"/>
      <c r="BP304" s="1115"/>
      <c r="BQ304" s="1115">
        <v>1</v>
      </c>
      <c r="BR304" s="1115"/>
      <c r="BS304" s="1115"/>
      <c r="BT304" s="1115"/>
      <c r="BU304" s="1115"/>
      <c r="BV304" s="1115"/>
      <c r="BW304" s="1115"/>
      <c r="BX304" s="1115"/>
      <c r="BY304" s="1115"/>
      <c r="BZ304" s="1115"/>
      <c r="CA304" s="1117">
        <f t="shared" si="40"/>
        <v>1</v>
      </c>
      <c r="CB304" s="1117">
        <f t="shared" si="37"/>
        <v>1</v>
      </c>
      <c r="CC304" s="1117">
        <f t="shared" si="38"/>
        <v>0</v>
      </c>
      <c r="CD304" s="1113">
        <v>9.9969999999999999</v>
      </c>
      <c r="CE304" s="1109" t="s">
        <v>4752</v>
      </c>
      <c r="CF304" s="1109"/>
      <c r="CG304" s="1126">
        <f>CH304/CD304</f>
        <v>1</v>
      </c>
      <c r="CH304" s="1113">
        <v>9.9969999999999999</v>
      </c>
      <c r="CI304" s="1149" t="s">
        <v>1757</v>
      </c>
      <c r="CJ304" s="1109" t="s">
        <v>504</v>
      </c>
      <c r="CK304" s="1109"/>
      <c r="CL304" s="1109"/>
      <c r="CM304" s="1115"/>
      <c r="CN304" s="1115"/>
      <c r="CO304" s="1115">
        <v>3</v>
      </c>
      <c r="CP304" s="1109" t="s">
        <v>500</v>
      </c>
      <c r="CQ304" s="1109" t="s">
        <v>3384</v>
      </c>
      <c r="CR304" s="1115">
        <v>49</v>
      </c>
      <c r="CS304" s="1109" t="s">
        <v>500</v>
      </c>
      <c r="CT304" s="1104" t="s">
        <v>2735</v>
      </c>
      <c r="CU304" s="1115">
        <v>49</v>
      </c>
      <c r="CV304" s="1115" t="s">
        <v>504</v>
      </c>
      <c r="CW304" s="1115"/>
      <c r="CX304" s="1115"/>
      <c r="CY304" s="1115" t="s">
        <v>504</v>
      </c>
      <c r="CZ304" s="1115"/>
      <c r="DA304" s="1115"/>
      <c r="DB304" s="1109" t="s">
        <v>504</v>
      </c>
      <c r="DC304" s="1109"/>
      <c r="DD304" s="1115"/>
      <c r="DE304" s="1109" t="s">
        <v>504</v>
      </c>
      <c r="DF304" s="1109"/>
      <c r="DG304" s="1115"/>
      <c r="DH304" s="1109" t="s">
        <v>504</v>
      </c>
      <c r="DI304" s="1109"/>
      <c r="DJ304" s="1115"/>
      <c r="DK304" s="1109"/>
      <c r="DL304" s="1109"/>
      <c r="DM304" s="1115"/>
      <c r="DN304" s="1109" t="s">
        <v>504</v>
      </c>
      <c r="DO304" s="1109"/>
      <c r="DP304" s="1115"/>
      <c r="DQ304" s="1109" t="s">
        <v>504</v>
      </c>
      <c r="DR304" s="1109"/>
      <c r="DS304" s="1115"/>
      <c r="DT304" s="1115" t="s">
        <v>504</v>
      </c>
      <c r="DU304" s="1115"/>
      <c r="DV304" s="1115"/>
      <c r="DW304" s="1109" t="s">
        <v>504</v>
      </c>
      <c r="DX304" s="1109"/>
      <c r="DY304" s="1115"/>
      <c r="DZ304" s="1109" t="s">
        <v>504</v>
      </c>
      <c r="EA304" s="1131"/>
      <c r="EB304" s="1115"/>
      <c r="EC304" s="1109" t="s">
        <v>500</v>
      </c>
      <c r="ED304" s="1131" t="s">
        <v>4753</v>
      </c>
      <c r="EE304" s="1115">
        <v>11</v>
      </c>
      <c r="EF304" s="1115" t="s">
        <v>504</v>
      </c>
      <c r="EG304" s="1115"/>
      <c r="EH304" s="1115"/>
      <c r="EI304" s="1109" t="s">
        <v>504</v>
      </c>
      <c r="EJ304" s="1109"/>
      <c r="EK304" s="1115"/>
      <c r="EL304" s="1115"/>
      <c r="EM304" s="1115"/>
      <c r="EN304" s="1115"/>
      <c r="EO304" s="1109" t="s">
        <v>504</v>
      </c>
      <c r="EP304" s="1109"/>
      <c r="EQ304" s="1131" t="s">
        <v>4754</v>
      </c>
      <c r="ER304" s="1131" t="s">
        <v>4755</v>
      </c>
      <c r="ES304" s="1109"/>
      <c r="ET304" s="1109" t="s">
        <v>4756</v>
      </c>
      <c r="EU304" s="1109"/>
      <c r="EV304" s="1109" t="s">
        <v>4744</v>
      </c>
      <c r="EW304" s="1109">
        <v>1</v>
      </c>
      <c r="EX304" s="1109"/>
    </row>
    <row r="305" spans="3:154" ht="50.1" customHeight="1" x14ac:dyDescent="0.2">
      <c r="C305" s="1156" t="s">
        <v>693</v>
      </c>
      <c r="D305" s="1156" t="s">
        <v>5278</v>
      </c>
      <c r="E305" s="1104" t="s">
        <v>370</v>
      </c>
      <c r="F305" s="1104" t="s">
        <v>455</v>
      </c>
      <c r="G305" s="1104" t="s">
        <v>4757</v>
      </c>
      <c r="H305" s="1104" t="s">
        <v>4758</v>
      </c>
      <c r="I305" s="1104" t="s">
        <v>4502</v>
      </c>
      <c r="J305" s="1122">
        <v>2020</v>
      </c>
      <c r="K305" s="1105">
        <v>43935</v>
      </c>
      <c r="L305" s="1105">
        <v>44196</v>
      </c>
      <c r="M305" s="1369">
        <f t="shared" si="39"/>
        <v>261</v>
      </c>
      <c r="N305" s="1105"/>
      <c r="O305" s="1105"/>
      <c r="P305" s="1105"/>
      <c r="Q305" s="1105"/>
      <c r="R305" s="1105"/>
      <c r="S305" s="1105"/>
      <c r="T305" s="1105"/>
      <c r="U305" s="1105"/>
      <c r="V305" s="1105"/>
      <c r="W305" s="1105"/>
      <c r="X305" s="1105"/>
      <c r="Y305" s="1109" t="s">
        <v>4759</v>
      </c>
      <c r="Z305" s="1131" t="s">
        <v>4760</v>
      </c>
      <c r="AA305" s="1104" t="s">
        <v>4761</v>
      </c>
      <c r="AB305" s="1104" t="s">
        <v>4761</v>
      </c>
      <c r="AC305" s="1109" t="s">
        <v>4750</v>
      </c>
      <c r="AD305" s="1104" t="s">
        <v>4761</v>
      </c>
      <c r="AE305" s="1112">
        <v>0.5</v>
      </c>
      <c r="AF305" s="1113">
        <f t="shared" si="34"/>
        <v>0.5</v>
      </c>
      <c r="AG305" s="1113">
        <f t="shared" si="35"/>
        <v>0</v>
      </c>
      <c r="AH305" s="1112"/>
      <c r="AI305" s="1113"/>
      <c r="AJ305" s="1113"/>
      <c r="AK305" s="1112">
        <v>0.5</v>
      </c>
      <c r="AL305" s="1114">
        <f>AK305/AE305</f>
        <v>1</v>
      </c>
      <c r="AM305" s="1114">
        <f>AK305/124.843</f>
        <v>4.0050303180795077E-3</v>
      </c>
      <c r="AN305" s="1112"/>
      <c r="AO305" s="1114"/>
      <c r="AP305" s="1112"/>
      <c r="AQ305" s="1114"/>
      <c r="AR305" s="1112"/>
      <c r="AS305" s="1114"/>
      <c r="AT305" s="1114"/>
      <c r="AU305" s="1114"/>
      <c r="AV305" s="1114"/>
      <c r="AW305" s="1114" t="s">
        <v>500</v>
      </c>
      <c r="AX305" s="1114" t="s">
        <v>4737</v>
      </c>
      <c r="AY305" s="1116"/>
      <c r="AZ305" s="1114"/>
      <c r="BA305" s="1113"/>
      <c r="BB305" s="1114"/>
      <c r="BC305" s="1115">
        <v>1</v>
      </c>
      <c r="BD305" s="1115">
        <v>1</v>
      </c>
      <c r="BE305" s="1116">
        <v>1</v>
      </c>
      <c r="BF305" s="1115"/>
      <c r="BG305" s="1115"/>
      <c r="BH305" s="1115"/>
      <c r="BI305" s="1115"/>
      <c r="BJ305" s="1115"/>
      <c r="BK305" s="1115"/>
      <c r="BL305" s="1115"/>
      <c r="BM305" s="1115"/>
      <c r="BN305" s="1115"/>
      <c r="BO305" s="1115"/>
      <c r="BP305" s="1115"/>
      <c r="BQ305" s="1115">
        <v>1</v>
      </c>
      <c r="BR305" s="1115"/>
      <c r="BS305" s="1115"/>
      <c r="BT305" s="1115"/>
      <c r="BU305" s="1115"/>
      <c r="BV305" s="1115"/>
      <c r="BW305" s="1115"/>
      <c r="BX305" s="1115"/>
      <c r="BY305" s="1115"/>
      <c r="BZ305" s="1115"/>
      <c r="CA305" s="1117">
        <f t="shared" si="40"/>
        <v>1</v>
      </c>
      <c r="CB305" s="1117">
        <f t="shared" si="37"/>
        <v>1</v>
      </c>
      <c r="CC305" s="1117">
        <f t="shared" si="38"/>
        <v>0</v>
      </c>
      <c r="CD305" s="1113">
        <v>2.0539999999999998</v>
      </c>
      <c r="CE305" s="1109" t="s">
        <v>4752</v>
      </c>
      <c r="CF305" s="1109"/>
      <c r="CG305" s="1126">
        <f>CH305/CD305</f>
        <v>1</v>
      </c>
      <c r="CH305" s="1113">
        <v>2.0539999999999998</v>
      </c>
      <c r="CI305" s="1149" t="s">
        <v>1757</v>
      </c>
      <c r="CJ305" s="1109" t="s">
        <v>504</v>
      </c>
      <c r="CK305" s="1109"/>
      <c r="CL305" s="1109"/>
      <c r="CM305" s="1115"/>
      <c r="CN305" s="1115"/>
      <c r="CO305" s="1115">
        <v>3</v>
      </c>
      <c r="CP305" s="1109" t="s">
        <v>504</v>
      </c>
      <c r="CQ305" s="1109"/>
      <c r="CR305" s="1115"/>
      <c r="CS305" s="1109" t="s">
        <v>500</v>
      </c>
      <c r="CT305" s="1109" t="s">
        <v>935</v>
      </c>
      <c r="CU305" s="1115">
        <v>8</v>
      </c>
      <c r="CV305" s="1115" t="s">
        <v>504</v>
      </c>
      <c r="CW305" s="1115"/>
      <c r="CX305" s="1115"/>
      <c r="CY305" s="1115" t="s">
        <v>504</v>
      </c>
      <c r="CZ305" s="1115"/>
      <c r="DA305" s="1115"/>
      <c r="DB305" s="1109" t="s">
        <v>504</v>
      </c>
      <c r="DC305" s="1109"/>
      <c r="DD305" s="1115"/>
      <c r="DE305" s="1109" t="s">
        <v>504</v>
      </c>
      <c r="DF305" s="1109"/>
      <c r="DG305" s="1115"/>
      <c r="DH305" s="1109" t="s">
        <v>504</v>
      </c>
      <c r="DI305" s="1109"/>
      <c r="DJ305" s="1115"/>
      <c r="DK305" s="1109" t="s">
        <v>504</v>
      </c>
      <c r="DL305" s="1109"/>
      <c r="DM305" s="1115"/>
      <c r="DN305" s="1109" t="s">
        <v>504</v>
      </c>
      <c r="DO305" s="1109"/>
      <c r="DP305" s="1115"/>
      <c r="DQ305" s="1109" t="s">
        <v>504</v>
      </c>
      <c r="DR305" s="1109"/>
      <c r="DS305" s="1115"/>
      <c r="DT305" s="1115" t="s">
        <v>504</v>
      </c>
      <c r="DU305" s="1115"/>
      <c r="DV305" s="1115"/>
      <c r="DW305" s="1109" t="s">
        <v>504</v>
      </c>
      <c r="DX305" s="1109"/>
      <c r="DY305" s="1115"/>
      <c r="DZ305" s="1109" t="s">
        <v>504</v>
      </c>
      <c r="EA305" s="1131"/>
      <c r="EB305" s="1115"/>
      <c r="EC305" s="1109" t="s">
        <v>500</v>
      </c>
      <c r="ED305" s="1131" t="s">
        <v>4762</v>
      </c>
      <c r="EE305" s="1115">
        <v>8</v>
      </c>
      <c r="EF305" s="1115" t="s">
        <v>504</v>
      </c>
      <c r="EG305" s="1115"/>
      <c r="EH305" s="1115"/>
      <c r="EI305" s="1109" t="s">
        <v>504</v>
      </c>
      <c r="EJ305" s="1109"/>
      <c r="EK305" s="1115"/>
      <c r="EL305" s="1115"/>
      <c r="EM305" s="1115"/>
      <c r="EN305" s="1115"/>
      <c r="EO305" s="1109" t="s">
        <v>504</v>
      </c>
      <c r="EP305" s="1109"/>
      <c r="EQ305" s="1131" t="s">
        <v>4763</v>
      </c>
      <c r="ER305" s="1131" t="s">
        <v>4764</v>
      </c>
      <c r="ES305" s="1109"/>
      <c r="ET305" s="1109" t="s">
        <v>4756</v>
      </c>
      <c r="EU305" s="1109"/>
      <c r="EV305" s="1109"/>
      <c r="EW305" s="1109"/>
      <c r="EX305" s="1109"/>
    </row>
    <row r="306" spans="3:154" ht="96" customHeight="1" x14ac:dyDescent="0.2">
      <c r="C306" s="1156" t="s">
        <v>693</v>
      </c>
      <c r="D306" s="1156" t="s">
        <v>5278</v>
      </c>
      <c r="E306" s="1104" t="s">
        <v>370</v>
      </c>
      <c r="F306" s="1104" t="s">
        <v>455</v>
      </c>
      <c r="G306" s="1104" t="s">
        <v>4765</v>
      </c>
      <c r="H306" s="1104" t="s">
        <v>4766</v>
      </c>
      <c r="I306" s="1104" t="s">
        <v>4502</v>
      </c>
      <c r="J306" s="1122">
        <v>2018</v>
      </c>
      <c r="K306" s="1105">
        <v>43862</v>
      </c>
      <c r="L306" s="1105">
        <v>44196</v>
      </c>
      <c r="M306" s="1369">
        <f t="shared" si="39"/>
        <v>334</v>
      </c>
      <c r="N306" s="1105"/>
      <c r="O306" s="1105"/>
      <c r="P306" s="1105"/>
      <c r="Q306" s="1105"/>
      <c r="R306" s="1105"/>
      <c r="S306" s="1105"/>
      <c r="T306" s="1105"/>
      <c r="U306" s="1105"/>
      <c r="V306" s="1105"/>
      <c r="W306" s="1105"/>
      <c r="X306" s="1105"/>
      <c r="Y306" s="1109" t="s">
        <v>4767</v>
      </c>
      <c r="Z306" s="1131" t="s">
        <v>4768</v>
      </c>
      <c r="AA306" s="1104" t="s">
        <v>4769</v>
      </c>
      <c r="AB306" s="1104" t="s">
        <v>4769</v>
      </c>
      <c r="AC306" s="1109" t="s">
        <v>4770</v>
      </c>
      <c r="AD306" s="1109" t="s">
        <v>4771</v>
      </c>
      <c r="AE306" s="1112">
        <v>1</v>
      </c>
      <c r="AF306" s="1113">
        <f t="shared" si="34"/>
        <v>1</v>
      </c>
      <c r="AG306" s="1113">
        <f t="shared" si="35"/>
        <v>0</v>
      </c>
      <c r="AH306" s="1112"/>
      <c r="AI306" s="1113"/>
      <c r="AJ306" s="1113"/>
      <c r="AK306" s="1112">
        <v>1</v>
      </c>
      <c r="AL306" s="1114">
        <v>1</v>
      </c>
      <c r="AM306" s="1114">
        <f>1/260.5</f>
        <v>3.838771593090211E-3</v>
      </c>
      <c r="AN306" s="1112"/>
      <c r="AO306" s="1114"/>
      <c r="AP306" s="1112"/>
      <c r="AQ306" s="1114"/>
      <c r="AR306" s="1112"/>
      <c r="AS306" s="1114"/>
      <c r="AT306" s="1114"/>
      <c r="AU306" s="1114"/>
      <c r="AV306" s="1114"/>
      <c r="AW306" s="1114" t="s">
        <v>500</v>
      </c>
      <c r="AX306" s="1114" t="s">
        <v>4737</v>
      </c>
      <c r="AY306" s="1114"/>
      <c r="AZ306" s="1114"/>
      <c r="BA306" s="1113"/>
      <c r="BB306" s="1114"/>
      <c r="BC306" s="1115">
        <v>5</v>
      </c>
      <c r="BD306" s="1115">
        <v>5</v>
      </c>
      <c r="BE306" s="1116">
        <v>5</v>
      </c>
      <c r="BF306" s="1115"/>
      <c r="BG306" s="1115"/>
      <c r="BH306" s="1115"/>
      <c r="BI306" s="1115"/>
      <c r="BJ306" s="1115"/>
      <c r="BK306" s="1115"/>
      <c r="BL306" s="1115"/>
      <c r="BM306" s="1115">
        <v>1</v>
      </c>
      <c r="BN306" s="1115">
        <v>1</v>
      </c>
      <c r="BO306" s="1115"/>
      <c r="BP306" s="1115"/>
      <c r="BQ306" s="1115">
        <v>2</v>
      </c>
      <c r="BR306" s="1115"/>
      <c r="BS306" s="1115"/>
      <c r="BT306" s="1115">
        <v>1</v>
      </c>
      <c r="BU306" s="1115"/>
      <c r="BV306" s="1115"/>
      <c r="BW306" s="1115"/>
      <c r="BX306" s="1115"/>
      <c r="BY306" s="1115"/>
      <c r="BZ306" s="1115"/>
      <c r="CA306" s="1117">
        <v>5</v>
      </c>
      <c r="CB306" s="1117">
        <f t="shared" si="37"/>
        <v>5</v>
      </c>
      <c r="CC306" s="1117">
        <f t="shared" si="38"/>
        <v>0</v>
      </c>
      <c r="CD306" s="1113">
        <v>4.109</v>
      </c>
      <c r="CE306" s="1109" t="s">
        <v>4752</v>
      </c>
      <c r="CF306" s="1109"/>
      <c r="CG306" s="1109">
        <v>100</v>
      </c>
      <c r="CH306" s="1113">
        <v>4.109</v>
      </c>
      <c r="CI306" s="1149" t="s">
        <v>1757</v>
      </c>
      <c r="CJ306" s="1109" t="s">
        <v>504</v>
      </c>
      <c r="CK306" s="1109"/>
      <c r="CL306" s="1109"/>
      <c r="CM306" s="1115"/>
      <c r="CN306" s="1115"/>
      <c r="CO306" s="1115">
        <v>3</v>
      </c>
      <c r="CP306" s="1109" t="s">
        <v>504</v>
      </c>
      <c r="CQ306" s="1131"/>
      <c r="CR306" s="1115"/>
      <c r="CS306" s="1109" t="s">
        <v>500</v>
      </c>
      <c r="CT306" s="1131" t="s">
        <v>4772</v>
      </c>
      <c r="CU306" s="1115">
        <v>47</v>
      </c>
      <c r="CV306" s="1115" t="s">
        <v>504</v>
      </c>
      <c r="CW306" s="1115"/>
      <c r="CX306" s="1115"/>
      <c r="CY306" s="1115" t="s">
        <v>504</v>
      </c>
      <c r="CZ306" s="1115"/>
      <c r="DA306" s="1115"/>
      <c r="DB306" s="1109" t="s">
        <v>504</v>
      </c>
      <c r="DC306" s="1109"/>
      <c r="DD306" s="1115"/>
      <c r="DE306" s="1109" t="s">
        <v>504</v>
      </c>
      <c r="DF306" s="1109"/>
      <c r="DG306" s="1115"/>
      <c r="DH306" s="1109" t="s">
        <v>504</v>
      </c>
      <c r="DI306" s="1109"/>
      <c r="DJ306" s="1115"/>
      <c r="DK306" s="1109"/>
      <c r="DL306" s="1109"/>
      <c r="DM306" s="1115"/>
      <c r="DN306" s="1109" t="s">
        <v>504</v>
      </c>
      <c r="DO306" s="1109"/>
      <c r="DP306" s="1115"/>
      <c r="DQ306" s="1109" t="s">
        <v>504</v>
      </c>
      <c r="DR306" s="1109"/>
      <c r="DS306" s="1115"/>
      <c r="DT306" s="1115" t="s">
        <v>504</v>
      </c>
      <c r="DU306" s="1115"/>
      <c r="DV306" s="1115"/>
      <c r="DW306" s="1109" t="s">
        <v>504</v>
      </c>
      <c r="DX306" s="1109"/>
      <c r="DY306" s="1115"/>
      <c r="DZ306" s="1109"/>
      <c r="EA306" s="1109"/>
      <c r="EB306" s="1115"/>
      <c r="EC306" s="1109" t="s">
        <v>500</v>
      </c>
      <c r="ED306" s="1131" t="s">
        <v>4773</v>
      </c>
      <c r="EE306" s="1115">
        <v>10</v>
      </c>
      <c r="EF306" s="1115" t="s">
        <v>504</v>
      </c>
      <c r="EG306" s="1115"/>
      <c r="EH306" s="1115"/>
      <c r="EI306" s="1109"/>
      <c r="EJ306" s="1109"/>
      <c r="EK306" s="1115"/>
      <c r="EL306" s="1115"/>
      <c r="EM306" s="1115"/>
      <c r="EN306" s="1115"/>
      <c r="EO306" s="1109" t="s">
        <v>504</v>
      </c>
      <c r="EP306" s="1109"/>
      <c r="EQ306" s="1131" t="s">
        <v>4774</v>
      </c>
      <c r="ER306" s="1131" t="s">
        <v>4775</v>
      </c>
      <c r="ES306" s="1109" t="s">
        <v>504</v>
      </c>
      <c r="ET306" s="1109" t="s">
        <v>4776</v>
      </c>
      <c r="EU306" s="1109"/>
      <c r="EV306" s="1109" t="s">
        <v>4777</v>
      </c>
      <c r="EW306" s="1109">
        <v>1</v>
      </c>
      <c r="EX306" s="1109"/>
    </row>
    <row r="307" spans="3:154" ht="81.95" customHeight="1" x14ac:dyDescent="0.2">
      <c r="C307" s="1156" t="s">
        <v>693</v>
      </c>
      <c r="D307" s="1156" t="s">
        <v>5278</v>
      </c>
      <c r="E307" s="1104" t="s">
        <v>370</v>
      </c>
      <c r="F307" s="1104" t="s">
        <v>455</v>
      </c>
      <c r="G307" s="1104" t="s">
        <v>4778</v>
      </c>
      <c r="H307" s="1104" t="s">
        <v>4779</v>
      </c>
      <c r="I307" s="1104" t="s">
        <v>4502</v>
      </c>
      <c r="J307" s="1122">
        <v>2020</v>
      </c>
      <c r="K307" s="1105">
        <v>43847</v>
      </c>
      <c r="L307" s="1105">
        <v>43910</v>
      </c>
      <c r="M307" s="1369">
        <f t="shared" si="39"/>
        <v>63</v>
      </c>
      <c r="N307" s="1105"/>
      <c r="O307" s="1105"/>
      <c r="P307" s="1105"/>
      <c r="Q307" s="1105"/>
      <c r="R307" s="1105"/>
      <c r="S307" s="1105"/>
      <c r="T307" s="1105"/>
      <c r="U307" s="1105"/>
      <c r="V307" s="1105"/>
      <c r="W307" s="1105"/>
      <c r="X307" s="1105"/>
      <c r="Y307" s="1135" t="s">
        <v>4782</v>
      </c>
      <c r="Z307" s="1150" t="s">
        <v>4783</v>
      </c>
      <c r="AA307" s="1135" t="s">
        <v>4784</v>
      </c>
      <c r="AB307" s="1104" t="s">
        <v>4784</v>
      </c>
      <c r="AC307" s="1135" t="s">
        <v>4785</v>
      </c>
      <c r="AD307" s="1109" t="s">
        <v>4786</v>
      </c>
      <c r="AE307" s="1112">
        <v>0.5</v>
      </c>
      <c r="AF307" s="1113">
        <f t="shared" si="34"/>
        <v>0.5</v>
      </c>
      <c r="AG307" s="1113">
        <f t="shared" si="35"/>
        <v>0</v>
      </c>
      <c r="AH307" s="1112"/>
      <c r="AI307" s="1113"/>
      <c r="AJ307" s="1113"/>
      <c r="AK307" s="1112">
        <v>0.5</v>
      </c>
      <c r="AL307" s="1114">
        <v>1</v>
      </c>
      <c r="AM307" s="1151">
        <v>1.7498678368569518E-3</v>
      </c>
      <c r="AN307" s="1112"/>
      <c r="AO307" s="1114"/>
      <c r="AP307" s="1112"/>
      <c r="AQ307" s="1114"/>
      <c r="AR307" s="1112"/>
      <c r="AS307" s="1114"/>
      <c r="AT307" s="1114"/>
      <c r="AU307" s="1114"/>
      <c r="AV307" s="1114"/>
      <c r="AW307" s="1114" t="s">
        <v>500</v>
      </c>
      <c r="AX307" s="1151" t="s">
        <v>4737</v>
      </c>
      <c r="AY307" s="1114"/>
      <c r="AZ307" s="1114"/>
      <c r="BA307" s="1113"/>
      <c r="BB307" s="1114"/>
      <c r="BC307" s="1115">
        <v>3</v>
      </c>
      <c r="BD307" s="1115">
        <v>3</v>
      </c>
      <c r="BE307" s="1116">
        <v>3</v>
      </c>
      <c r="BF307" s="1115"/>
      <c r="BG307" s="1115"/>
      <c r="BH307" s="1115"/>
      <c r="BI307" s="1115"/>
      <c r="BJ307" s="1115"/>
      <c r="BK307" s="1115"/>
      <c r="BL307" s="1115"/>
      <c r="BM307" s="1115"/>
      <c r="BN307" s="1115">
        <v>1</v>
      </c>
      <c r="BO307" s="1115"/>
      <c r="BP307" s="1115"/>
      <c r="BQ307" s="1115"/>
      <c r="BR307" s="1115"/>
      <c r="BS307" s="1115">
        <v>1</v>
      </c>
      <c r="BT307" s="1115">
        <v>1</v>
      </c>
      <c r="BU307" s="1115"/>
      <c r="BV307" s="1115"/>
      <c r="BW307" s="1115"/>
      <c r="BX307" s="1115"/>
      <c r="BY307" s="1115"/>
      <c r="BZ307" s="1115"/>
      <c r="CA307" s="1117">
        <v>3</v>
      </c>
      <c r="CB307" s="1117">
        <f t="shared" si="37"/>
        <v>3</v>
      </c>
      <c r="CC307" s="1117">
        <f t="shared" si="38"/>
        <v>0</v>
      </c>
      <c r="CD307" s="1113">
        <v>2.4</v>
      </c>
      <c r="CE307" s="1109" t="s">
        <v>4752</v>
      </c>
      <c r="CF307" s="1109"/>
      <c r="CG307" s="1109">
        <v>100</v>
      </c>
      <c r="CH307" s="1152">
        <v>2.7</v>
      </c>
      <c r="CI307" s="1153" t="s">
        <v>1757</v>
      </c>
      <c r="CJ307" s="1135" t="s">
        <v>504</v>
      </c>
      <c r="CK307" s="1135"/>
      <c r="CL307" s="1135"/>
      <c r="CM307" s="1145"/>
      <c r="CN307" s="1145"/>
      <c r="CO307" s="1145">
        <v>2</v>
      </c>
      <c r="CP307" s="1135" t="s">
        <v>504</v>
      </c>
      <c r="CQ307" s="1150"/>
      <c r="CR307" s="1145"/>
      <c r="CS307" s="1135" t="s">
        <v>500</v>
      </c>
      <c r="CT307" s="1150" t="s">
        <v>4787</v>
      </c>
      <c r="CU307" s="1145">
        <v>30</v>
      </c>
      <c r="CV307" s="1115" t="s">
        <v>504</v>
      </c>
      <c r="CW307" s="1115"/>
      <c r="CX307" s="1115"/>
      <c r="CY307" s="1115" t="s">
        <v>504</v>
      </c>
      <c r="CZ307" s="1115"/>
      <c r="DA307" s="1115"/>
      <c r="DB307" s="1109" t="s">
        <v>504</v>
      </c>
      <c r="DC307" s="1109"/>
      <c r="DD307" s="1115"/>
      <c r="DE307" s="1109" t="s">
        <v>504</v>
      </c>
      <c r="DF307" s="1109"/>
      <c r="DG307" s="1115"/>
      <c r="DH307" s="1109" t="s">
        <v>504</v>
      </c>
      <c r="DI307" s="1109"/>
      <c r="DJ307" s="1115"/>
      <c r="DK307" s="1109"/>
      <c r="DL307" s="1109"/>
      <c r="DM307" s="1115"/>
      <c r="DN307" s="1109" t="s">
        <v>504</v>
      </c>
      <c r="DO307" s="1109"/>
      <c r="DP307" s="1115"/>
      <c r="DQ307" s="1109" t="s">
        <v>504</v>
      </c>
      <c r="DR307" s="1109"/>
      <c r="DS307" s="1115"/>
      <c r="DT307" s="1115" t="s">
        <v>504</v>
      </c>
      <c r="DU307" s="1115"/>
      <c r="DV307" s="1115"/>
      <c r="DW307" s="1109" t="s">
        <v>504</v>
      </c>
      <c r="DX307" s="1109"/>
      <c r="DY307" s="1115"/>
      <c r="DZ307" s="1109"/>
      <c r="EA307" s="1109"/>
      <c r="EB307" s="1115"/>
      <c r="EC307" s="1135" t="s">
        <v>500</v>
      </c>
      <c r="ED307" s="1154" t="s">
        <v>4788</v>
      </c>
      <c r="EE307" s="1145">
        <v>6</v>
      </c>
      <c r="EF307" s="1145" t="s">
        <v>504</v>
      </c>
      <c r="EG307" s="1145"/>
      <c r="EH307" s="1145"/>
      <c r="EI307" s="1135"/>
      <c r="EJ307" s="1135"/>
      <c r="EK307" s="1145"/>
      <c r="EL307" s="1145"/>
      <c r="EM307" s="1145"/>
      <c r="EN307" s="1145"/>
      <c r="EO307" s="1135" t="s">
        <v>504</v>
      </c>
      <c r="EP307" s="1135"/>
      <c r="EQ307" s="1150" t="s">
        <v>4789</v>
      </c>
      <c r="ER307" s="1131" t="s">
        <v>4790</v>
      </c>
      <c r="ES307" s="1135" t="s">
        <v>504</v>
      </c>
      <c r="ET307" s="1135" t="s">
        <v>4791</v>
      </c>
      <c r="EU307" s="1135"/>
      <c r="EV307" s="1135"/>
      <c r="EW307" s="1135"/>
      <c r="EX307" s="1135"/>
    </row>
    <row r="308" spans="3:154" ht="75.95" customHeight="1" x14ac:dyDescent="0.2">
      <c r="C308" s="1156" t="s">
        <v>693</v>
      </c>
      <c r="D308" s="1156" t="s">
        <v>5278</v>
      </c>
      <c r="E308" s="1104" t="s">
        <v>370</v>
      </c>
      <c r="F308" s="1104" t="s">
        <v>455</v>
      </c>
      <c r="G308" s="1104" t="s">
        <v>4792</v>
      </c>
      <c r="H308" s="1104" t="s">
        <v>4793</v>
      </c>
      <c r="I308" s="1104" t="s">
        <v>4502</v>
      </c>
      <c r="J308" s="1122">
        <v>2020</v>
      </c>
      <c r="K308" s="1105">
        <v>44027</v>
      </c>
      <c r="L308" s="1105">
        <v>44089</v>
      </c>
      <c r="M308" s="1369">
        <f t="shared" si="39"/>
        <v>62</v>
      </c>
      <c r="N308" s="1105"/>
      <c r="O308" s="1105"/>
      <c r="P308" s="1105"/>
      <c r="Q308" s="1105"/>
      <c r="R308" s="1105"/>
      <c r="S308" s="1105"/>
      <c r="T308" s="1105"/>
      <c r="U308" s="1105"/>
      <c r="V308" s="1105"/>
      <c r="W308" s="1105"/>
      <c r="X308" s="1105"/>
      <c r="Y308" s="1109" t="s">
        <v>4795</v>
      </c>
      <c r="Z308" s="1131" t="s">
        <v>4796</v>
      </c>
      <c r="AA308" s="1104" t="s">
        <v>4797</v>
      </c>
      <c r="AB308" s="1104" t="s">
        <v>4797</v>
      </c>
      <c r="AC308" s="1109" t="s">
        <v>4798</v>
      </c>
      <c r="AD308" s="1109" t="s">
        <v>4799</v>
      </c>
      <c r="AE308" s="1112">
        <v>0.93300000000000005</v>
      </c>
      <c r="AF308" s="1113">
        <f t="shared" si="34"/>
        <v>0.93300000000000005</v>
      </c>
      <c r="AG308" s="1113">
        <f t="shared" si="35"/>
        <v>0</v>
      </c>
      <c r="AH308" s="1112"/>
      <c r="AI308" s="1113"/>
      <c r="AJ308" s="1113"/>
      <c r="AK308" s="1112">
        <v>0.88300000000000001</v>
      </c>
      <c r="AL308" s="1114">
        <v>0.94640943193997851</v>
      </c>
      <c r="AM308" s="1114">
        <f>AK308/454</f>
        <v>1.9449339207048457E-3</v>
      </c>
      <c r="AN308" s="1112">
        <v>0.05</v>
      </c>
      <c r="AO308" s="1114">
        <v>5.3590568060021437E-2</v>
      </c>
      <c r="AP308" s="1112"/>
      <c r="AQ308" s="1114"/>
      <c r="AR308" s="1112"/>
      <c r="AS308" s="1114"/>
      <c r="AT308" s="1114"/>
      <c r="AU308" s="1114"/>
      <c r="AV308" s="1114"/>
      <c r="AW308" s="1114" t="s">
        <v>500</v>
      </c>
      <c r="AX308" s="1114" t="s">
        <v>4737</v>
      </c>
      <c r="AY308" s="1114"/>
      <c r="AZ308" s="1114"/>
      <c r="BA308" s="1113"/>
      <c r="BB308" s="1114"/>
      <c r="BC308" s="1115">
        <v>1</v>
      </c>
      <c r="BD308" s="1115">
        <v>1</v>
      </c>
      <c r="BE308" s="1116">
        <v>1</v>
      </c>
      <c r="BF308" s="1115"/>
      <c r="BG308" s="1115"/>
      <c r="BH308" s="1115"/>
      <c r="BI308" s="1115"/>
      <c r="BJ308" s="1115"/>
      <c r="BK308" s="1115"/>
      <c r="BL308" s="1115"/>
      <c r="BM308" s="1115"/>
      <c r="BN308" s="1115"/>
      <c r="BO308" s="1115"/>
      <c r="BP308" s="1115">
        <v>1</v>
      </c>
      <c r="BQ308" s="1115"/>
      <c r="BR308" s="1115"/>
      <c r="BS308" s="1115"/>
      <c r="BT308" s="1115"/>
      <c r="BU308" s="1115"/>
      <c r="BV308" s="1115"/>
      <c r="BW308" s="1115"/>
      <c r="BX308" s="1115"/>
      <c r="BY308" s="1115"/>
      <c r="BZ308" s="1115"/>
      <c r="CA308" s="1117">
        <v>1</v>
      </c>
      <c r="CB308" s="1117">
        <f t="shared" si="37"/>
        <v>1</v>
      </c>
      <c r="CC308" s="1117">
        <f t="shared" si="38"/>
        <v>0</v>
      </c>
      <c r="CD308" s="1113">
        <v>0.3</v>
      </c>
      <c r="CE308" s="1109" t="s">
        <v>4800</v>
      </c>
      <c r="CF308" s="1109"/>
      <c r="CG308" s="1114">
        <v>3.1347962382445138E-2</v>
      </c>
      <c r="CH308" s="1113">
        <v>9.57</v>
      </c>
      <c r="CI308" s="1149" t="s">
        <v>1757</v>
      </c>
      <c r="CJ308" s="1109" t="s">
        <v>504</v>
      </c>
      <c r="CK308" s="1109"/>
      <c r="CL308" s="1109"/>
      <c r="CM308" s="1115"/>
      <c r="CN308" s="1115"/>
      <c r="CO308" s="1115">
        <v>2</v>
      </c>
      <c r="CP308" s="1109" t="s">
        <v>500</v>
      </c>
      <c r="CQ308" s="1131"/>
      <c r="CR308" s="1115"/>
      <c r="CS308" s="1109" t="s">
        <v>504</v>
      </c>
      <c r="CT308" s="1131"/>
      <c r="CU308" s="1115"/>
      <c r="CV308" s="1115" t="s">
        <v>504</v>
      </c>
      <c r="CW308" s="1115"/>
      <c r="CX308" s="1115"/>
      <c r="CY308" s="1115" t="s">
        <v>504</v>
      </c>
      <c r="CZ308" s="1115"/>
      <c r="DA308" s="1115"/>
      <c r="DB308" s="1109" t="s">
        <v>504</v>
      </c>
      <c r="DC308" s="1109"/>
      <c r="DD308" s="1115"/>
      <c r="DE308" s="1109" t="s">
        <v>504</v>
      </c>
      <c r="DF308" s="1109"/>
      <c r="DG308" s="1115"/>
      <c r="DH308" s="1109" t="s">
        <v>504</v>
      </c>
      <c r="DI308" s="1109"/>
      <c r="DJ308" s="1115"/>
      <c r="DK308" s="1109"/>
      <c r="DL308" s="1109"/>
      <c r="DM308" s="1115"/>
      <c r="DN308" s="1109" t="s">
        <v>500</v>
      </c>
      <c r="DO308" s="1131" t="s">
        <v>4801</v>
      </c>
      <c r="DP308" s="1115">
        <v>1034</v>
      </c>
      <c r="DQ308" s="1109" t="s">
        <v>504</v>
      </c>
      <c r="DR308" s="1109"/>
      <c r="DS308" s="1115"/>
      <c r="DT308" s="1115" t="s">
        <v>504</v>
      </c>
      <c r="DU308" s="1115"/>
      <c r="DV308" s="1115"/>
      <c r="DW308" s="1109" t="s">
        <v>504</v>
      </c>
      <c r="DX308" s="1109"/>
      <c r="DY308" s="1115"/>
      <c r="DZ308" s="1109"/>
      <c r="EA308" s="1109"/>
      <c r="EB308" s="1115"/>
      <c r="EC308" s="1109" t="s">
        <v>504</v>
      </c>
      <c r="ED308" s="1131"/>
      <c r="EE308" s="1115"/>
      <c r="EF308" s="1115" t="s">
        <v>500</v>
      </c>
      <c r="EG308" s="1115"/>
      <c r="EH308" s="1115">
        <v>9</v>
      </c>
      <c r="EI308" s="1109"/>
      <c r="EJ308" s="1109"/>
      <c r="EK308" s="1115"/>
      <c r="EL308" s="1115"/>
      <c r="EM308" s="1115"/>
      <c r="EN308" s="1115"/>
      <c r="EO308" s="1109" t="s">
        <v>504</v>
      </c>
      <c r="EP308" s="1109"/>
      <c r="EQ308" s="1131"/>
      <c r="ER308" s="1131" t="s">
        <v>4802</v>
      </c>
      <c r="ES308" s="1109" t="s">
        <v>504</v>
      </c>
      <c r="ET308" s="1109" t="s">
        <v>4803</v>
      </c>
      <c r="EU308" s="1109"/>
      <c r="EV308" s="1109" t="s">
        <v>4777</v>
      </c>
      <c r="EW308" s="1109">
        <v>1</v>
      </c>
      <c r="EX308" s="1109"/>
    </row>
    <row r="309" spans="3:154" ht="44.1" customHeight="1" x14ac:dyDescent="0.2">
      <c r="C309" s="1156" t="s">
        <v>693</v>
      </c>
      <c r="D309" s="1156" t="s">
        <v>5278</v>
      </c>
      <c r="E309" s="1104" t="s">
        <v>370</v>
      </c>
      <c r="F309" s="1104" t="s">
        <v>455</v>
      </c>
      <c r="G309" s="1104" t="s">
        <v>4804</v>
      </c>
      <c r="H309" s="1104" t="s">
        <v>4805</v>
      </c>
      <c r="I309" s="1104" t="s">
        <v>4502</v>
      </c>
      <c r="J309" s="1122">
        <v>2020</v>
      </c>
      <c r="K309" s="1105">
        <v>44140</v>
      </c>
      <c r="L309" s="1105">
        <v>44196</v>
      </c>
      <c r="M309" s="1369">
        <f t="shared" si="39"/>
        <v>56</v>
      </c>
      <c r="N309" s="1105"/>
      <c r="O309" s="1105"/>
      <c r="P309" s="1105"/>
      <c r="Q309" s="1105"/>
      <c r="R309" s="1105"/>
      <c r="S309" s="1105"/>
      <c r="T309" s="1105"/>
      <c r="U309" s="1105"/>
      <c r="V309" s="1105"/>
      <c r="W309" s="1105"/>
      <c r="X309" s="1105"/>
      <c r="Y309" s="1109" t="s">
        <v>4806</v>
      </c>
      <c r="Z309" s="1131" t="s">
        <v>4807</v>
      </c>
      <c r="AA309" s="1104" t="s">
        <v>4808</v>
      </c>
      <c r="AB309" s="1104" t="s">
        <v>4808</v>
      </c>
      <c r="AC309" s="1109" t="s">
        <v>4798</v>
      </c>
      <c r="AD309" s="1109" t="s">
        <v>4808</v>
      </c>
      <c r="AE309" s="1112">
        <v>0.49275000000000002</v>
      </c>
      <c r="AF309" s="1113">
        <f t="shared" si="34"/>
        <v>0.49299999999999999</v>
      </c>
      <c r="AG309" s="1113">
        <f t="shared" si="35"/>
        <v>2.4999999999997247E-4</v>
      </c>
      <c r="AH309" s="1112"/>
      <c r="AI309" s="1113"/>
      <c r="AJ309" s="1113"/>
      <c r="AK309" s="1112">
        <v>0.49299999999999999</v>
      </c>
      <c r="AL309" s="1114">
        <v>1</v>
      </c>
      <c r="AM309" s="1114">
        <f>AK309/60.39</f>
        <v>8.1636032455704582E-3</v>
      </c>
      <c r="AN309" s="1112"/>
      <c r="AO309" s="1114"/>
      <c r="AP309" s="1112"/>
      <c r="AQ309" s="1114"/>
      <c r="AR309" s="1112"/>
      <c r="AS309" s="1114"/>
      <c r="AT309" s="1114"/>
      <c r="AU309" s="1114"/>
      <c r="AV309" s="1114"/>
      <c r="AW309" s="1114" t="s">
        <v>500</v>
      </c>
      <c r="AX309" s="1114" t="s">
        <v>4737</v>
      </c>
      <c r="AY309" s="1114"/>
      <c r="AZ309" s="1114"/>
      <c r="BA309" s="1113"/>
      <c r="BB309" s="1114"/>
      <c r="BC309" s="1115">
        <v>3</v>
      </c>
      <c r="BD309" s="1115">
        <v>3</v>
      </c>
      <c r="BE309" s="1116">
        <v>3</v>
      </c>
      <c r="BF309" s="1115"/>
      <c r="BG309" s="1115"/>
      <c r="BH309" s="1115"/>
      <c r="BI309" s="1115"/>
      <c r="BJ309" s="1115"/>
      <c r="BK309" s="1115"/>
      <c r="BL309" s="1115"/>
      <c r="BM309" s="1115">
        <v>1</v>
      </c>
      <c r="BN309" s="1115">
        <v>1</v>
      </c>
      <c r="BO309" s="1115"/>
      <c r="BP309" s="1115"/>
      <c r="BQ309" s="1115">
        <v>1</v>
      </c>
      <c r="BR309" s="1115"/>
      <c r="BS309" s="1115"/>
      <c r="BT309" s="1115"/>
      <c r="BU309" s="1115"/>
      <c r="BV309" s="1115"/>
      <c r="BW309" s="1115"/>
      <c r="BX309" s="1115"/>
      <c r="BY309" s="1115"/>
      <c r="BZ309" s="1115"/>
      <c r="CA309" s="1117">
        <v>3</v>
      </c>
      <c r="CB309" s="1117">
        <f t="shared" si="37"/>
        <v>3</v>
      </c>
      <c r="CC309" s="1117">
        <f t="shared" si="38"/>
        <v>0</v>
      </c>
      <c r="CD309" s="1113">
        <v>0.92200000000000004</v>
      </c>
      <c r="CE309" s="1109" t="s">
        <v>4752</v>
      </c>
      <c r="CF309" s="1109"/>
      <c r="CG309" s="1109">
        <v>100</v>
      </c>
      <c r="CH309" s="1113">
        <v>0.92200000000000004</v>
      </c>
      <c r="CI309" s="1149" t="s">
        <v>1757</v>
      </c>
      <c r="CJ309" s="1109" t="s">
        <v>504</v>
      </c>
      <c r="CK309" s="1109"/>
      <c r="CL309" s="1109"/>
      <c r="CM309" s="1115"/>
      <c r="CN309" s="1115"/>
      <c r="CO309" s="1115">
        <v>2</v>
      </c>
      <c r="CP309" s="1109" t="s">
        <v>504</v>
      </c>
      <c r="CQ309" s="1131"/>
      <c r="CR309" s="1115"/>
      <c r="CS309" s="1109" t="s">
        <v>504</v>
      </c>
      <c r="CT309" s="1131"/>
      <c r="CU309" s="1115"/>
      <c r="CV309" s="1115" t="s">
        <v>504</v>
      </c>
      <c r="CW309" s="1115"/>
      <c r="CX309" s="1115"/>
      <c r="CY309" s="1115" t="s">
        <v>504</v>
      </c>
      <c r="CZ309" s="1115"/>
      <c r="DA309" s="1115"/>
      <c r="DB309" s="1109" t="s">
        <v>504</v>
      </c>
      <c r="DC309" s="1109"/>
      <c r="DD309" s="1115"/>
      <c r="DE309" s="1109" t="s">
        <v>504</v>
      </c>
      <c r="DF309" s="1109"/>
      <c r="DG309" s="1115"/>
      <c r="DH309" s="1109" t="s">
        <v>504</v>
      </c>
      <c r="DI309" s="1109"/>
      <c r="DJ309" s="1115"/>
      <c r="DK309" s="1109"/>
      <c r="DL309" s="1109"/>
      <c r="DM309" s="1115"/>
      <c r="DN309" s="1109" t="s">
        <v>504</v>
      </c>
      <c r="DO309" s="1109"/>
      <c r="DP309" s="1115"/>
      <c r="DQ309" s="1109" t="s">
        <v>504</v>
      </c>
      <c r="DR309" s="1109"/>
      <c r="DS309" s="1115"/>
      <c r="DT309" s="1115" t="s">
        <v>504</v>
      </c>
      <c r="DU309" s="1115"/>
      <c r="DV309" s="1115"/>
      <c r="DW309" s="1109" t="s">
        <v>504</v>
      </c>
      <c r="DX309" s="1109"/>
      <c r="DY309" s="1115"/>
      <c r="DZ309" s="1109" t="s">
        <v>504</v>
      </c>
      <c r="EA309" s="1109"/>
      <c r="EB309" s="1115"/>
      <c r="EC309" s="1109" t="s">
        <v>500</v>
      </c>
      <c r="ED309" s="1131" t="s">
        <v>4809</v>
      </c>
      <c r="EE309" s="1115">
        <v>8</v>
      </c>
      <c r="EF309" s="1115" t="s">
        <v>504</v>
      </c>
      <c r="EG309" s="1115"/>
      <c r="EH309" s="1115"/>
      <c r="EI309" s="1109"/>
      <c r="EJ309" s="1109"/>
      <c r="EK309" s="1115"/>
      <c r="EL309" s="1115"/>
      <c r="EM309" s="1115"/>
      <c r="EN309" s="1115"/>
      <c r="EO309" s="1109" t="s">
        <v>504</v>
      </c>
      <c r="EP309" s="1109"/>
      <c r="EQ309" s="1131" t="s">
        <v>4810</v>
      </c>
      <c r="ER309" s="1131" t="s">
        <v>504</v>
      </c>
      <c r="ES309" s="1109" t="s">
        <v>504</v>
      </c>
      <c r="ET309" s="1109" t="s">
        <v>4811</v>
      </c>
      <c r="EU309" s="1109"/>
      <c r="EV309" s="1109"/>
      <c r="EW309" s="1109"/>
      <c r="EX309" s="1109"/>
    </row>
    <row r="310" spans="3:154" ht="74.099999999999994" customHeight="1" x14ac:dyDescent="0.2">
      <c r="C310" s="1156" t="s">
        <v>693</v>
      </c>
      <c r="D310" s="1156" t="s">
        <v>5278</v>
      </c>
      <c r="E310" s="1104" t="s">
        <v>370</v>
      </c>
      <c r="F310" s="1104" t="s">
        <v>455</v>
      </c>
      <c r="G310" s="1104" t="s">
        <v>4812</v>
      </c>
      <c r="H310" s="1104" t="s">
        <v>4813</v>
      </c>
      <c r="I310" s="1104" t="s">
        <v>4502</v>
      </c>
      <c r="J310" s="1122">
        <v>2020</v>
      </c>
      <c r="K310" s="1105">
        <v>43944</v>
      </c>
      <c r="L310" s="1105">
        <v>44196</v>
      </c>
      <c r="M310" s="1369">
        <f t="shared" si="39"/>
        <v>252</v>
      </c>
      <c r="N310" s="1105"/>
      <c r="O310" s="1105"/>
      <c r="P310" s="1105"/>
      <c r="Q310" s="1105"/>
      <c r="R310" s="1105"/>
      <c r="S310" s="1105"/>
      <c r="T310" s="1105"/>
      <c r="U310" s="1105"/>
      <c r="V310" s="1105"/>
      <c r="W310" s="1105"/>
      <c r="X310" s="1105"/>
      <c r="Y310" s="1109" t="s">
        <v>4814</v>
      </c>
      <c r="Z310" s="1131" t="s">
        <v>4815</v>
      </c>
      <c r="AA310" s="1104" t="s">
        <v>4816</v>
      </c>
      <c r="AB310" s="1104" t="s">
        <v>4816</v>
      </c>
      <c r="AC310" s="1109" t="s">
        <v>4798</v>
      </c>
      <c r="AD310" s="1109" t="s">
        <v>4816</v>
      </c>
      <c r="AE310" s="1112">
        <v>0.497</v>
      </c>
      <c r="AF310" s="1113">
        <f t="shared" si="34"/>
        <v>0.497</v>
      </c>
      <c r="AG310" s="1113">
        <f t="shared" si="35"/>
        <v>0</v>
      </c>
      <c r="AH310" s="1112"/>
      <c r="AI310" s="1113"/>
      <c r="AJ310" s="1113"/>
      <c r="AK310" s="1112">
        <v>0.497</v>
      </c>
      <c r="AL310" s="1114">
        <v>1</v>
      </c>
      <c r="AM310" s="1114">
        <f>AK310/65.262</f>
        <v>7.6154576936042408E-3</v>
      </c>
      <c r="AN310" s="1112"/>
      <c r="AO310" s="1114"/>
      <c r="AP310" s="1112"/>
      <c r="AQ310" s="1114"/>
      <c r="AR310" s="1112"/>
      <c r="AS310" s="1114"/>
      <c r="AT310" s="1114"/>
      <c r="AU310" s="1114"/>
      <c r="AV310" s="1114"/>
      <c r="AW310" s="1114" t="s">
        <v>500</v>
      </c>
      <c r="AX310" s="1114" t="s">
        <v>4737</v>
      </c>
      <c r="AY310" s="1114"/>
      <c r="AZ310" s="1114"/>
      <c r="BA310" s="1113"/>
      <c r="BB310" s="1114"/>
      <c r="BC310" s="1115">
        <v>1</v>
      </c>
      <c r="BD310" s="1115">
        <v>1</v>
      </c>
      <c r="BE310" s="1116">
        <v>1</v>
      </c>
      <c r="BF310" s="1115"/>
      <c r="BG310" s="1115"/>
      <c r="BH310" s="1115"/>
      <c r="BI310" s="1115"/>
      <c r="BJ310" s="1115"/>
      <c r="BK310" s="1115"/>
      <c r="BL310" s="1115"/>
      <c r="BM310" s="1115"/>
      <c r="BN310" s="1115"/>
      <c r="BO310" s="1115"/>
      <c r="BP310" s="1115"/>
      <c r="BQ310" s="1115">
        <v>1</v>
      </c>
      <c r="BR310" s="1115"/>
      <c r="BS310" s="1115"/>
      <c r="BT310" s="1115"/>
      <c r="BU310" s="1115"/>
      <c r="BV310" s="1115"/>
      <c r="BW310" s="1115"/>
      <c r="BX310" s="1115"/>
      <c r="BY310" s="1115"/>
      <c r="BZ310" s="1115"/>
      <c r="CA310" s="1117">
        <f>SUM(BF310:BZ310)</f>
        <v>1</v>
      </c>
      <c r="CB310" s="1117">
        <f t="shared" si="37"/>
        <v>1</v>
      </c>
      <c r="CC310" s="1117">
        <f t="shared" si="38"/>
        <v>0</v>
      </c>
      <c r="CD310" s="1113">
        <v>0.77500000000000002</v>
      </c>
      <c r="CE310" s="1109" t="s">
        <v>4817</v>
      </c>
      <c r="CF310" s="1109"/>
      <c r="CG310" s="1109">
        <v>100</v>
      </c>
      <c r="CH310" s="1113">
        <v>0.77500000000000002</v>
      </c>
      <c r="CI310" s="1149" t="s">
        <v>1757</v>
      </c>
      <c r="CJ310" s="1109" t="s">
        <v>504</v>
      </c>
      <c r="CK310" s="1109"/>
      <c r="CL310" s="1109"/>
      <c r="CM310" s="1115"/>
      <c r="CN310" s="1115"/>
      <c r="CO310" s="1115">
        <v>2</v>
      </c>
      <c r="CP310" s="1109" t="s">
        <v>504</v>
      </c>
      <c r="CQ310" s="1131"/>
      <c r="CR310" s="1115"/>
      <c r="CS310" s="1109" t="s">
        <v>504</v>
      </c>
      <c r="CT310" s="1155"/>
      <c r="CU310" s="1115"/>
      <c r="CV310" s="1115" t="s">
        <v>504</v>
      </c>
      <c r="CW310" s="1115"/>
      <c r="CX310" s="1115"/>
      <c r="CY310" s="1115" t="s">
        <v>504</v>
      </c>
      <c r="CZ310" s="1115"/>
      <c r="DA310" s="1115"/>
      <c r="DB310" s="1109" t="s">
        <v>504</v>
      </c>
      <c r="DC310" s="1109"/>
      <c r="DD310" s="1115"/>
      <c r="DE310" s="1109" t="s">
        <v>504</v>
      </c>
      <c r="DF310" s="1109"/>
      <c r="DG310" s="1115"/>
      <c r="DH310" s="1109" t="s">
        <v>504</v>
      </c>
      <c r="DI310" s="1109"/>
      <c r="DJ310" s="1115"/>
      <c r="DK310" s="1109"/>
      <c r="DL310" s="1109"/>
      <c r="DM310" s="1115"/>
      <c r="DN310" s="1109" t="s">
        <v>504</v>
      </c>
      <c r="DO310" s="1109"/>
      <c r="DP310" s="1115"/>
      <c r="DQ310" s="1109" t="s">
        <v>504</v>
      </c>
      <c r="DR310" s="1109"/>
      <c r="DS310" s="1115"/>
      <c r="DT310" s="1115" t="s">
        <v>504</v>
      </c>
      <c r="DU310" s="1115"/>
      <c r="DV310" s="1115"/>
      <c r="DW310" s="1109" t="s">
        <v>504</v>
      </c>
      <c r="DX310" s="1109"/>
      <c r="DY310" s="1115"/>
      <c r="DZ310" s="1109" t="s">
        <v>504</v>
      </c>
      <c r="EA310" s="1109"/>
      <c r="EB310" s="1115"/>
      <c r="EC310" s="1109" t="s">
        <v>500</v>
      </c>
      <c r="ED310" s="1155" t="s">
        <v>2929</v>
      </c>
      <c r="EE310" s="1115"/>
      <c r="EF310" s="1115" t="s">
        <v>504</v>
      </c>
      <c r="EG310" s="1115"/>
      <c r="EH310" s="1115"/>
      <c r="EI310" s="1109"/>
      <c r="EJ310" s="1109"/>
      <c r="EK310" s="1115"/>
      <c r="EL310" s="1115"/>
      <c r="EM310" s="1115"/>
      <c r="EN310" s="1115"/>
      <c r="EO310" s="1109" t="s">
        <v>504</v>
      </c>
      <c r="EP310" s="1109"/>
      <c r="EQ310" s="1131" t="s">
        <v>4818</v>
      </c>
      <c r="ER310" s="1155" t="s">
        <v>504</v>
      </c>
      <c r="ES310" s="1109" t="s">
        <v>504</v>
      </c>
      <c r="ET310" s="1109" t="s">
        <v>4819</v>
      </c>
      <c r="EU310" s="1109"/>
      <c r="EV310" s="1109"/>
      <c r="EW310" s="1109"/>
      <c r="EX310" s="1109"/>
    </row>
    <row r="311" spans="3:154" ht="38.1" customHeight="1" x14ac:dyDescent="0.2">
      <c r="C311" s="1156" t="s">
        <v>693</v>
      </c>
      <c r="D311" s="1156" t="s">
        <v>5277</v>
      </c>
      <c r="E311" s="738" t="s">
        <v>371</v>
      </c>
      <c r="F311" s="738" t="s">
        <v>456</v>
      </c>
      <c r="G311" s="738"/>
      <c r="H311" s="632" t="s">
        <v>696</v>
      </c>
      <c r="I311" s="632" t="s">
        <v>697</v>
      </c>
      <c r="J311" s="637">
        <v>2017</v>
      </c>
      <c r="K311" s="377">
        <v>43754</v>
      </c>
      <c r="L311" s="377">
        <v>44165</v>
      </c>
      <c r="M311" s="1369">
        <f t="shared" si="39"/>
        <v>411</v>
      </c>
      <c r="N311" s="661" t="s">
        <v>698</v>
      </c>
      <c r="O311" s="1176" t="s">
        <v>699</v>
      </c>
      <c r="P311" s="653" t="s">
        <v>700</v>
      </c>
      <c r="Q311" s="632" t="s">
        <v>701</v>
      </c>
      <c r="R311" s="632" t="s">
        <v>701</v>
      </c>
      <c r="S311" s="632" t="s">
        <v>702</v>
      </c>
      <c r="T311" s="632" t="s">
        <v>702</v>
      </c>
      <c r="U311" s="632" t="s">
        <v>702</v>
      </c>
      <c r="V311" s="632" t="s">
        <v>703</v>
      </c>
      <c r="W311" s="1176" t="s">
        <v>699</v>
      </c>
      <c r="X311" s="653" t="s">
        <v>700</v>
      </c>
      <c r="Y311" s="653"/>
      <c r="Z311" s="653"/>
      <c r="AA311" s="632" t="s">
        <v>704</v>
      </c>
      <c r="AB311" s="632" t="s">
        <v>705</v>
      </c>
      <c r="AC311" s="632" t="s">
        <v>706</v>
      </c>
      <c r="AD311" s="632" t="s">
        <v>707</v>
      </c>
      <c r="AE311" s="702">
        <v>691.3</v>
      </c>
      <c r="AF311" s="671">
        <f t="shared" si="34"/>
        <v>691.3</v>
      </c>
      <c r="AG311" s="671">
        <f t="shared" si="35"/>
        <v>0</v>
      </c>
      <c r="AH311" s="702">
        <v>146.9</v>
      </c>
      <c r="AI311" s="683">
        <v>0.21199999999999999</v>
      </c>
      <c r="AJ311" s="683">
        <v>2E-3</v>
      </c>
      <c r="AK311" s="702">
        <v>79.599999999999994</v>
      </c>
      <c r="AL311" s="683">
        <v>0.115</v>
      </c>
      <c r="AM311" s="683"/>
      <c r="AN311" s="702">
        <v>3.7</v>
      </c>
      <c r="AO311" s="683">
        <v>5.0000000000000001E-3</v>
      </c>
      <c r="AP311" s="702">
        <v>0.7</v>
      </c>
      <c r="AQ311" s="683">
        <v>1E-3</v>
      </c>
      <c r="AR311" s="702">
        <v>460.4</v>
      </c>
      <c r="AS311" s="683">
        <v>0.66600000000000004</v>
      </c>
      <c r="AT311" s="632" t="s">
        <v>708</v>
      </c>
      <c r="AU311" s="632" t="s">
        <v>709</v>
      </c>
      <c r="AV311" s="632" t="s">
        <v>710</v>
      </c>
      <c r="AW311" s="632" t="s">
        <v>500</v>
      </c>
      <c r="AX311" s="632" t="s">
        <v>711</v>
      </c>
      <c r="AY311" s="632"/>
      <c r="AZ311" s="683" t="s">
        <v>702</v>
      </c>
      <c r="BA311" s="706">
        <v>1039</v>
      </c>
      <c r="BB311" s="683">
        <v>1.2E-2</v>
      </c>
      <c r="BC311" s="710">
        <v>509</v>
      </c>
      <c r="BD311" s="710">
        <v>478</v>
      </c>
      <c r="BE311" s="706">
        <v>458</v>
      </c>
      <c r="BF311" s="710">
        <v>3</v>
      </c>
      <c r="BG311" s="710">
        <v>6</v>
      </c>
      <c r="BH311" s="710">
        <v>7</v>
      </c>
      <c r="BI311" s="710">
        <v>4</v>
      </c>
      <c r="BJ311" s="710">
        <v>0</v>
      </c>
      <c r="BK311" s="710">
        <v>2</v>
      </c>
      <c r="BL311" s="710">
        <v>199</v>
      </c>
      <c r="BM311" s="710">
        <v>18</v>
      </c>
      <c r="BN311" s="710">
        <v>15</v>
      </c>
      <c r="BO311" s="710">
        <v>112</v>
      </c>
      <c r="BP311" s="710">
        <v>13</v>
      </c>
      <c r="BQ311" s="710">
        <v>51</v>
      </c>
      <c r="BR311" s="710">
        <v>5</v>
      </c>
      <c r="BS311" s="710">
        <v>0</v>
      </c>
      <c r="BT311" s="710">
        <v>0</v>
      </c>
      <c r="BU311" s="710">
        <v>0</v>
      </c>
      <c r="BV311" s="710">
        <v>0</v>
      </c>
      <c r="BW311" s="710">
        <v>17</v>
      </c>
      <c r="BX311" s="710">
        <v>1</v>
      </c>
      <c r="BY311" s="710">
        <v>5</v>
      </c>
      <c r="BZ311" s="710"/>
      <c r="CA311" s="717">
        <f>SUM(BF311:BZ311)</f>
        <v>458</v>
      </c>
      <c r="CB311" s="717">
        <f t="shared" si="37"/>
        <v>458</v>
      </c>
      <c r="CC311" s="717">
        <f t="shared" si="38"/>
        <v>0</v>
      </c>
      <c r="CD311" s="671">
        <v>949</v>
      </c>
      <c r="CE311" s="632" t="s">
        <v>712</v>
      </c>
      <c r="CF311" s="632"/>
      <c r="CG311" s="683">
        <v>0.75700000000000001</v>
      </c>
      <c r="CH311" s="671">
        <v>1253.4000000000001</v>
      </c>
      <c r="CI311" s="733" t="s">
        <v>713</v>
      </c>
      <c r="CJ311" s="632" t="s">
        <v>500</v>
      </c>
      <c r="CK311" s="632" t="s">
        <v>714</v>
      </c>
      <c r="CL311" s="632" t="s">
        <v>715</v>
      </c>
      <c r="CM311" s="710">
        <v>5</v>
      </c>
      <c r="CN311" s="710">
        <v>0</v>
      </c>
      <c r="CO311" s="710" t="s">
        <v>702</v>
      </c>
      <c r="CP311" s="632" t="s">
        <v>504</v>
      </c>
      <c r="CQ311" s="632" t="s">
        <v>702</v>
      </c>
      <c r="CR311" s="710" t="s">
        <v>702</v>
      </c>
      <c r="CS311" s="632" t="s">
        <v>500</v>
      </c>
      <c r="CT311" s="632" t="s">
        <v>716</v>
      </c>
      <c r="CU311" s="710">
        <v>454</v>
      </c>
      <c r="CV311" s="710" t="s">
        <v>500</v>
      </c>
      <c r="CW311" s="632" t="s">
        <v>716</v>
      </c>
      <c r="CX311" s="710">
        <v>345</v>
      </c>
      <c r="CY311" s="710" t="s">
        <v>500</v>
      </c>
      <c r="CZ311" s="710" t="s">
        <v>718</v>
      </c>
      <c r="DA311" s="710">
        <v>1789</v>
      </c>
      <c r="DB311" s="632" t="s">
        <v>504</v>
      </c>
      <c r="DC311" s="632" t="s">
        <v>702</v>
      </c>
      <c r="DD311" s="710" t="s">
        <v>702</v>
      </c>
      <c r="DE311" s="632" t="s">
        <v>504</v>
      </c>
      <c r="DF311" s="632" t="s">
        <v>702</v>
      </c>
      <c r="DG311" s="710" t="s">
        <v>702</v>
      </c>
      <c r="DH311" s="632" t="s">
        <v>500</v>
      </c>
      <c r="DI311" s="632" t="s">
        <v>719</v>
      </c>
      <c r="DJ311" s="710">
        <v>18168</v>
      </c>
      <c r="DK311" s="632" t="s">
        <v>702</v>
      </c>
      <c r="DL311" s="632" t="s">
        <v>702</v>
      </c>
      <c r="DM311" s="710" t="s">
        <v>702</v>
      </c>
      <c r="DN311" s="632" t="s">
        <v>504</v>
      </c>
      <c r="DO311" s="632" t="s">
        <v>702</v>
      </c>
      <c r="DP311" s="710" t="s">
        <v>702</v>
      </c>
      <c r="DQ311" s="632" t="s">
        <v>500</v>
      </c>
      <c r="DR311" s="632" t="s">
        <v>716</v>
      </c>
      <c r="DS311" s="710">
        <v>25036</v>
      </c>
      <c r="DT311" s="710" t="s">
        <v>504</v>
      </c>
      <c r="DU311" s="710" t="s">
        <v>702</v>
      </c>
      <c r="DV311" s="710" t="s">
        <v>702</v>
      </c>
      <c r="DW311" s="632" t="s">
        <v>504</v>
      </c>
      <c r="DX311" s="632" t="s">
        <v>702</v>
      </c>
      <c r="DY311" s="710" t="s">
        <v>702</v>
      </c>
      <c r="DZ311" s="632" t="s">
        <v>504</v>
      </c>
      <c r="EA311" s="632" t="s">
        <v>702</v>
      </c>
      <c r="EB311" s="710" t="s">
        <v>702</v>
      </c>
      <c r="EC311" s="632" t="s">
        <v>504</v>
      </c>
      <c r="ED311" s="632" t="s">
        <v>702</v>
      </c>
      <c r="EE311" s="710">
        <v>29</v>
      </c>
      <c r="EF311" s="710" t="s">
        <v>500</v>
      </c>
      <c r="EG311" s="710" t="s">
        <v>720</v>
      </c>
      <c r="EH311" s="710">
        <v>36</v>
      </c>
      <c r="EI311" s="632" t="s">
        <v>504</v>
      </c>
      <c r="EJ311" s="632" t="s">
        <v>702</v>
      </c>
      <c r="EK311" s="710" t="s">
        <v>702</v>
      </c>
      <c r="EL311" s="688">
        <v>1</v>
      </c>
      <c r="EM311" s="632" t="s">
        <v>702</v>
      </c>
      <c r="EN311" s="670">
        <v>67</v>
      </c>
      <c r="EO311" s="632" t="s">
        <v>500</v>
      </c>
      <c r="EP311" s="632" t="s">
        <v>721</v>
      </c>
      <c r="EQ311" s="653" t="s">
        <v>722</v>
      </c>
      <c r="ER311" s="632" t="s">
        <v>723</v>
      </c>
      <c r="ES311" s="653" t="s">
        <v>724</v>
      </c>
      <c r="ET311" s="632" t="s">
        <v>725</v>
      </c>
      <c r="EU311" s="632" t="s">
        <v>726</v>
      </c>
      <c r="EV311" s="632" t="s">
        <v>727</v>
      </c>
      <c r="EW311" s="632">
        <v>5</v>
      </c>
      <c r="EX311" s="632">
        <v>296</v>
      </c>
    </row>
  </sheetData>
  <sheetProtection sheet="1" objects="1" scenarios="1" formatCells="0" formatColumns="0" formatRows="0" insertColumns="0" insertRows="0" insertHyperlinks="0" deleteColumns="0" deleteRows="0" sort="0" autoFilter="0" pivotTables="0"/>
  <autoFilter ref="C1:EX311">
    <filterColumn colId="5" showButton="0"/>
    <filterColumn colId="8"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5" showButton="0"/>
    <filterColumn colId="26" showButton="0"/>
    <filterColumn colId="31" showButton="0"/>
    <filterColumn colId="32" showButton="0"/>
    <filterColumn colId="34" showButton="0"/>
    <filterColumn colId="35" showButton="0"/>
    <filterColumn colId="37" showButton="0"/>
    <filterColumn colId="39" showButton="0"/>
    <filterColumn colId="41" showButton="0"/>
    <filterColumn colId="42" showButton="0"/>
    <filterColumn colId="43" showButton="0"/>
    <filterColumn colId="44" showButton="0"/>
    <filterColumn colId="46" showButton="0"/>
    <filterColumn colId="47" showButton="0"/>
    <filterColumn colId="48" showButton="0"/>
    <filterColumn colId="50" showButton="0"/>
    <filterColumn colId="52" showButton="0"/>
    <filterColumn colId="53"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9" showButton="0"/>
    <filterColumn colId="80" showButton="0"/>
    <filterColumn colId="81" showButton="0"/>
    <filterColumn colId="82" showButton="0"/>
    <filterColumn colId="83" showButton="0"/>
    <filterColumn colId="85" showButton="0"/>
    <filterColumn colId="86" showButton="0"/>
    <filterColumn colId="87" showButton="0"/>
    <filterColumn colId="88" showButton="0"/>
    <filterColumn colId="89"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2" showButton="0"/>
    <filterColumn colId="113"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9" showButton="0"/>
    <filterColumn colId="142" showButton="0"/>
    <filterColumn colId="144" showButton="0"/>
    <filterColumn colId="145" showButton="0"/>
    <filterColumn colId="146" showButton="0"/>
    <filterColumn colId="147" showButton="0"/>
    <filterColumn colId="149" showButton="0"/>
    <filterColumn colId="150" showButton="0"/>
  </autoFilter>
  <mergeCells count="81">
    <mergeCell ref="H1:I1"/>
    <mergeCell ref="K1:L1"/>
    <mergeCell ref="AB1:AD1"/>
    <mergeCell ref="AH1:AJ1"/>
    <mergeCell ref="DK2:DM2"/>
    <mergeCell ref="K2:L2"/>
    <mergeCell ref="O2:P2"/>
    <mergeCell ref="Q2:R2"/>
    <mergeCell ref="S2:T2"/>
    <mergeCell ref="U2:V2"/>
    <mergeCell ref="M1:M4"/>
    <mergeCell ref="N1:Z1"/>
    <mergeCell ref="DE3:DG3"/>
    <mergeCell ref="CS3:CU3"/>
    <mergeCell ref="CV3:CX3"/>
    <mergeCell ref="CY3:DA3"/>
    <mergeCell ref="BC1:BE1"/>
    <mergeCell ref="BF1:CA1"/>
    <mergeCell ref="CD1:CI1"/>
    <mergeCell ref="CJ1:CO1"/>
    <mergeCell ref="CP1:DM1"/>
    <mergeCell ref="DN1:EK1"/>
    <mergeCell ref="EL1:EM1"/>
    <mergeCell ref="EO1:EP1"/>
    <mergeCell ref="EQ1:EU1"/>
    <mergeCell ref="EV1:EX1"/>
    <mergeCell ref="DB3:DD3"/>
    <mergeCell ref="AK1:AM1"/>
    <mergeCell ref="AF1:AF4"/>
    <mergeCell ref="AG1:AG4"/>
    <mergeCell ref="CB1:CB4"/>
    <mergeCell ref="BA1:BB1"/>
    <mergeCell ref="EF2:EH2"/>
    <mergeCell ref="DN2:DP2"/>
    <mergeCell ref="Y2:Z2"/>
    <mergeCell ref="CE2:CF2"/>
    <mergeCell ref="CH2:CI2"/>
    <mergeCell ref="CP2:CR2"/>
    <mergeCell ref="CS2:CU2"/>
    <mergeCell ref="CV2:CX2"/>
    <mergeCell ref="CC1:CC4"/>
    <mergeCell ref="DH3:DJ3"/>
    <mergeCell ref="DK3:DM3"/>
    <mergeCell ref="DN3:DP3"/>
    <mergeCell ref="CY2:DA2"/>
    <mergeCell ref="DB2:DD2"/>
    <mergeCell ref="DE2:DG2"/>
    <mergeCell ref="DH2:DJ2"/>
    <mergeCell ref="EI2:EK2"/>
    <mergeCell ref="K3:L3"/>
    <mergeCell ref="O3:P3"/>
    <mergeCell ref="Q3:R3"/>
    <mergeCell ref="S3:T3"/>
    <mergeCell ref="U3:V3"/>
    <mergeCell ref="W3:X3"/>
    <mergeCell ref="Y3:Z3"/>
    <mergeCell ref="CE3:CF3"/>
    <mergeCell ref="CH3:CI3"/>
    <mergeCell ref="DQ2:DS2"/>
    <mergeCell ref="DT2:DV2"/>
    <mergeCell ref="DW2:DY2"/>
    <mergeCell ref="DZ2:EB2"/>
    <mergeCell ref="EC2:EE2"/>
    <mergeCell ref="CP3:CR3"/>
    <mergeCell ref="W2:X2"/>
    <mergeCell ref="AN1:AO1"/>
    <mergeCell ref="AP1:AQ1"/>
    <mergeCell ref="AR1:AV1"/>
    <mergeCell ref="AW1:AZ1"/>
    <mergeCell ref="EV42:EX42"/>
    <mergeCell ref="DH157:DJ157"/>
    <mergeCell ref="EL157:EM157"/>
    <mergeCell ref="DZ3:EB3"/>
    <mergeCell ref="EC3:EE3"/>
    <mergeCell ref="EF3:EH3"/>
    <mergeCell ref="EI3:EK3"/>
    <mergeCell ref="DT3:DV3"/>
    <mergeCell ref="DW3:DY3"/>
    <mergeCell ref="DQ3:DS3"/>
    <mergeCell ref="EG74:EI74"/>
    <mergeCell ref="EW74:EX74"/>
  </mergeCells>
  <phoneticPr fontId="49" type="noConversion"/>
  <hyperlinks>
    <hyperlink ref="R9" r:id="rId1"/>
    <hyperlink ref="P9" r:id="rId2"/>
    <hyperlink ref="ER10" r:id="rId3"/>
    <hyperlink ref="ES10" r:id="rId4"/>
    <hyperlink ref="EU10" r:id="rId5"/>
    <hyperlink ref="R10" r:id="rId6"/>
    <hyperlink ref="P10" r:id="rId7"/>
    <hyperlink ref="X10" r:id="rId8"/>
    <hyperlink ref="CI10" r:id="rId9"/>
    <hyperlink ref="CF11" r:id="rId10"/>
    <hyperlink ref="CI11" r:id="rId11"/>
    <hyperlink ref="P33" r:id="rId12"/>
    <hyperlink ref="X33" r:id="rId13"/>
    <hyperlink ref="EQ33" r:id="rId14"/>
    <hyperlink ref="ER33" r:id="rId15"/>
    <hyperlink ref="P34" r:id="rId16"/>
    <hyperlink ref="X34" r:id="rId17"/>
    <hyperlink ref="CI34" r:id="rId18"/>
    <hyperlink ref="V34" r:id="rId19"/>
    <hyperlink ref="P32" r:id="rId20"/>
    <hyperlink ref="CF32" r:id="rId21"/>
    <hyperlink ref="CI32" r:id="rId22"/>
    <hyperlink ref="EQ32" r:id="rId23"/>
    <hyperlink ref="ER32" r:id="rId24"/>
    <hyperlink ref="P31" r:id="rId25"/>
    <hyperlink ref="X31" r:id="rId26"/>
    <hyperlink ref="EQ31" r:id="rId27"/>
    <hyperlink ref="ER31" r:id="rId28" display="http://www.volgograd.ru   "/>
    <hyperlink ref="ES31" r:id="rId29"/>
    <hyperlink ref="CI31" r:id="rId30"/>
    <hyperlink ref="P59" r:id="rId31"/>
    <hyperlink ref="T59" r:id="rId32"/>
    <hyperlink ref="ES59" r:id="rId33"/>
    <hyperlink ref="V59" r:id="rId34"/>
    <hyperlink ref="CI59" r:id="rId35"/>
    <hyperlink ref="ET59" r:id="rId36" display="https://www.youtube.com/watch?v=yStxxSP1eWg,https://www.youtube.com/watch?v=4iZ4CeBNjSQ, "/>
    <hyperlink ref="P112" r:id="rId37"/>
    <hyperlink ref="X112" r:id="rId38"/>
    <hyperlink ref="EQ112" r:id="rId39"/>
    <hyperlink ref="X187" r:id="rId40"/>
    <hyperlink ref="CF187" r:id="rId41"/>
    <hyperlink ref="CI187" r:id="rId42"/>
    <hyperlink ref="CI188" r:id="rId43"/>
    <hyperlink ref="ER188" r:id="rId44"/>
    <hyperlink ref="EQ188" r:id="rId45"/>
    <hyperlink ref="P226" display="https://depfin.admhmao.ru/gosudarstvennye-i-tselevye-programmy/gosudarstvennye-programmy/sozdanie-usloviy-dlya-effektivnogo-i-otvetstvennogo-upravleniya-munitsipalnymi-finansami-povysheniya/proekt-na-2020-2022-gody/4125373/postanovlenie-pravitelstva-khmao"/>
    <hyperlink ref="ES226" r:id="rId46"/>
    <hyperlink ref="CI64" r:id="rId47"/>
    <hyperlink ref="P64" r:id="rId48"/>
    <hyperlink ref="EQ64" r:id="rId49"/>
    <hyperlink ref="P65" r:id="rId50" tooltip="Ссылка на КонсультантПлюс" display="consultantplus://offline/ref=55AB044EF2AE989F64BAC01863E5C4A9ADFF11BADF275679A20855BC8E46D11C9C7059606921C791BA63221FB7AD46C4F510AAEFFC56605E2760CEN9c9M"/>
    <hyperlink ref="X65" r:id="rId51" tooltip="Ссылка на КонсультантПлюс" display="https://login.consultant.ru/link/?req=doc&amp;base=RLAW265&amp;n=102109&amp;dst=100002"/>
    <hyperlink ref="CI65" r:id="rId52"/>
    <hyperlink ref="EQ65" r:id="rId53"/>
    <hyperlink ref="CI66" r:id="rId54"/>
    <hyperlink ref="P66" r:id="rId55"/>
    <hyperlink ref="EQ66" r:id="rId56"/>
    <hyperlink ref="X66" r:id="rId57"/>
    <hyperlink ref="P67" r:id="rId58"/>
    <hyperlink ref="EQ67" r:id="rId59"/>
    <hyperlink ref="CI67" r:id="rId60"/>
    <hyperlink ref="DO75" r:id="rId61"/>
    <hyperlink ref="DR75" r:id="rId62"/>
    <hyperlink ref="ED75" r:id="rId63"/>
    <hyperlink ref="V76" r:id="rId64"/>
    <hyperlink ref="X50" display="Приказ Министерства финансов Калужской обл. от 31.01.2020 N 30 &quot;О реализации постановления Правительства Калужской области от 21.01.2020 N 30 &quot;Об утверждении Положения о порядке предоставления и распределения бюджетам муниципальных образований Калужской о"/>
    <hyperlink ref="EQ50" display="https://admoblkaluga.ru/sub/finan/inciativ.php "/>
    <hyperlink ref="CI50" display="https://kalugastat.gks.ru/storage/mediabank/ncXYIgHW/Численность%20постоянного%20населения%20Калужской%20области.pdf"/>
    <hyperlink ref="V50" display="Закон Калужской области от 30.12.2020 N 55-ОЗ &quot;О мерах поддержки реализации на территории Калужской области инициативных проектов&quot; (принят постановлением Законодательного Собрания Калужской области от 24.12.2020 N 118) {КонсультантПлюс}"/>
    <hyperlink ref="P50" display="Постановление Правительства Калужской области от 21.04.2017 N 232 (ред. от 26.03.2019) &quot;Об утверждении Положения о порядке предоставления бюджетам муниципальных образований Калужской области субсидий на реализацию проектов развития общественной инфраструк"/>
    <hyperlink ref="R50" display="Постановление Правительства Калужской области от 21.01.2020 N 30 (ред. от 23.12.2020) &quot;Об утверждении Положения о порядке предоставления и распределения бюджетам муниципальных образований Калужской области субсидий на реализацию инициативных проектов&quot; {Ко"/>
    <hyperlink ref="ES50" r:id="rId65"/>
    <hyperlink ref="P44" r:id="rId66"/>
    <hyperlink ref="CI44" r:id="rId67"/>
    <hyperlink ref="P45" r:id="rId68"/>
    <hyperlink ref="CI45" r:id="rId69"/>
    <hyperlink ref="DF45" r:id="rId70" display="https://krasnoznamensk.gov39.ru/formirovanie-komfortnoy-gorodskoy-sredy-na-2018-2022-gg.html,    "/>
    <hyperlink ref="CI43" r:id="rId71" tooltip="https://stavstat.gks.ru/storage/mediabank/%D0%9E%D1%86%D0%B5%D0%BD%D0%BA%D0%B0%20%D1%87%D0%B8%D1%81%D0%BB%D0%B5%D0%BD%D0%BD%D0%BE%D1%81%D1%82%D0%B8%20%D0%BD%D0%B0%D1%81%D0%B5%D0%BB%D0%B5%D0%BD%D0%B8%D1%8F%20%D0%9A%D0%91%D0%A0%20%D0%BD%D0%B0%2001.01.2020%D" display="https://stavstat.gks.ru/storage/mediabank/%D0%9E%D1%86%D0%B5%D0%BD%D0%BA%D0%B0 %D1%87%D0%B8%D1%81%D0%BB%D0%B5%D0%BD%D0%BD%D0%BE%D1%81%D1%82%D0%B8 %D0%BD%D0%B0%D1%81%D0%B5%D0%BB%D0%B5%D0%BD%D0%B8%D1%8F %D0%9A%D0%91%D0%A0 %D0%BD%D0%B0 01.01.2020%D0%B3. %D0%B8 %D0%B2 %D1%81%D1%80%D0%B5%D0%B4%D0%BD%D0%B5%D0%BC %D0%B7%D0%B0 2019%D0%B3..pdf"/>
    <hyperlink ref="P43" r:id="rId72"/>
    <hyperlink ref="X43" r:id="rId73"/>
    <hyperlink ref="P27" r:id="rId74"/>
    <hyperlink ref="ER27" r:id="rId75"/>
    <hyperlink ref="EQ27" r:id="rId76"/>
    <hyperlink ref="CI28" r:id="rId77"/>
    <hyperlink ref="P28" r:id="rId78"/>
    <hyperlink ref="X28" r:id="rId79"/>
    <hyperlink ref="EQ28" r:id="rId80"/>
    <hyperlink ref="P29" r:id="rId81"/>
    <hyperlink ref="EQ29" r:id="rId82"/>
    <hyperlink ref="EQ40" r:id="rId83"/>
    <hyperlink ref="ER40" r:id="rId84" display="http://dvp.ivanovoobl.ru/search/?type=news&amp;id=/?type=news&amp;id=42185"/>
    <hyperlink ref="ES40" r:id="rId85"/>
    <hyperlink ref="V193" r:id="rId86"/>
    <hyperlink ref="X193" r:id="rId87" display="https://docs.cntd.ru/document/463710828"/>
    <hyperlink ref="ES193" r:id="rId88"/>
    <hyperlink ref="CI194" r:id="rId89"/>
    <hyperlink ref="P194" r:id="rId90"/>
    <hyperlink ref="CF194" r:id="rId91"/>
    <hyperlink ref="ER195" r:id="rId92" display="https://ulgov.ru/news/regional/2020.12.04/58446/"/>
    <hyperlink ref="ES195" r:id="rId93"/>
    <hyperlink ref="P195" r:id="rId94"/>
    <hyperlink ref="EU195" r:id="rId95"/>
    <hyperlink ref="EQ195" r:id="rId96"/>
    <hyperlink ref="CI78" r:id="rId97"/>
    <hyperlink ref="ER78" r:id="rId98" display="https://adm.rkursk.ru/index.php?id=10&amp;mat_id=89749&amp;query=%ED%E0%F0%EE%E4%ED%FB%E9+%E1%FE%E4%E6%E5%F2+%E8%E7%E2%E5%F9%E5%ED%E8%E5+2019"/>
    <hyperlink ref="R78" r:id="rId99"/>
    <hyperlink ref="X78" r:id="rId100" display="https://adm.rkursk.ru/index.php?id=109&amp;mat_id=60146&amp;page=30&amp;sort_field=103&amp;sort_order=0&amp;year=2016"/>
    <hyperlink ref="CI82" r:id="rId101"/>
    <hyperlink ref="EU82" r:id="rId102"/>
    <hyperlink ref="X82" r:id="rId103"/>
    <hyperlink ref="AA82" r:id="rId104"/>
    <hyperlink ref="CF83" r:id="rId105"/>
    <hyperlink ref="CI83" r:id="rId106"/>
    <hyperlink ref="EU83" r:id="rId107"/>
    <hyperlink ref="X83" r:id="rId108" display="https://msu.lenobl.ru/ru/programmy-i-plany/iniciativnye-komissii-v-administrativnyh-centrah/"/>
    <hyperlink ref="EQ179" r:id="rId109"/>
    <hyperlink ref="ER179" r:id="rId110" display="https://vk.com/public188542037_x000a_"/>
    <hyperlink ref="ES179" r:id="rId111"/>
    <hyperlink ref="T179" r:id="rId112"/>
    <hyperlink ref="P180" r:id="rId113"/>
    <hyperlink ref="EQ180" r:id="rId114"/>
    <hyperlink ref="ER180" r:id="rId115" display="http://vlfin.ru/nashi-stati/lichnye-finansy/zdes-moya-kopeechka-vot-nasha-skameechka-initsiativnoe-byudzhetirovanie-prineslo-oshchutimye-plody/?sphrase_id=7835; "/>
    <hyperlink ref="ES180" r:id="rId116"/>
    <hyperlink ref="CI180" r:id="rId117"/>
    <hyperlink ref="P173" r:id="rId118"/>
    <hyperlink ref="EQ173" r:id="rId119"/>
    <hyperlink ref="CI173" r:id="rId120"/>
    <hyperlink ref="P174" r:id="rId121"/>
    <hyperlink ref="CI174" r:id="rId122"/>
    <hyperlink ref="EQ174" r:id="rId123"/>
    <hyperlink ref="P175" r:id="rId124"/>
    <hyperlink ref="CF175" r:id="rId125"/>
    <hyperlink ref="CI175" r:id="rId126"/>
    <hyperlink ref="EQ175" r:id="rId127"/>
    <hyperlink ref="ER175" r:id="rId128"/>
    <hyperlink ref="ES175" r:id="rId129"/>
    <hyperlink ref="P176" r:id="rId130"/>
    <hyperlink ref="EQ176" r:id="rId131"/>
    <hyperlink ref="CI176" r:id="rId132"/>
    <hyperlink ref="X181" r:id="rId133"/>
    <hyperlink ref="T181" r:id="rId134"/>
    <hyperlink ref="ES181" r:id="rId135"/>
    <hyperlink ref="CI183" r:id="rId136"/>
    <hyperlink ref="P183" r:id="rId137"/>
    <hyperlink ref="P184" r:id="rId138"/>
    <hyperlink ref="EQ184" r:id="rId139"/>
    <hyperlink ref="ER184" r:id="rId140"/>
    <hyperlink ref="ES184" r:id="rId141"/>
    <hyperlink ref="X184" r:id="rId142"/>
    <hyperlink ref="CI184" r:id="rId143"/>
    <hyperlink ref="X220" r:id="rId144"/>
    <hyperlink ref="CI220" r:id="rId145"/>
    <hyperlink ref="ER220" r:id="rId146" display="https://instagram.com/guvp_khabkrai, "/>
    <hyperlink ref="ES220" r:id="rId147"/>
    <hyperlink ref="P222" r:id="rId148"/>
    <hyperlink ref="EQ222" r:id="rId149"/>
    <hyperlink ref="T90" r:id="rId150" location="2i5rxv5zruk"/>
    <hyperlink ref="P90" r:id="rId151" location="25og239zvnb"/>
    <hyperlink ref="X90" r:id="rId152" location="21zi403wzt4"/>
    <hyperlink ref="X93" r:id="rId153"/>
    <hyperlink ref="ES93" r:id="rId154"/>
    <hyperlink ref="EU93" r:id="rId155"/>
    <hyperlink ref="V93" r:id="rId156"/>
    <hyperlink ref="P93" r:id="rId157"/>
    <hyperlink ref="EQ94" r:id="rId158"/>
    <hyperlink ref="R94" r:id="rId159"/>
    <hyperlink ref="T94" r:id="rId160"/>
    <hyperlink ref="CI94" r:id="rId161"/>
    <hyperlink ref="X96" r:id="rId162"/>
    <hyperlink ref="P96" r:id="rId163"/>
    <hyperlink ref="EQ96" r:id="rId164"/>
    <hyperlink ref="ES96" r:id="rId165"/>
    <hyperlink ref="ET96" r:id="rId166" display="https://vk.com/wall-160413159?day=30102020&amp;offset=140&amp;q=%D0%B4%D0%BE%D1%80%D0%BE%D0%B3%D0%B0%20%D0%BA%20%D0%B4%D0%BE%D0%BC%D1%83&amp;w=wall-176520705_156/                                 "/>
    <hyperlink ref="EU96" r:id="rId167" display="https://xn--h1ahj0a.xn--p1ai/novosti/katalog-sbornik-proektov-realizovannykh-v-2020-godu/"/>
    <hyperlink ref="CI96" r:id="rId168"/>
    <hyperlink ref="P99" r:id="rId169"/>
    <hyperlink ref="V99" r:id="rId170"/>
    <hyperlink ref="CF99" r:id="rId171"/>
    <hyperlink ref="ER99" r:id="rId172"/>
    <hyperlink ref="CT99" r:id="rId173"/>
    <hyperlink ref="ES99" r:id="rId174"/>
    <hyperlink ref="CI99" r:id="rId175"/>
    <hyperlink ref="X99" r:id="rId176"/>
    <hyperlink ref="P101" r:id="rId177" display="http://docs.cntd.ru/document/553386375"/>
    <hyperlink ref="EU101" r:id="rId178" display="https://цмпи.рф/novosti/katalog-sbornik-proektov-realizovannykh-v-2020-godu/"/>
    <hyperlink ref="EQ101" r:id="rId179" display="https://цмпи.рф/proekty/tos/"/>
    <hyperlink ref="ES101" r:id="rId180"/>
    <hyperlink ref="X101" r:id="rId181"/>
    <hyperlink ref="V101" r:id="rId182"/>
    <hyperlink ref="CI101" r:id="rId183"/>
    <hyperlink ref="P102" r:id="rId184"/>
    <hyperlink ref="V102" r:id="rId185"/>
    <hyperlink ref="CI102" r:id="rId186"/>
    <hyperlink ref="P109" r:id="rId187"/>
    <hyperlink ref="P110" r:id="rId188" location="1vcq7fd130y"/>
    <hyperlink ref="X110" r:id="rId189" location="xla28fzw0s"/>
    <hyperlink ref="CI135" r:id="rId190"/>
    <hyperlink ref="EQ135" r:id="rId191"/>
    <hyperlink ref="CI97" r:id="rId192"/>
    <hyperlink ref="ET98" r:id="rId193" display="https://apk.novreg.ru/o-planakh-realizatcii-meropriyatiy-gosprogrammy-kompleksnoe-razvitie-selskikh-territoriy-novgorodskoy-oblasti-do-2025-goda-v-2021-godu.html   ;   "/>
    <hyperlink ref="CI98" r:id="rId194"/>
    <hyperlink ref="P140" r:id="rId195"/>
    <hyperlink ref="EQ140" r:id="rId196"/>
    <hyperlink ref="ER140" r:id="rId197" display="https://twitter.com/SOdeistvie63"/>
    <hyperlink ref="EQ148" r:id="rId198"/>
    <hyperlink ref="P149" r:id="rId199"/>
    <hyperlink ref="ES149" r:id="rId200"/>
    <hyperlink ref="CF150" r:id="rId201"/>
    <hyperlink ref="EU169" r:id="rId202"/>
    <hyperlink ref="CI156" r:id="rId203"/>
    <hyperlink ref="P157" r:id="rId204"/>
    <hyperlink ref="EQ157" r:id="rId205"/>
    <hyperlink ref="CI157" r:id="rId206"/>
    <hyperlink ref="P158" r:id="rId207"/>
    <hyperlink ref="CI158" r:id="rId208"/>
    <hyperlink ref="T133" r:id="rId209"/>
    <hyperlink ref="ER133" r:id="rId210" display="https://vmeste.permkrai.ru/program/category/6/"/>
    <hyperlink ref="EQ133" r:id="rId211"/>
    <hyperlink ref="ET133" r:id="rId212" location="sel=1:9,1:11" display="https://veved.ru/perm/perm-news/152842-v-prikame-na-kraevoj-konkurs-postupilo-pochti-300-proektov-iniciativnogo-bjudzhetirovanija.html#sel=1:9,1:11"/>
    <hyperlink ref="P133" r:id="rId213"/>
    <hyperlink ref="ES133" r:id="rId214"/>
    <hyperlink ref="ED153" r:id="rId215" display="http://sakhminfin.ru/index.php/news/3293-o-rezultatakh-konkursnogo-otbora-na-predostavlenie-v-2020-godu-byudzhetam-munitsipalnykh-obrazovanij-sakhalinskoj-oblasti-subsidii-iz-oblastnogo-byudzheta-na-realizatsiyu-v-sakhalinskoj-oblasti-obshchestvenno-znachimykh-proektov-osnovannykh-na-mestnykh-in"/>
    <hyperlink ref="P153" display="https://pib.sakhminfin.ru/show/ppi_x000a_Постановление Правительства Сахалинской области от 08.02.2017 N 52 (ред. от 21.07.2020) &quot;Об отдельных вопросах реализации в Сахалинской области общественно значимых проектов, основанных на местных инициативах&quot; (вместе с "/>
    <hyperlink ref="ER153" r:id="rId216" display="https://www.facebook.com/budget65/ https:/                                                    /vk.com/budget65"/>
    <hyperlink ref="P154" display="https://pib.sakhminfin.ru/show/rt_x000a_Постановление Правительства Сахалинской области от 15.03.2018 N 90 (ред. от 07.08.2020) &quot;Об отдельных вопросах реализации в Сахалинской области общественно значимых проектов, основанных на местных инициативах, в сфере кап"/>
    <hyperlink ref="EQ154" r:id="rId217" display="https://pib.sakhminfin.ru/"/>
    <hyperlink ref="DO154" r:id="rId218"/>
    <hyperlink ref="ER154" r:id="rId219" display="https://www.facebook.com/budget65/ https:/                                                    /vk.com/budget65"/>
    <hyperlink ref="V155" r:id="rId220"/>
    <hyperlink ref="EQ155" r:id="rId221"/>
    <hyperlink ref="ER155" r:id="rId222" display="https://www.facebook.com/budget65/ https:/                                                    /vk.com/budget65"/>
    <hyperlink ref="P155" display="https://pib.sakhminfin.ru/show/mb_x000a_Постановление Правительства Сахалинской области от 29.08.2017 N 400 (ред. от 14.12.2020) &quot;Об отдельных вопросах реализации в Сахалинской области общественно значимых проектов в рамках проекта &quot;Молодежный бюджет&quot; (вместе с"/>
    <hyperlink ref="ET155" r:id="rId223" display="https://www.youtube.com/watch?v=DNii10B8ujw"/>
    <hyperlink ref="X151" r:id="rId224"/>
    <hyperlink ref="CI151" r:id="rId225"/>
    <hyperlink ref="EQ151" r:id="rId226"/>
    <hyperlink ref="ER151" r:id="rId227"/>
    <hyperlink ref="ES151" r:id="rId228"/>
    <hyperlink ref="ET151" location="'практика субъекта'!R153C2" display="Информационное освещение программы поддержки местных инициатив на территории области осуществлялось с помощью размещения информационных и новостных материалов: на официальном сайте Правительства Саратовской области, портале открытый бюджет Саратовской обл"/>
    <hyperlink ref="P151" r:id="rId229"/>
    <hyperlink ref="BC151" location="'практика субъекта'!R151C12" display="484 *"/>
    <hyperlink ref="R138" r:id="rId230"/>
    <hyperlink ref="X138" r:id="rId231"/>
    <hyperlink ref="X139" r:id="rId232"/>
    <hyperlink ref="EQ139" r:id="rId233"/>
    <hyperlink ref="CI139" r:id="rId234" display="https://ryazan.gks.ru/storage/mediabank/%D0%9E%D1%86%D0%B5%D0%BD%D0%BA%D0%B0 %D1%87%D0%B8%D1%81%D0%BB%D0%B5%D0%BD%D0%BD%D0%BE%D1%81%D1%82%D0%B8 %D0%BF%D0%BE%D1%81%D1%82%D0%BE%D1%8F%D0%BD%D0%BD%D0%BE%D0%B3%D0%BE %D0%BD%D0%B0%D1%81%D0%B5%D0%BB%D0%B5%D0%BD%D0%B8%D1%8F %D0%A0%D1%8F%D0%B7%D0%B0%D0%BD%D1%81%D0%BA%D0%BE%D0%B9 %D0%BE%D0%B1%D0%BB%D0%B0%D1%81%D1%82%D0%B8 %D0%BD%D0%B0 1 %D1%8F%D0%BD%D0%B2%D0%B0%D1%80%D1%8F 2020 %D0%B3%D0%BE%D0%B4%D0%B0.pdf"/>
    <hyperlink ref="ET139" r:id="rId235" display="https://disk.yandex.ru/d/xvUosd2ke_3_rQ"/>
    <hyperlink ref="EU139" r:id="rId236"/>
    <hyperlink ref="P139" r:id="rId237" location=":~:text=%D0%9F%D0%BE%D1%81%D1%82%D0%B0%D0%BD%D0%BE%D0%B2%D0%BB%D0%B5%D0%BD%D0%B8%D0%B5%20%D0%9F%D1%80%D0%B0%D0%B2%D0%B8%D1%82%D0%B5%D0%BB%D1%8C%D1%81%D1%82%D0%B2%D0%B0%20%D0%A0%D1%8F%D0%B7%D0%B0%D0%BD%D1%81%D0%BA%D0%BE%D0%B9%20%D0%BE%D0%B1%D0%BB%D0%B0%D1%81%D1%82%D0%B8%20%D0%BE%D1%82,84%2C%20%D0%BE%D1%82%2020.10.2016%20%E2%84%96%20242)%22" display="http://publication.pravo.gov.ru/Document/View/6200201702270003 - :~:text=%D0%9F%D0%BE%D1%81%D1%82%D0%B0%D0%BD%D0%BE%D0%B2%D0%BB%D0%B5%D0%BD%D0%B8%D0%B5%20%D0%9F%D1%80%D0%B0%D0%B2%D0%B8%D1%82%D0%B5%D0%BB%D1%8C%D1%81%D1%82%D0%B2%D0%B0%20%D0%A0%D1%8F%D0%B7%D0%B0%D0%BD%D1%81%D0%BA%D0%BE%D0%B9%20%D0%BE%D0%B1%D0%BB%D0%B0%D1%81%D1%82%D0%B8%20%D0%BE%D1%82,84%2C%20%D0%BE%D1%82%2020.10.2016%20%E2%84%96%20242)%22"/>
    <hyperlink ref="ER86" r:id="rId238"/>
    <hyperlink ref="V87" r:id="rId239"/>
    <hyperlink ref="CF87" r:id="rId240"/>
    <hyperlink ref="CI87" r:id="rId241"/>
    <hyperlink ref="EQ87" r:id="rId242"/>
    <hyperlink ref="P87" r:id="rId243"/>
    <hyperlink ref="R152" r:id="rId244"/>
    <hyperlink ref="V152" r:id="rId245"/>
    <hyperlink ref="X152" r:id="rId246"/>
    <hyperlink ref="CF152" r:id="rId247"/>
    <hyperlink ref="CI152" r:id="rId248"/>
    <hyperlink ref="EQ152" r:id="rId249"/>
    <hyperlink ref="ER152" r:id="rId250" display="https://minfin.sakha.gov.ru/initsiativnoe-bjudzhetirovanie _x000a_"/>
    <hyperlink ref="ES152" r:id="rId251"/>
    <hyperlink ref="EU152" r:id="rId252"/>
    <hyperlink ref="P152" r:id="rId253"/>
    <hyperlink ref="CI57" r:id="rId254"/>
    <hyperlink ref="EQ57" r:id="rId255" display="http://old.gov.karelia.ru/Projects/Initiatives/"/>
    <hyperlink ref="CI58" r:id="rId256"/>
    <hyperlink ref="X58" r:id="rId257"/>
    <hyperlink ref="EQ58" r:id="rId258" display="http://old.gov.karelia.ru/Projects/Initiatives/"/>
    <hyperlink ref="ES58" r:id="rId259"/>
    <hyperlink ref="P48" r:id="rId260"/>
    <hyperlink ref="CI48" r:id="rId261"/>
    <hyperlink ref="EQ48" r:id="rId262"/>
    <hyperlink ref="ER48" r:id="rId263" display="https://vesti-kalmykia.ru/news/nachinaetsya-realizaciya-razvitiya-selskih-territorij;   "/>
    <hyperlink ref="P49" r:id="rId264"/>
    <hyperlink ref="X49" r:id="rId265"/>
    <hyperlink ref="CF49" r:id="rId266"/>
    <hyperlink ref="EQ49" r:id="rId267"/>
    <hyperlink ref="ER49" r:id="rId268"/>
    <hyperlink ref="CI49" r:id="rId269"/>
    <hyperlink ref="X178" r:id="rId270"/>
    <hyperlink ref="CI178" r:id="rId271"/>
    <hyperlink ref="ES63" r:id="rId272"/>
    <hyperlink ref="EU63" r:id="rId273"/>
    <hyperlink ref="P6" r:id="rId274"/>
    <hyperlink ref="CI6" r:id="rId275"/>
    <hyperlink ref="EQ6" r:id="rId276"/>
    <hyperlink ref="ER6" r:id="rId277"/>
    <hyperlink ref="X6" r:id="rId278"/>
    <hyperlink ref="ER7" r:id="rId279" display="https://vk.com/official_ga"/>
    <hyperlink ref="ES7" r:id="rId280"/>
    <hyperlink ref="P7" r:id="rId281"/>
    <hyperlink ref="CI7" r:id="rId282"/>
    <hyperlink ref="P8" r:id="rId283"/>
    <hyperlink ref="CI8" r:id="rId284"/>
    <hyperlink ref="EQ8" r:id="rId285"/>
    <hyperlink ref="V17" r:id="rId286"/>
    <hyperlink ref="EQ17" r:id="rId287"/>
    <hyperlink ref="ER17" r:id="rId288"/>
    <hyperlink ref="ES17" r:id="rId289"/>
    <hyperlink ref="CI17" r:id="rId290"/>
    <hyperlink ref="V18" r:id="rId291"/>
    <hyperlink ref="X18" r:id="rId292"/>
    <hyperlink ref="CI18" r:id="rId293"/>
    <hyperlink ref="EQ18" r:id="rId294"/>
    <hyperlink ref="ES18" r:id="rId295"/>
    <hyperlink ref="V19" r:id="rId296"/>
    <hyperlink ref="CI19" r:id="rId297"/>
    <hyperlink ref="EP19" r:id="rId298" display="https://regionrb.info/"/>
    <hyperlink ref="EQ19" r:id="rId299"/>
    <hyperlink ref="EV36" r:id="rId300"/>
    <hyperlink ref="ES36" r:id="rId301"/>
    <hyperlink ref="R60" r:id="rId302"/>
    <hyperlink ref="X60" r:id="rId303"/>
    <hyperlink ref="P60" r:id="rId304" display="https://kirovreg.ru/publ/AkOUP.nsf/de017b98ac867075c32571440061b25c/c5cfc3177e78934f43257dcf00397b26?OpenDocument"/>
    <hyperlink ref="X61" r:id="rId305"/>
    <hyperlink ref="ES61" r:id="rId306"/>
    <hyperlink ref="P62" r:id="rId307"/>
    <hyperlink ref="EQ62" r:id="rId308"/>
    <hyperlink ref="ES62" r:id="rId309"/>
    <hyperlink ref="CI62" r:id="rId310"/>
    <hyperlink ref="CI68" r:id="rId311"/>
    <hyperlink ref="X68" r:id="rId312"/>
    <hyperlink ref="CF68" r:id="rId313"/>
    <hyperlink ref="P68" r:id="rId314"/>
    <hyperlink ref="R136" r:id="rId315" display="https://pravo.donland.ru/doc/view/id/%D0%9E%D0%B1%D0%BB%D0%B0%D1%81%D1%82%D0%BD%D0%BE%D0%B9+%D0%B7%D0%B0%D0%BA%D0%BE%D0%BD_70-%D0%97%D0%A1_25122018_11295/  "/>
    <hyperlink ref="T136" r:id="rId316" display="https://pravo.donland.ru/doc/view/id/%D0%9E%D0%B1%D0%BB%D0%B0%D1%81%D1%82%D0%BD%D0%BE%D0%B9+%D0%B7%D0%B0%D0%BA%D0%BE%D0%BD_178-%D0%97%D0%A1_01082019_12886/"/>
    <hyperlink ref="X136" r:id="rId317"/>
    <hyperlink ref="CI136" r:id="rId318"/>
    <hyperlink ref="EQ136" r:id="rId319"/>
    <hyperlink ref="ER136" r:id="rId320"/>
    <hyperlink ref="ES136" r:id="rId321"/>
    <hyperlink ref="EU136" r:id="rId322" display="https://disk.yandex.ru/client/disk/ИБ_фирменный%20стиль/ШАБЛОНЫ"/>
    <hyperlink ref="P84" r:id="rId323"/>
    <hyperlink ref="CI84" r:id="rId324"/>
    <hyperlink ref="ER84" r:id="rId325" display="http://sovetskaya22.ru/news/news/Another-court-of-Lipetsk-has-prospered-in-the-framework-of-the-Proactive-budgeting/"/>
    <hyperlink ref="CI100" r:id="rId326"/>
    <hyperlink ref="ET100" r:id="rId327" display="https://цмпи.рф/novosti/"/>
    <hyperlink ref="ES100" r:id="rId328"/>
    <hyperlink ref="CF100" r:id="rId329"/>
    <hyperlink ref="X100" r:id="rId330"/>
    <hyperlink ref="V100" r:id="rId331"/>
    <hyperlink ref="P100" r:id="rId332"/>
    <hyperlink ref="V92" r:id="rId333"/>
    <hyperlink ref="CI92" r:id="rId334"/>
    <hyperlink ref="EQ92" r:id="rId335"/>
    <hyperlink ref="EU92" r:id="rId336"/>
    <hyperlink ref="P128" r:id="rId337"/>
    <hyperlink ref="CI128" r:id="rId338"/>
    <hyperlink ref="ER128" r:id="rId339" display="https://invest-orel.ru/"/>
    <hyperlink ref="EQ128" r:id="rId340" display="https://orel-region.ru/            _x000a_57.gorodsreda.ru"/>
    <hyperlink ref="ES128" r:id="rId341"/>
    <hyperlink ref="P129" r:id="rId342"/>
    <hyperlink ref="CI129" r:id="rId343"/>
    <hyperlink ref="R130" r:id="rId344" display="http://publication.pravo.gov.ru/Document/View/5700201912040001"/>
    <hyperlink ref="X130" r:id="rId345"/>
    <hyperlink ref="CF130" r:id="rId346"/>
    <hyperlink ref="CI130" r:id="rId347"/>
    <hyperlink ref="ER130" r:id="rId348"/>
    <hyperlink ref="EQ130" r:id="rId349"/>
    <hyperlink ref="Z20" r:id="rId350"/>
    <hyperlink ref="CI20" r:id="rId351"/>
    <hyperlink ref="Z21" r:id="rId352"/>
    <hyperlink ref="ER21" r:id="rId353" display="https://blagoveshensk.bashkortostan.ru/presscenter/news/277712/"/>
    <hyperlink ref="CI21" r:id="rId354"/>
    <hyperlink ref="EU21" r:id="rId355"/>
    <hyperlink ref="Z22" r:id="rId356"/>
    <hyperlink ref="CI22" r:id="rId357"/>
    <hyperlink ref="Z23" r:id="rId358"/>
    <hyperlink ref="CI23" r:id="rId359"/>
    <hyperlink ref="CI46" r:id="rId360"/>
    <hyperlink ref="CI47" r:id="rId361"/>
    <hyperlink ref="EQ51" r:id="rId362"/>
    <hyperlink ref="EU51" r:id="rId363"/>
    <hyperlink ref="Z52" r:id="rId364"/>
    <hyperlink ref="CI52" r:id="rId365"/>
    <hyperlink ref="ER53" r:id="rId366"/>
    <hyperlink ref="EQ53" r:id="rId367"/>
    <hyperlink ref="CI53" r:id="rId368"/>
    <hyperlink ref="Z54" display="http://maloyar.ru/wp-content/uploads/2020/03/Постановление-от-5-02-2019-N101.pdf"/>
    <hyperlink ref="CI54" display="http://kalugastat.old.gks.ru/wps/wcm/connect/rosstat_ts/kalugastat/ru/statistics/population/"/>
    <hyperlink ref="EQ54" display="http://berezovka-adm.ru/programma-podderzhki-mestnyh-iniciativ.html;  http://admdetchino.ru/category/ppmi/; http://selokudinovo.ru/programma-podderzhki-mestnyh-iniciativ.html; "/>
    <hyperlink ref="Z69" r:id="rId369"/>
    <hyperlink ref="Z70" display="https://www.adm-kavkaz.ru/munitsipalnye-pravovye-akty/munitsipalnye-programmy/aktualnye-redaktsii/5624-postanovlenie-ot-20-02-2021-goda-52-o-vnesenii-izmenenij-v-postanovlenie-administratsii-kavkazskogo-selskogo-poseleniya-kavkazskogo-rajona-ot-13-noyabry"/>
    <hyperlink ref="Z71" display="http://adm-nezaymanovskaya.ru/index.php/o-nezajmanovskoj/novosti/1863-reshenie-soveta-nezajmanovskogo-selskogo-poseleniya-timashevskogo-rajona-38-ot-25-11-2020-goda-ob-utverzhdeniya-polozheniya-o-poryadke-realizatsii-initsiativnykh-proektov-v-nezajmanovsk"/>
    <hyperlink ref="Z72" display="http://adm-yeisk.ru/docs?date%5Bmin%5D%5Bmonth%5D=&amp;date%5Bmin%5D%5Bday%5D=&amp;date%5Bmin%5D%5Byear%5D=&amp;date%5Bmax%5D%5Bmonth%5D=&amp;date%5Bmax%5D%5Bday%5D=&amp;date%5Bmax%5D%5Byear%5D=&amp;field_number_value=&amp;title=342&amp;shs_term_node_tid_depth=All&amp;shs_term_node_tid_dept"/>
    <hyperlink ref="CI72" r:id="rId370"/>
    <hyperlink ref="Z77" r:id="rId371"/>
    <hyperlink ref="CI77" r:id="rId372"/>
    <hyperlink ref="CI80" r:id="rId373"/>
    <hyperlink ref="ES80" r:id="rId374"/>
    <hyperlink ref="EG80" r:id="rId375"/>
    <hyperlink ref="EU80" r:id="rId376" display="https://dzhankoy.rk.gov.ru/uploads/txteditor/dzhankoy/attachments//d4/1d/8c/d98f00b204e9800998ecf8427e/php6WgYuY_1.pdf"/>
    <hyperlink ref="EG81" r:id="rId377"/>
    <hyperlink ref="Z95" r:id="rId378"/>
    <hyperlink ref="EQ95" r:id="rId379"/>
    <hyperlink ref="CI95" r:id="rId380"/>
    <hyperlink ref="CI103" r:id="rId381"/>
    <hyperlink ref="Z104" r:id="rId382"/>
    <hyperlink ref="CI104" r:id="rId383"/>
    <hyperlink ref="Z105" r:id="rId384"/>
    <hyperlink ref="EA105" r:id="rId385"/>
    <hyperlink ref="CI105" r:id="rId386"/>
    <hyperlink ref="CI106" r:id="rId387"/>
    <hyperlink ref="Z107" r:id="rId388"/>
    <hyperlink ref="CI107" r:id="rId389"/>
    <hyperlink ref="Z108" r:id="rId390"/>
    <hyperlink ref="CI108" r:id="rId391"/>
    <hyperlink ref="Z111" r:id="rId392"/>
    <hyperlink ref="Z115" r:id="rId393"/>
    <hyperlink ref="CI115" r:id="rId394"/>
    <hyperlink ref="DO115" r:id="rId395"/>
    <hyperlink ref="EQ115" r:id="rId396"/>
    <hyperlink ref="ER115" r:id="rId397"/>
    <hyperlink ref="ES115" r:id="rId398"/>
    <hyperlink ref="Z116" r:id="rId399"/>
    <hyperlink ref="DO116" r:id="rId400"/>
    <hyperlink ref="EQ116" r:id="rId401"/>
    <hyperlink ref="ET116" r:id="rId402"/>
    <hyperlink ref="ES116" r:id="rId403"/>
    <hyperlink ref="Z117" r:id="rId404"/>
    <hyperlink ref="DF117" r:id="rId405"/>
    <hyperlink ref="EJ117" r:id="rId406"/>
    <hyperlink ref="EQ117" r:id="rId407"/>
    <hyperlink ref="ER117" r:id="rId408"/>
    <hyperlink ref="CI117" r:id="rId409"/>
    <hyperlink ref="ES117" r:id="rId410"/>
    <hyperlink ref="DO118" r:id="rId411"/>
    <hyperlink ref="EQ118" r:id="rId412"/>
    <hyperlink ref="Z118" r:id="rId413"/>
    <hyperlink ref="CI119" r:id="rId414"/>
    <hyperlink ref="Z119" r:id="rId415"/>
    <hyperlink ref="CI120" r:id="rId416"/>
    <hyperlink ref="ER120" r:id="rId417" display="https://bz.orb.ru/files/documents/narod-budget-itogi.rar"/>
    <hyperlink ref="Z121" r:id="rId418"/>
    <hyperlink ref="EQ121" r:id="rId419"/>
    <hyperlink ref="ES121" r:id="rId420"/>
    <hyperlink ref="EU121" r:id="rId421"/>
    <hyperlink ref="CI121" r:id="rId422"/>
    <hyperlink ref="Z122" r:id="rId423"/>
    <hyperlink ref="EQ122" r:id="rId424"/>
    <hyperlink ref="Z124" r:id="rId425" location="content"/>
    <hyperlink ref="CF124" r:id="rId426" location="content"/>
    <hyperlink ref="ED124" r:id="rId427" location="content"/>
    <hyperlink ref="EQ124" r:id="rId428" location="content"/>
    <hyperlink ref="ER124" r:id="rId429"/>
    <hyperlink ref="ES124" r:id="rId430" location="content"/>
    <hyperlink ref="Z125" r:id="rId431"/>
    <hyperlink ref="CI125" r:id="rId432"/>
    <hyperlink ref="EQ125" r:id="rId433"/>
    <hyperlink ref="ES125" r:id="rId434"/>
    <hyperlink ref="Z127" r:id="rId435"/>
    <hyperlink ref="EQ127" r:id="rId436"/>
    <hyperlink ref="DO127" r:id="rId437"/>
    <hyperlink ref="EQ132" r:id="rId438"/>
    <hyperlink ref="ER132" r:id="rId439" display="https://penza-gorod.ru/news/na_grantovuyu_podderzhku_initsiativ_zhiteley_v_2020_godu_napravleno_18_millionov_rubley/"/>
    <hyperlink ref="Z141" r:id="rId440" display="http://adm.syzran.ru/index.php?id=43&amp;tx_documents_fe%5Bdocument%5D=3086&amp;tx_documents_fe%5Baction%5D=show&amp;tx_documents_fe%5Bcontroller%5D=Document&amp;cHash=c5bb408fc2dbc6c4c21bc396e7836212"/>
    <hyperlink ref="EQ141" r:id="rId441"/>
    <hyperlink ref="ES141" r:id="rId442"/>
    <hyperlink ref="CI142" r:id="rId443"/>
    <hyperlink ref="Z143" r:id="rId444"/>
    <hyperlink ref="CF143" r:id="rId445"/>
    <hyperlink ref="DU143" r:id="rId446"/>
    <hyperlink ref="ES143" r:id="rId447"/>
    <hyperlink ref="EQ143" r:id="rId448"/>
    <hyperlink ref="ED143" r:id="rId449"/>
    <hyperlink ref="Z145" r:id="rId450"/>
    <hyperlink ref="CI147" r:id="rId451"/>
    <hyperlink ref="EQ147" r:id="rId452"/>
    <hyperlink ref="ER147" r:id="rId453" display="https://twitter.com/AdmSamRna/status/1372144550836379663"/>
    <hyperlink ref="Z147" r:id="rId454"/>
    <hyperlink ref="Z159" r:id="rId455"/>
    <hyperlink ref="CI159" r:id="rId456"/>
    <hyperlink ref="EQ159" r:id="rId457"/>
    <hyperlink ref="ES159" r:id="rId458"/>
    <hyperlink ref="CI160" r:id="rId459"/>
    <hyperlink ref="CI161" r:id="rId460"/>
    <hyperlink ref="Z162" r:id="rId461"/>
    <hyperlink ref="CF162" r:id="rId462" display="https://www.gks.ru/scripts/db_inet2/passport/munr.aspx?base=munst65"/>
    <hyperlink ref="CI162" r:id="rId463"/>
    <hyperlink ref="EQ162" r:id="rId464"/>
    <hyperlink ref="Z165" r:id="rId465"/>
    <hyperlink ref="CI165" r:id="rId466"/>
    <hyperlink ref="EQ165" r:id="rId467"/>
    <hyperlink ref="Z170" r:id="rId468" display="http://www.georgievsk.ru/duma/reshen/469-24.doc"/>
    <hyperlink ref="CI170" r:id="rId469"/>
    <hyperlink ref="Z171" r:id="rId470"/>
    <hyperlink ref="CF171" r:id="rId471"/>
    <hyperlink ref="Z172" r:id="rId472"/>
    <hyperlink ref="CI185" r:id="rId473"/>
    <hyperlink ref="ES185" r:id="rId474"/>
    <hyperlink ref="Z186" r:id="rId475"/>
    <hyperlink ref="CI186" r:id="rId476"/>
    <hyperlink ref="EQ186" r:id="rId477"/>
    <hyperlink ref="Z189" r:id="rId478"/>
    <hyperlink ref="CF189" r:id="rId479"/>
    <hyperlink ref="EQ189" r:id="rId480"/>
    <hyperlink ref="ES189" r:id="rId481"/>
    <hyperlink ref="ER189" r:id="rId482"/>
    <hyperlink ref="Z190" r:id="rId483"/>
    <hyperlink ref="ES190" r:id="rId484"/>
    <hyperlink ref="EQ190" r:id="rId485"/>
    <hyperlink ref="EG190" r:id="rId486"/>
    <hyperlink ref="ER190" r:id="rId487"/>
    <hyperlink ref="CI190" r:id="rId488"/>
    <hyperlink ref="Z191" r:id="rId489"/>
    <hyperlink ref="CI191" r:id="rId490"/>
    <hyperlink ref="EQ191" r:id="rId491"/>
    <hyperlink ref="ER191" r:id="rId492"/>
    <hyperlink ref="ED191" r:id="rId493"/>
    <hyperlink ref="Z192" r:id="rId494"/>
    <hyperlink ref="CI192" r:id="rId495"/>
    <hyperlink ref="Z196" r:id="rId496"/>
    <hyperlink ref="CI196" r:id="rId497"/>
    <hyperlink ref="EQ196" r:id="rId498"/>
    <hyperlink ref="Z197" r:id="rId499"/>
    <hyperlink ref="CI197" r:id="rId500"/>
    <hyperlink ref="EQ197" r:id="rId501"/>
    <hyperlink ref="EQ198" r:id="rId502"/>
    <hyperlink ref="CI198" r:id="rId503"/>
    <hyperlink ref="EQ199" r:id="rId504"/>
    <hyperlink ref="Z199" r:id="rId505"/>
    <hyperlink ref="EQ200" r:id="rId506"/>
    <hyperlink ref="Z200" r:id="rId507"/>
    <hyperlink ref="CI200" r:id="rId508"/>
    <hyperlink ref="EQ201" r:id="rId509"/>
    <hyperlink ref="CI201" r:id="rId510"/>
    <hyperlink ref="Z201" r:id="rId511"/>
    <hyperlink ref="EQ202" r:id="rId512"/>
    <hyperlink ref="CI202" r:id="rId513"/>
    <hyperlink ref="Z203" r:id="rId514"/>
    <hyperlink ref="EQ203" r:id="rId515"/>
    <hyperlink ref="ER203" r:id="rId516"/>
    <hyperlink ref="EQ204" r:id="rId517"/>
    <hyperlink ref="CI204" r:id="rId518"/>
    <hyperlink ref="Z204" r:id="rId519"/>
    <hyperlink ref="CI205" r:id="rId520"/>
    <hyperlink ref="Z205" r:id="rId521"/>
    <hyperlink ref="Z206" r:id="rId522"/>
    <hyperlink ref="EQ206" r:id="rId523"/>
    <hyperlink ref="CI206" r:id="rId524"/>
    <hyperlink ref="CF207" r:id="rId525"/>
    <hyperlink ref="EQ207" r:id="rId526"/>
    <hyperlink ref="ER207" r:id="rId527"/>
    <hyperlink ref="CU207" r:id="rId528" display="kuz-fu@mail.ru."/>
    <hyperlink ref="EB207" r:id="rId529" display="kuz-fu@mail.ru."/>
    <hyperlink ref="Z207" r:id="rId530"/>
    <hyperlink ref="CI207" r:id="rId531"/>
    <hyperlink ref="Z208" r:id="rId532"/>
    <hyperlink ref="EQ208" r:id="rId533"/>
    <hyperlink ref="CI208" r:id="rId534"/>
    <hyperlink ref="Z209" r:id="rId535"/>
    <hyperlink ref="CI209" r:id="rId536"/>
    <hyperlink ref="Z210" r:id="rId537"/>
    <hyperlink ref="EQ210" r:id="rId538"/>
    <hyperlink ref="EQ211" r:id="rId539"/>
    <hyperlink ref="Z211" r:id="rId540"/>
    <hyperlink ref="EQ212" r:id="rId541"/>
    <hyperlink ref="EQ213" r:id="rId542"/>
    <hyperlink ref="CI213" r:id="rId543"/>
    <hyperlink ref="Z213" r:id="rId544"/>
    <hyperlink ref="EQ214" r:id="rId545"/>
    <hyperlink ref="CI214" r:id="rId546"/>
    <hyperlink ref="Z215" r:id="rId547"/>
    <hyperlink ref="ET215" r:id="rId548" display="http://ulraion.ru/news/7109"/>
    <hyperlink ref="Z216" r:id="rId549"/>
    <hyperlink ref="ER216" r:id="rId550"/>
    <hyperlink ref="ES216" r:id="rId551"/>
    <hyperlink ref="CI216" r:id="rId552"/>
    <hyperlink ref="Z217" r:id="rId553"/>
    <hyperlink ref="EQ217" r:id="rId554"/>
    <hyperlink ref="EQ218" r:id="rId555"/>
    <hyperlink ref="CI218" r:id="rId556"/>
    <hyperlink ref="Z218" r:id="rId557"/>
    <hyperlink ref="Z219" r:id="rId558"/>
    <hyperlink ref="CI219" r:id="rId559"/>
    <hyperlink ref="EQ219" r:id="rId560"/>
    <hyperlink ref="Z223" r:id="rId561"/>
    <hyperlink ref="ED223" r:id="rId562"/>
    <hyperlink ref="EQ223" r:id="rId563"/>
    <hyperlink ref="CI273" r:id="rId564"/>
    <hyperlink ref="X273" r:id="rId565"/>
    <hyperlink ref="T273" r:id="rId566"/>
    <hyperlink ref="X276" r:id="rId567"/>
    <hyperlink ref="EQ276" r:id="rId568" display="http://www.agro.cap.ru/action/activity/iniciativnoe-byudzhetirovanie "/>
    <hyperlink ref="CI276" r:id="rId569"/>
    <hyperlink ref="V276" r:id="rId570"/>
    <hyperlink ref="R276" r:id="rId571" display="http://www.cap.ru/doc/laws/2020/02/03/ruling-40"/>
    <hyperlink ref="P276" r:id="rId572" display="http://agro.cap.ru/action/activity/"/>
    <hyperlink ref="P311" r:id="rId573"/>
    <hyperlink ref="CI311" r:id="rId574"/>
    <hyperlink ref="X311" r:id="rId575"/>
    <hyperlink ref="ES311" r:id="rId576"/>
    <hyperlink ref="EQ311" r:id="rId577"/>
    <hyperlink ref="Z227" r:id="rId578"/>
    <hyperlink ref="CI227" r:id="rId579"/>
    <hyperlink ref="DF227" r:id="rId580"/>
    <hyperlink ref="DO227" r:id="rId581"/>
    <hyperlink ref="EQ227" r:id="rId582"/>
    <hyperlink ref="EU227" r:id="rId583"/>
    <hyperlink ref="EQ228" r:id="rId584"/>
    <hyperlink ref="CI228" r:id="rId585"/>
    <hyperlink ref="Y229" r:id="rId586" tooltip="постановление от 20.01.2020 0:00:00 №74 Администрация города Урай_x000a__x000a_О внесении изменений в приложение к постановлению администрации города Урай от 16.08.2019 № 2041" display="C:\content\act\35581dd1-0443-46c4-8a2c-722cb44c855c.doc"/>
    <hyperlink ref="Z229" r:id="rId587"/>
    <hyperlink ref="EQ229" r:id="rId588"/>
    <hyperlink ref="ER229" r:id="rId589" display="http://uray.ru/"/>
    <hyperlink ref="ES229" r:id="rId590"/>
    <hyperlink ref="EU229" r:id="rId591"/>
    <hyperlink ref="EQ230" r:id="rId592"/>
    <hyperlink ref="CI230" r:id="rId593"/>
    <hyperlink ref="Z230" r:id="rId594"/>
    <hyperlink ref="ER230" r:id="rId595" display="https://instagram.com/budget_news_admsr?igshid=1lzenc868lcxw"/>
    <hyperlink ref="CF231" r:id="rId596"/>
    <hyperlink ref="CI231" r:id="rId597"/>
    <hyperlink ref="ES231" r:id="rId598"/>
    <hyperlink ref="Z231" r:id="rId599"/>
    <hyperlink ref="Z232" r:id="rId600"/>
    <hyperlink ref="CI232" r:id="rId601" display="https://www.admrad.ru/%d0%b8%d1%82%d0%be%d0%b3%d0%b8-%d1%81%d0%be%d1%86%d0%b8%d0%b0%d0%bb%d1%8c%d0%bd%d0%be-%d1%8d%d0%ba%d0%be%d0%bd%d0%be%d0%bc%d0%b8%d1%87%d0%b5%d1%81%d0%ba%d0%be%d0%b3%d0%be-%d1%80%d0%b0%d0%b7%d0%b2-16/"/>
    <hyperlink ref="ET232" r:id="rId602"/>
    <hyperlink ref="Z233" r:id="rId603" display="http://oktregion.ru/ekonomika-i-finansy/byudzhet-dlya-grazhdan/initsiativnoe-byudzhetirovanie/konkursy-proektov-initsiativnogo-byudzhetirovaniya/konkurs-proektov-initsiativnogo-byudzhetirovaniya-2020-god-55/"/>
    <hyperlink ref="EQ233" r:id="rId604"/>
    <hyperlink ref="CI233" r:id="rId605"/>
    <hyperlink ref="Z234" r:id="rId606"/>
    <hyperlink ref="EQ234" r:id="rId607"/>
    <hyperlink ref="CI234" r:id="rId608"/>
    <hyperlink ref="Z235" r:id="rId609"/>
    <hyperlink ref="EG235" r:id="rId610"/>
    <hyperlink ref="EQ235" r:id="rId611"/>
    <hyperlink ref="ER235" r:id="rId612"/>
    <hyperlink ref="Z236" r:id="rId613"/>
    <hyperlink ref="CI236" r:id="rId614"/>
    <hyperlink ref="Z237" r:id="rId615"/>
    <hyperlink ref="CI237" r:id="rId616" display="http://xn----7sbiew6aadnema7p.xn--p1ai/sity_id.php?id=72"/>
    <hyperlink ref="DO237" r:id="rId617" display="https://www.n-vartovsk.ru/ibudget/"/>
    <hyperlink ref="DO238" r:id="rId618"/>
    <hyperlink ref="EQ238" r:id="rId619"/>
    <hyperlink ref="Z238" r:id="rId620"/>
    <hyperlink ref="EG238" r:id="rId621"/>
    <hyperlink ref="EQ239" r:id="rId622" display="http://www.admnyagan.ru/?page=inf_dlj_nas/info.php&amp;razd_id=30"/>
    <hyperlink ref="ES239" r:id="rId623"/>
    <hyperlink ref="CI239" r:id="rId624"/>
    <hyperlink ref="EQ240" r:id="rId625" display="https://www.gp-izluchinsk.ru/budjetgp/initsiativnoe-byudzhetirovanie/2020.php  "/>
    <hyperlink ref="Z240" r:id="rId626" display="http://nvraion.ru/ekonomika-i-finansy/initsiativnoe-byudzhetirovanie/"/>
    <hyperlink ref="ES240" r:id="rId627"/>
    <hyperlink ref="CI240" r:id="rId628"/>
    <hyperlink ref="CQ240" r:id="rId629"/>
    <hyperlink ref="DF240" r:id="rId630" display="https://gp-izluchinsk.ru/obshchestvennoe-obsuzhdenie2/2430-1/_x000a_"/>
    <hyperlink ref="Z242" r:id="rId631" display="http://www.admugansk.ru/category/1496?page=2_x000a_"/>
    <hyperlink ref="CI242" r:id="rId632"/>
    <hyperlink ref="EQ242" r:id="rId633"/>
    <hyperlink ref="Z243" r:id="rId634"/>
    <hyperlink ref="CI243" r:id="rId635"/>
    <hyperlink ref="EQ243" r:id="rId636"/>
    <hyperlink ref="Z244" r:id="rId637" display="http://admlangepas.ru/open-budget/proactive-budgeting/legal-regulation2870/municipal-legal-acts5266/"/>
    <hyperlink ref="CF244" r:id="rId638"/>
    <hyperlink ref="EQ244" r:id="rId639"/>
    <hyperlink ref="Z245" display="http://www.admkogalym.ru/economics/budget/initsiativnoe-byudzhetirovanie/proekt-po-podderzhke-mestnykh-initsiativ-v-gorode-kogalyme/konkursnyy-otbor-proektov-initsiativ-grazhdan-po-voprosam-mestnogo-znacheniya-v-gorode-kogalyme/2020/normativno-pravovye-ak"/>
    <hyperlink ref="CI245" r:id="rId640"/>
    <hyperlink ref="EQ245" r:id="rId641"/>
    <hyperlink ref="EQ246" r:id="rId642"/>
    <hyperlink ref="Z246" r:id="rId643"/>
    <hyperlink ref="CQ246" r:id="rId644"/>
    <hyperlink ref="CT246" r:id="rId645"/>
    <hyperlink ref="ED246" r:id="rId646"/>
    <hyperlink ref="DL247" r:id="rId647" display="https://taiga.admsov.com/action/in-bu.php"/>
    <hyperlink ref="DF247" r:id="rId648"/>
    <hyperlink ref="ER247" r:id="rId649"/>
    <hyperlink ref="Z248" r:id="rId650"/>
    <hyperlink ref="EQ248" r:id="rId651"/>
    <hyperlink ref="ER248" r:id="rId652"/>
    <hyperlink ref="ET248" r:id="rId653"/>
    <hyperlink ref="EU248" r:id="rId654"/>
    <hyperlink ref="CI248" r:id="rId655"/>
    <hyperlink ref="ER249" r:id="rId656" display="http://adm.samza.ru/initsiativnoe-byudzhetirovanie/ "/>
    <hyperlink ref="CI250" r:id="rId657"/>
    <hyperlink ref="Z251" r:id="rId658"/>
    <hyperlink ref="DP251" r:id="rId659" display="https://vk.com/id84654767?w=wall84654767_1304"/>
    <hyperlink ref="CI251" r:id="rId660"/>
    <hyperlink ref="DO251" r:id="rId661"/>
    <hyperlink ref="CI252" r:id="rId662"/>
    <hyperlink ref="Z253" r:id="rId663"/>
    <hyperlink ref="Z255" r:id="rId664"/>
    <hyperlink ref="Z256" r:id="rId665"/>
    <hyperlink ref="CT256" r:id="rId666"/>
    <hyperlink ref="EG256" r:id="rId667"/>
    <hyperlink ref="Z257" r:id="rId668"/>
    <hyperlink ref="Z258" r:id="rId669"/>
    <hyperlink ref="ED258" r:id="rId670"/>
    <hyperlink ref="EQ258" r:id="rId671" display="http://lugovoikonda.ru/narodnyy-byudzhet.html"/>
    <hyperlink ref="ET258" r:id="rId672" display="https://ok.ru/group/60701864427563/topic/152131261537067"/>
    <hyperlink ref="CQ258" r:id="rId673" display="https://ok.ru/group/60701864427563/topic/152131261537067 "/>
    <hyperlink ref="DF258" r:id="rId674"/>
    <hyperlink ref="Z259" r:id="rId675"/>
    <hyperlink ref="ED259" r:id="rId676"/>
    <hyperlink ref="Z260" r:id="rId677"/>
    <hyperlink ref="EG260" r:id="rId678"/>
    <hyperlink ref="EQ260" r:id="rId679"/>
    <hyperlink ref="Z261" r:id="rId680"/>
    <hyperlink ref="CI261" r:id="rId681"/>
    <hyperlink ref="ED261" r:id="rId682"/>
    <hyperlink ref="EQ261" r:id="rId683"/>
    <hyperlink ref="Z262" r:id="rId684"/>
    <hyperlink ref="CI262" r:id="rId685"/>
    <hyperlink ref="ED262" r:id="rId686"/>
    <hyperlink ref="EQ262" r:id="rId687" location="prettyPhoto"/>
    <hyperlink ref="CQ263" r:id="rId688"/>
    <hyperlink ref="DO263" r:id="rId689"/>
    <hyperlink ref="Z263" r:id="rId690"/>
    <hyperlink ref="Z264" r:id="rId691"/>
    <hyperlink ref="EQ264" r:id="rId692"/>
    <hyperlink ref="CI264" r:id="rId693"/>
    <hyperlink ref="Z265" r:id="rId694"/>
    <hyperlink ref="EQ265" r:id="rId695"/>
    <hyperlink ref="ER265" r:id="rId696"/>
    <hyperlink ref="CI266" r:id="rId697"/>
    <hyperlink ref="EG266" r:id="rId698"/>
    <hyperlink ref="Z267" r:id="rId699" location="tabs-container1"/>
    <hyperlink ref="CI267" r:id="rId700"/>
    <hyperlink ref="CQ267" r:id="rId701" location="tabs-container3"/>
    <hyperlink ref="EG267" r:id="rId702" location="tabs-container4"/>
    <hyperlink ref="Z268" r:id="rId703" location="tabs-container1"/>
    <hyperlink ref="CI268" r:id="rId704"/>
    <hyperlink ref="Z269" r:id="rId705" location="tabs-container1"/>
    <hyperlink ref="CI269" r:id="rId706"/>
    <hyperlink ref="CT269" r:id="rId707" location="tabs-container5"/>
    <hyperlink ref="EG269" r:id="rId708" location="tabs-container2"/>
    <hyperlink ref="Z270" r:id="rId709" location="tabs-container2"/>
    <hyperlink ref="CI270" r:id="rId710"/>
    <hyperlink ref="EG270" r:id="rId711"/>
    <hyperlink ref="Z271" r:id="rId712"/>
    <hyperlink ref="CI271" r:id="rId713"/>
    <hyperlink ref="EG271" r:id="rId714"/>
    <hyperlink ref="CI272" r:id="rId715"/>
    <hyperlink ref="EG272" r:id="rId716"/>
    <hyperlink ref="Z274" r:id="rId717"/>
    <hyperlink ref="EQ274" r:id="rId718" display="http://budget.magnitogorsk.ru/Menu/Presentation/110?ItemId=110"/>
    <hyperlink ref="ER274" r:id="rId719"/>
    <hyperlink ref="Z277" r:id="rId720" display="http://gcheb.cap.ru/doc/laws/2018/02/09/postanovlenie201_x000a_"/>
    <hyperlink ref="EQ277" r:id="rId721"/>
    <hyperlink ref="CI277" r:id="rId722"/>
    <hyperlink ref="Z279" r:id="rId723"/>
    <hyperlink ref="Z281" r:id="rId724" display="https://docs.cntd.ru/document/561701850"/>
    <hyperlink ref="DL281" r:id="rId725"/>
    <hyperlink ref="DO281" r:id="rId726" display="https://xn--80adblbabq1bk1bi8r.xn--p1ai/votings/1297"/>
    <hyperlink ref="ED281" r:id="rId727"/>
    <hyperlink ref="EQ281" r:id="rId728"/>
    <hyperlink ref="ES281" r:id="rId729"/>
    <hyperlink ref="CI281" r:id="rId730" location="1"/>
    <hyperlink ref="ER281" r:id="rId731" display="http://sh2.edushd.ru/partisipatornoe-byudzhetirovanie/index.php"/>
    <hyperlink ref="EQ282" r:id="rId732"/>
    <hyperlink ref="Z283" r:id="rId733"/>
    <hyperlink ref="EQ283" r:id="rId734"/>
    <hyperlink ref="ER283" r:id="rId735" display="http://www.newurengoy.ru/"/>
    <hyperlink ref="Z284" r:id="rId736"/>
    <hyperlink ref="CT284" r:id="rId737"/>
    <hyperlink ref="DL284" r:id="rId738"/>
    <hyperlink ref="EQ284" r:id="rId739"/>
    <hyperlink ref="ER284" r:id="rId740" display="http://budget.depfinnbr.ru/initsiativnoe-byudzhetirovanie/proekt-ritm"/>
    <hyperlink ref="ES284" r:id="rId741"/>
    <hyperlink ref="EQ285" r:id="rId742"/>
    <hyperlink ref="ER285" r:id="rId743" display="http://www.muravlenko24.ru/"/>
    <hyperlink ref="Z285" r:id="rId744" display="http://muravlenko.yanao.ru/ekonomika-i-zhkh/municipalnye-finansy/bjudzhetnaya-iniciativa-grazhdan/dokumenty-bjudzhetnaya-iniciativa-grazhdan/49980-postanovlenie-o-realizacii-proekta-byudzhetnaya-iniciativa-grazhdan-na-territorii-goroda-muravlenko.html"/>
    <hyperlink ref="CI286" r:id="rId745"/>
    <hyperlink ref="DO286" r:id="rId746"/>
    <hyperlink ref="ES286" r:id="rId747"/>
    <hyperlink ref="EQ286" r:id="rId748"/>
    <hyperlink ref="Z287" r:id="rId749"/>
    <hyperlink ref="EQ287" r:id="rId750"/>
    <hyperlink ref="CI287" r:id="rId751"/>
    <hyperlink ref="CF287" r:id="rId752"/>
    <hyperlink ref="Z288" r:id="rId753"/>
    <hyperlink ref="EQ288" r:id="rId754"/>
    <hyperlink ref="CI288" r:id="rId755"/>
    <hyperlink ref="CF288" r:id="rId756"/>
    <hyperlink ref="EQ289" r:id="rId757"/>
    <hyperlink ref="Z291" r:id="rId758"/>
    <hyperlink ref="CI291" r:id="rId759"/>
    <hyperlink ref="ED291" r:id="rId760"/>
    <hyperlink ref="EG291" r:id="rId761"/>
    <hyperlink ref="DO291" r:id="rId762"/>
    <hyperlink ref="ER291" r:id="rId763"/>
    <hyperlink ref="ES291" r:id="rId764"/>
    <hyperlink ref="Z292" r:id="rId765" display="http://azov-adm.ru/documents/2777.html"/>
    <hyperlink ref="EQ292" r:id="rId766"/>
    <hyperlink ref="Z293" r:id="rId767" display="http://adm-gorki.ru/documents/224.html"/>
    <hyperlink ref="EQ293" r:id="rId768"/>
    <hyperlink ref="ER293" r:id="rId769"/>
    <hyperlink ref="Z294" r:id="rId770"/>
    <hyperlink ref="EQ294" r:id="rId771"/>
    <hyperlink ref="Z295" r:id="rId772" display="http://adm-muji.ru/dokumenty-0.html"/>
    <hyperlink ref="EQ295" r:id="rId773"/>
    <hyperlink ref="Z296" r:id="rId774" display="http://www.admin-moovg.ru/documents/1255.html; "/>
    <hyperlink ref="EQ296" r:id="rId775"/>
    <hyperlink ref="EQ297" r:id="rId776"/>
    <hyperlink ref="Z297" r:id="rId777"/>
    <hyperlink ref="Z298" r:id="rId778" display="http://adminshur.ru/budjetnaya_iniciativa_grajdan_2019"/>
    <hyperlink ref="Z299" r:id="rId779"/>
    <hyperlink ref="EQ299" r:id="rId780"/>
    <hyperlink ref="Z300" r:id="rId781"/>
    <hyperlink ref="CT300" r:id="rId782"/>
    <hyperlink ref="EG300" r:id="rId783"/>
    <hyperlink ref="EQ300" r:id="rId784"/>
    <hyperlink ref="CQ300" r:id="rId785"/>
    <hyperlink ref="DO301" r:id="rId786"/>
    <hyperlink ref="DF301" r:id="rId787"/>
    <hyperlink ref="ER301" r:id="rId788" display="https://vk.com/yamaltv"/>
    <hyperlink ref="CT301" r:id="rId789"/>
    <hyperlink ref="CI301" r:id="rId790"/>
    <hyperlink ref="DR301" r:id="rId791"/>
    <hyperlink ref="ES301" r:id="rId792"/>
    <hyperlink ref="Z302" r:id="rId793" display="https://tasu.ru/files/819.pdf "/>
    <hyperlink ref="EQ302" r:id="rId794" display="https://tasu.ru/ekonomika-i-finansy/initsiativnoe-byudzhetirovanie/, "/>
    <hyperlink ref="ES302" r:id="rId795" display="https://tasu.ru/ekonomika-i-finansy/initsiativnoe-byudzhetirovanie/, "/>
    <hyperlink ref="Z303" r:id="rId796" display="https://www.puradm.ru/one-doc/8209"/>
    <hyperlink ref="CI303" r:id="rId797"/>
    <hyperlink ref="ED303" r:id="rId798"/>
    <hyperlink ref="Z304" r:id="rId799"/>
    <hyperlink ref="CI304" r:id="rId800"/>
    <hyperlink ref="ER304" r:id="rId801" display="https://trk-luch.ru/news/the-urengoy-budget-for-next-year-amounted-to-almost-half-a-billion-rubles/"/>
    <hyperlink ref="ED304" r:id="rId802"/>
    <hyperlink ref="Z305" r:id="rId803"/>
    <hyperlink ref="CI305" r:id="rId804"/>
    <hyperlink ref="EQ305" r:id="rId805"/>
    <hyperlink ref="ED305" r:id="rId806"/>
    <hyperlink ref="ER305" r:id="rId807"/>
    <hyperlink ref="Z306" r:id="rId808"/>
    <hyperlink ref="CI306" r:id="rId809"/>
    <hyperlink ref="CT306" r:id="rId810"/>
    <hyperlink ref="ED306" r:id="rId811"/>
    <hyperlink ref="EQ306" r:id="rId812"/>
    <hyperlink ref="ER306" r:id="rId813" display="https://trk-luch.ru/news/from-idea-to-implementation/?sphrase_id=66413"/>
    <hyperlink ref="Z307" r:id="rId814"/>
    <hyperlink ref="CT307" r:id="rId815"/>
    <hyperlink ref="EQ307" r:id="rId816"/>
    <hyperlink ref="ER307" r:id="rId817" display="https://vk.com/purovskoe?w=wall-171792864_1132%2Fall"/>
    <hyperlink ref="CI307" r:id="rId818"/>
    <hyperlink ref="CI308" r:id="rId819"/>
    <hyperlink ref="Z308" r:id="rId820"/>
    <hyperlink ref="ER308" r:id="rId821"/>
    <hyperlink ref="Z309" r:id="rId822"/>
    <hyperlink ref="CI309" r:id="rId823"/>
    <hyperlink ref="EQ309" r:id="rId824"/>
    <hyperlink ref="ED309" r:id="rId825"/>
    <hyperlink ref="CI310" r:id="rId826"/>
    <hyperlink ref="Z310" r:id="rId827"/>
    <hyperlink ref="EQ310" r:id="rId828"/>
    <hyperlink ref="P35" r:id="rId829"/>
    <hyperlink ref="X35" r:id="rId830"/>
    <hyperlink ref="EG35" r:id="rId831"/>
    <hyperlink ref="CI35" r:id="rId832"/>
    <hyperlink ref="ER35" r:id="rId833" display="https://smovrn.ru/; "/>
    <hyperlink ref="ES35" r:id="rId834"/>
    <hyperlink ref="V35" r:id="rId835" display="https://pravo.govvrn.ru/?q=node/21716"/>
    <hyperlink ref="EQ73" r:id="rId836"/>
    <hyperlink ref="ES73" r:id="rId837"/>
    <hyperlink ref="ET73" r:id="rId838" display="Полная информация по данному пункту в приложении по ссылке:  _x000a_https://drive.google.com/drive/folders/1DE9chLlpWEIxXzAEP29bRuiaM75OjS7X?usp=sharing"/>
    <hyperlink ref="EU73" r:id="rId839" display="Виды использованных информационных, раздаточных материалов, инфографики представлены по ссылке  https://drive.google.com/drive/folders/1br92umljQK8zz6VbQ0F7_ZPfWFIoDt6_?usp=sharing_x000a_https://drive.google.com/drive/folders/1br92umljQK8zz6VbQ0F7_ZPfWFIoDt6_?u"/>
    <hyperlink ref="EV73" r:id="rId840" display="Полная информация по данному пункту в приложении по ссылке:  _x000a_https://drive.google.com/file/d/1xY6AfDlDaFBcq6uw10L6DbF8YgAVK1-P/view?usp=sharing"/>
    <hyperlink ref="P73" r:id="rId841"/>
    <hyperlink ref="CI73" r:id="rId842"/>
    <hyperlink ref="T73" r:id="rId843"/>
    <hyperlink ref="ER74" r:id="rId844"/>
    <hyperlink ref="CJ74" r:id="rId845"/>
    <hyperlink ref="Z15" r:id="rId846"/>
    <hyperlink ref="CI15" r:id="rId847"/>
    <hyperlink ref="Z16" r:id="rId848"/>
    <hyperlink ref="P177" r:id="rId849"/>
    <hyperlink ref="R177" r:id="rId850"/>
    <hyperlink ref="O12" r:id="rId851"/>
    <hyperlink ref="X12" r:id="rId852"/>
    <hyperlink ref="ER12" r:id="rId853"/>
  </hyperlinks>
  <pageMargins left="0.7" right="0.7" top="0.75" bottom="0.75" header="0.3" footer="0.3"/>
  <legacyDrawing r:id="rId85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CW308"/>
  <sheetViews>
    <sheetView topLeftCell="B1" zoomScale="50" zoomScaleNormal="50" workbookViewId="0">
      <pane xSplit="8" ySplit="2" topLeftCell="J3" activePane="bottomRight" state="frozen"/>
      <selection activeCell="B1" sqref="B1"/>
      <selection pane="topRight" activeCell="J1" sqref="J1"/>
      <selection pane="bottomLeft" activeCell="B3" sqref="B3"/>
      <selection pane="bottomRight" activeCell="O3" sqref="O3"/>
    </sheetView>
  </sheetViews>
  <sheetFormatPr defaultColWidth="11.42578125" defaultRowHeight="15" x14ac:dyDescent="0.25"/>
  <cols>
    <col min="3" max="3" width="15.28515625" customWidth="1"/>
    <col min="7" max="7" width="22.7109375" customWidth="1"/>
    <col min="16" max="17" width="13.7109375" customWidth="1"/>
    <col min="24" max="24" width="11.42578125" style="388"/>
    <col min="25" max="25" width="14" customWidth="1"/>
    <col min="32" max="32" width="11.42578125" style="388"/>
    <col min="41" max="42" width="11.42578125" style="388"/>
    <col min="49" max="49" width="18.42578125" customWidth="1"/>
    <col min="55" max="55" width="11.42578125" style="388"/>
    <col min="57" max="58" width="11.42578125" style="388"/>
    <col min="60" max="60" width="13.7109375" customWidth="1"/>
    <col min="70" max="70" width="11.42578125" style="388"/>
    <col min="81" max="81" width="11.42578125" style="388"/>
    <col min="89" max="89" width="11.42578125" style="388"/>
    <col min="94" max="94" width="11.42578125" style="388"/>
    <col min="97" max="97" width="11.42578125" style="388"/>
    <col min="101" max="101" width="10.85546875" style="286"/>
  </cols>
  <sheetData>
    <row r="1" spans="1:101" ht="15.75" thickBot="1" x14ac:dyDescent="0.3">
      <c r="Q1" s="275" t="s">
        <v>287</v>
      </c>
      <c r="R1" s="276" t="s">
        <v>288</v>
      </c>
      <c r="S1" s="277" t="s">
        <v>289</v>
      </c>
      <c r="T1" s="277" t="s">
        <v>290</v>
      </c>
      <c r="U1" s="276" t="s">
        <v>291</v>
      </c>
      <c r="V1" s="276" t="s">
        <v>292</v>
      </c>
      <c r="W1" s="276" t="s">
        <v>293</v>
      </c>
      <c r="X1" s="386" t="s">
        <v>294</v>
      </c>
      <c r="Y1" s="278" t="s">
        <v>295</v>
      </c>
      <c r="Z1" s="278" t="s">
        <v>296</v>
      </c>
      <c r="AA1" s="278" t="s">
        <v>297</v>
      </c>
      <c r="AB1" s="106" t="s">
        <v>298</v>
      </c>
      <c r="AC1" s="279" t="s">
        <v>299</v>
      </c>
      <c r="AD1" s="279" t="s">
        <v>300</v>
      </c>
      <c r="AE1" s="384" t="s">
        <v>301</v>
      </c>
      <c r="AF1" s="391" t="s">
        <v>302</v>
      </c>
      <c r="AG1" s="279" t="s">
        <v>303</v>
      </c>
      <c r="AH1" s="384" t="s">
        <v>304</v>
      </c>
      <c r="AI1" s="384" t="s">
        <v>305</v>
      </c>
      <c r="AJ1" s="279" t="s">
        <v>306</v>
      </c>
      <c r="AK1" s="279" t="s">
        <v>307</v>
      </c>
      <c r="AL1" s="278" t="s">
        <v>308</v>
      </c>
      <c r="AM1" s="278" t="s">
        <v>309</v>
      </c>
      <c r="AN1" s="278" t="s">
        <v>310</v>
      </c>
      <c r="AO1" s="392" t="s">
        <v>311</v>
      </c>
      <c r="AP1" s="392" t="s">
        <v>312</v>
      </c>
      <c r="AQ1" s="278" t="s">
        <v>313</v>
      </c>
      <c r="AR1" s="278" t="s">
        <v>314</v>
      </c>
      <c r="AS1" s="278" t="s">
        <v>315</v>
      </c>
      <c r="AT1" s="278" t="s">
        <v>316</v>
      </c>
      <c r="AU1" s="278" t="s">
        <v>317</v>
      </c>
      <c r="AV1" s="278" t="s">
        <v>318</v>
      </c>
      <c r="AW1" s="278" t="s">
        <v>319</v>
      </c>
      <c r="AX1" s="278" t="s">
        <v>320</v>
      </c>
      <c r="AY1" s="278" t="s">
        <v>321</v>
      </c>
      <c r="AZ1" s="394" t="s">
        <v>322</v>
      </c>
      <c r="BA1" s="278" t="s">
        <v>323</v>
      </c>
      <c r="BB1" s="278" t="s">
        <v>324</v>
      </c>
      <c r="BC1" s="392" t="s">
        <v>325</v>
      </c>
      <c r="BD1" s="278" t="s">
        <v>326</v>
      </c>
      <c r="BE1" s="392" t="s">
        <v>327</v>
      </c>
      <c r="BF1" s="392" t="s">
        <v>328</v>
      </c>
      <c r="BG1" s="278" t="s">
        <v>329</v>
      </c>
      <c r="BH1" s="278" t="s">
        <v>330</v>
      </c>
      <c r="BI1" s="278" t="s">
        <v>331</v>
      </c>
      <c r="BJ1" s="278" t="s">
        <v>332</v>
      </c>
      <c r="BK1" s="278" t="s">
        <v>333</v>
      </c>
      <c r="BL1" s="278" t="s">
        <v>334</v>
      </c>
      <c r="BM1" s="278" t="s">
        <v>335</v>
      </c>
      <c r="BN1" s="278" t="s">
        <v>336</v>
      </c>
      <c r="BO1" s="278" t="s">
        <v>337</v>
      </c>
      <c r="BP1" s="278" t="s">
        <v>338</v>
      </c>
      <c r="BQ1" s="278" t="s">
        <v>339</v>
      </c>
      <c r="BR1" s="392" t="s">
        <v>340</v>
      </c>
      <c r="BS1" s="278" t="s">
        <v>341</v>
      </c>
      <c r="BT1" s="278" t="s">
        <v>342</v>
      </c>
      <c r="BU1" s="278" t="s">
        <v>343</v>
      </c>
      <c r="BV1" s="278" t="s">
        <v>344</v>
      </c>
      <c r="BW1" s="278" t="s">
        <v>345</v>
      </c>
      <c r="BX1" s="278" t="s">
        <v>346</v>
      </c>
      <c r="BY1" s="278" t="s">
        <v>347</v>
      </c>
      <c r="BZ1" s="278" t="s">
        <v>348</v>
      </c>
      <c r="CA1" s="278" t="s">
        <v>349</v>
      </c>
      <c r="CB1" s="394" t="s">
        <v>350</v>
      </c>
      <c r="CC1" s="392" t="s">
        <v>351</v>
      </c>
      <c r="CD1" s="278" t="s">
        <v>352</v>
      </c>
      <c r="CE1" s="278" t="s">
        <v>353</v>
      </c>
      <c r="CF1" s="278" t="s">
        <v>354</v>
      </c>
      <c r="CG1" s="278" t="s">
        <v>355</v>
      </c>
      <c r="CH1" s="278" t="s">
        <v>356</v>
      </c>
      <c r="CI1" s="278" t="s">
        <v>357</v>
      </c>
      <c r="CJ1" s="278" t="s">
        <v>358</v>
      </c>
      <c r="CK1" s="392" t="s">
        <v>359</v>
      </c>
      <c r="CL1" s="278" t="s">
        <v>360</v>
      </c>
      <c r="CM1" s="278" t="s">
        <v>361</v>
      </c>
      <c r="CN1" s="278" t="s">
        <v>362</v>
      </c>
      <c r="CO1" s="278" t="s">
        <v>363</v>
      </c>
      <c r="CP1" s="392" t="s">
        <v>364</v>
      </c>
      <c r="CQ1" s="278" t="s">
        <v>365</v>
      </c>
      <c r="CR1" s="278" t="s">
        <v>366</v>
      </c>
      <c r="CS1" s="392" t="s">
        <v>367</v>
      </c>
      <c r="CT1" s="278" t="s">
        <v>368</v>
      </c>
      <c r="CU1" s="278" t="s">
        <v>369</v>
      </c>
      <c r="CV1" s="278" t="s">
        <v>370</v>
      </c>
      <c r="CW1" s="284" t="s">
        <v>371</v>
      </c>
    </row>
    <row r="2" spans="1:101" ht="51.75" thickBot="1" x14ac:dyDescent="0.3">
      <c r="A2" s="171"/>
      <c r="B2" s="171"/>
      <c r="C2" s="171"/>
      <c r="D2" s="171"/>
      <c r="E2" s="171"/>
      <c r="F2" s="171"/>
      <c r="G2" s="171"/>
      <c r="H2" s="171"/>
      <c r="I2" s="171"/>
      <c r="J2" s="171"/>
      <c r="K2" s="171"/>
      <c r="L2" s="171"/>
      <c r="M2" s="171"/>
      <c r="N2" s="171"/>
      <c r="O2" s="172"/>
      <c r="Q2" s="280" t="s">
        <v>372</v>
      </c>
      <c r="R2" s="281" t="s">
        <v>5275</v>
      </c>
      <c r="S2" s="282" t="s">
        <v>374</v>
      </c>
      <c r="T2" s="282" t="s">
        <v>375</v>
      </c>
      <c r="U2" s="281" t="s">
        <v>376</v>
      </c>
      <c r="V2" s="281" t="s">
        <v>377</v>
      </c>
      <c r="W2" s="281" t="s">
        <v>378</v>
      </c>
      <c r="X2" s="387" t="s">
        <v>379</v>
      </c>
      <c r="Y2" s="281" t="s">
        <v>380</v>
      </c>
      <c r="Z2" s="281" t="s">
        <v>381</v>
      </c>
      <c r="AA2" s="281" t="s">
        <v>382</v>
      </c>
      <c r="AB2" s="281" t="s">
        <v>383</v>
      </c>
      <c r="AC2" s="281" t="s">
        <v>384</v>
      </c>
      <c r="AD2" s="281" t="s">
        <v>385</v>
      </c>
      <c r="AE2" s="385" t="s">
        <v>386</v>
      </c>
      <c r="AF2" s="387" t="s">
        <v>387</v>
      </c>
      <c r="AG2" s="281" t="s">
        <v>388</v>
      </c>
      <c r="AH2" s="385" t="s">
        <v>389</v>
      </c>
      <c r="AI2" s="385" t="s">
        <v>390</v>
      </c>
      <c r="AJ2" s="281" t="s">
        <v>391</v>
      </c>
      <c r="AK2" s="281" t="s">
        <v>392</v>
      </c>
      <c r="AL2" s="281" t="s">
        <v>393</v>
      </c>
      <c r="AM2" s="281" t="s">
        <v>394</v>
      </c>
      <c r="AN2" s="283" t="s">
        <v>395</v>
      </c>
      <c r="AO2" s="393" t="s">
        <v>396</v>
      </c>
      <c r="AP2" s="393" t="s">
        <v>397</v>
      </c>
      <c r="AQ2" s="283" t="s">
        <v>398</v>
      </c>
      <c r="AR2" s="283" t="s">
        <v>399</v>
      </c>
      <c r="AS2" s="283" t="s">
        <v>400</v>
      </c>
      <c r="AT2" s="283" t="s">
        <v>401</v>
      </c>
      <c r="AU2" s="283" t="s">
        <v>402</v>
      </c>
      <c r="AV2" s="283" t="s">
        <v>403</v>
      </c>
      <c r="AW2" s="283" t="s">
        <v>404</v>
      </c>
      <c r="AX2" s="283" t="s">
        <v>405</v>
      </c>
      <c r="AY2" s="283" t="s">
        <v>406</v>
      </c>
      <c r="AZ2" s="395" t="s">
        <v>407</v>
      </c>
      <c r="BA2" s="283" t="s">
        <v>408</v>
      </c>
      <c r="BB2" s="283" t="s">
        <v>409</v>
      </c>
      <c r="BC2" s="393" t="s">
        <v>410</v>
      </c>
      <c r="BD2" s="283" t="s">
        <v>2578</v>
      </c>
      <c r="BE2" s="393" t="s">
        <v>412</v>
      </c>
      <c r="BF2" s="393" t="s">
        <v>413</v>
      </c>
      <c r="BG2" s="283" t="s">
        <v>414</v>
      </c>
      <c r="BH2" s="283" t="s">
        <v>415</v>
      </c>
      <c r="BI2" s="283" t="s">
        <v>416</v>
      </c>
      <c r="BJ2" s="283" t="s">
        <v>417</v>
      </c>
      <c r="BK2" s="283" t="s">
        <v>418</v>
      </c>
      <c r="BL2" s="283" t="s">
        <v>419</v>
      </c>
      <c r="BM2" s="283" t="s">
        <v>420</v>
      </c>
      <c r="BN2" s="283" t="s">
        <v>421</v>
      </c>
      <c r="BO2" s="283" t="s">
        <v>422</v>
      </c>
      <c r="BP2" s="283" t="s">
        <v>423</v>
      </c>
      <c r="BQ2" s="283" t="s">
        <v>424</v>
      </c>
      <c r="BR2" s="393" t="s">
        <v>425</v>
      </c>
      <c r="BS2" s="283" t="s">
        <v>426</v>
      </c>
      <c r="BT2" s="283" t="s">
        <v>427</v>
      </c>
      <c r="BU2" s="283" t="s">
        <v>428</v>
      </c>
      <c r="BV2" s="283" t="s">
        <v>429</v>
      </c>
      <c r="BW2" s="283" t="s">
        <v>430</v>
      </c>
      <c r="BX2" s="283" t="s">
        <v>431</v>
      </c>
      <c r="BY2" s="283" t="s">
        <v>432</v>
      </c>
      <c r="BZ2" s="283" t="s">
        <v>433</v>
      </c>
      <c r="CA2" s="283" t="s">
        <v>434</v>
      </c>
      <c r="CB2" s="395" t="s">
        <v>435</v>
      </c>
      <c r="CC2" s="393" t="s">
        <v>436</v>
      </c>
      <c r="CD2" s="283" t="s">
        <v>437</v>
      </c>
      <c r="CE2" s="283" t="s">
        <v>438</v>
      </c>
      <c r="CF2" s="283" t="s">
        <v>439</v>
      </c>
      <c r="CG2" s="283" t="s">
        <v>440</v>
      </c>
      <c r="CH2" s="283" t="s">
        <v>441</v>
      </c>
      <c r="CI2" s="283" t="s">
        <v>442</v>
      </c>
      <c r="CJ2" s="283" t="s">
        <v>443</v>
      </c>
      <c r="CK2" s="393" t="s">
        <v>444</v>
      </c>
      <c r="CL2" s="283" t="s">
        <v>445</v>
      </c>
      <c r="CM2" s="283" t="s">
        <v>446</v>
      </c>
      <c r="CN2" s="283" t="s">
        <v>447</v>
      </c>
      <c r="CO2" s="283" t="s">
        <v>448</v>
      </c>
      <c r="CP2" s="393" t="s">
        <v>449</v>
      </c>
      <c r="CQ2" s="283" t="s">
        <v>450</v>
      </c>
      <c r="CR2" s="283" t="s">
        <v>451</v>
      </c>
      <c r="CS2" s="393" t="s">
        <v>452</v>
      </c>
      <c r="CT2" s="283" t="s">
        <v>453</v>
      </c>
      <c r="CU2" s="283" t="s">
        <v>454</v>
      </c>
      <c r="CV2" s="283" t="s">
        <v>455</v>
      </c>
      <c r="CW2" s="285" t="s">
        <v>456</v>
      </c>
    </row>
    <row r="3" spans="1:101" ht="25.5" x14ac:dyDescent="0.25">
      <c r="A3" s="173" t="s">
        <v>0</v>
      </c>
      <c r="B3" s="173" t="s">
        <v>4824</v>
      </c>
      <c r="C3" s="174" t="s">
        <v>4825</v>
      </c>
      <c r="D3" s="174"/>
      <c r="E3" s="173" t="s">
        <v>0</v>
      </c>
      <c r="F3" s="175"/>
      <c r="G3" s="176" t="s">
        <v>4825</v>
      </c>
      <c r="H3" s="177" t="s">
        <v>4826</v>
      </c>
      <c r="I3" s="178"/>
      <c r="J3" s="171"/>
      <c r="K3" s="171"/>
      <c r="L3" s="179">
        <v>2016</v>
      </c>
      <c r="M3" s="179">
        <v>2017</v>
      </c>
      <c r="N3" s="179">
        <v>2018</v>
      </c>
      <c r="O3" s="179">
        <v>2019</v>
      </c>
      <c r="P3" s="179">
        <v>2020</v>
      </c>
    </row>
    <row r="4" spans="1:101" ht="15.75" thickBot="1" x14ac:dyDescent="0.3">
      <c r="A4" s="107"/>
      <c r="B4" s="107"/>
      <c r="C4" s="108" t="s">
        <v>4827</v>
      </c>
      <c r="D4" s="108"/>
      <c r="E4" s="108"/>
      <c r="F4" s="109"/>
      <c r="G4" s="110"/>
      <c r="H4" s="111"/>
      <c r="I4" s="180"/>
      <c r="J4" s="171"/>
      <c r="K4" s="171"/>
      <c r="L4" s="171"/>
      <c r="M4" s="171"/>
      <c r="N4" s="171"/>
      <c r="O4" s="172"/>
    </row>
    <row r="5" spans="1:101" ht="63.75" x14ac:dyDescent="0.25">
      <c r="A5" s="1688" t="s">
        <v>4828</v>
      </c>
      <c r="B5" s="1691" t="s">
        <v>4829</v>
      </c>
      <c r="C5" s="1673" t="s">
        <v>4830</v>
      </c>
      <c r="D5" s="112" t="s">
        <v>4831</v>
      </c>
      <c r="E5" s="112">
        <v>1</v>
      </c>
      <c r="F5" s="113" t="s">
        <v>4832</v>
      </c>
      <c r="G5" s="114" t="s">
        <v>4833</v>
      </c>
      <c r="H5" s="181" t="s">
        <v>4834</v>
      </c>
      <c r="I5" s="182" t="s">
        <v>4835</v>
      </c>
      <c r="J5" s="171"/>
      <c r="K5" s="171"/>
      <c r="L5" s="171"/>
      <c r="M5" s="171">
        <v>75</v>
      </c>
      <c r="N5" s="171">
        <v>82</v>
      </c>
      <c r="O5" s="172">
        <v>81</v>
      </c>
      <c r="P5" s="438">
        <v>81</v>
      </c>
    </row>
    <row r="6" spans="1:101" ht="76.5" x14ac:dyDescent="0.25">
      <c r="A6" s="1689"/>
      <c r="B6" s="1692"/>
      <c r="C6" s="1635"/>
      <c r="D6" s="115" t="s">
        <v>4831</v>
      </c>
      <c r="E6" s="115">
        <v>2</v>
      </c>
      <c r="F6" s="116" t="s">
        <v>4836</v>
      </c>
      <c r="G6" s="117" t="s">
        <v>4837</v>
      </c>
      <c r="H6" s="183" t="s">
        <v>4834</v>
      </c>
      <c r="I6" s="184" t="s">
        <v>4838</v>
      </c>
      <c r="J6" s="171"/>
      <c r="K6" s="171"/>
      <c r="L6" s="171"/>
      <c r="M6" s="171">
        <v>57</v>
      </c>
      <c r="N6" s="171">
        <v>68</v>
      </c>
      <c r="O6" s="172">
        <v>69</v>
      </c>
      <c r="P6" s="396">
        <v>73</v>
      </c>
    </row>
    <row r="7" spans="1:101" ht="63.75" x14ac:dyDescent="0.25">
      <c r="A7" s="1689"/>
      <c r="B7" s="1692"/>
      <c r="C7" s="1635"/>
      <c r="D7" s="115" t="s">
        <v>4831</v>
      </c>
      <c r="E7" s="115">
        <v>3</v>
      </c>
      <c r="F7" s="116" t="s">
        <v>4839</v>
      </c>
      <c r="G7" s="185" t="s">
        <v>4840</v>
      </c>
      <c r="H7" s="183" t="s">
        <v>4841</v>
      </c>
      <c r="I7" s="184" t="s">
        <v>4838</v>
      </c>
      <c r="J7" s="171"/>
      <c r="K7" s="171"/>
      <c r="L7" s="171"/>
      <c r="M7" s="171">
        <v>112</v>
      </c>
      <c r="N7" s="171">
        <v>193</v>
      </c>
      <c r="O7" s="172">
        <v>249</v>
      </c>
      <c r="P7" s="397">
        <f>P9+P11</f>
        <v>290</v>
      </c>
      <c r="Q7">
        <f>Q9+Q11</f>
        <v>1</v>
      </c>
      <c r="R7">
        <f>R9+R11</f>
        <v>3</v>
      </c>
      <c r="S7">
        <f>S9+S11</f>
        <v>2</v>
      </c>
      <c r="T7">
        <f t="shared" ref="T7:CE7" si="0">T9+T11</f>
        <v>1</v>
      </c>
      <c r="U7">
        <f t="shared" si="0"/>
        <v>1</v>
      </c>
      <c r="V7">
        <f t="shared" si="0"/>
        <v>2</v>
      </c>
      <c r="W7" s="381">
        <f t="shared" si="0"/>
        <v>7</v>
      </c>
      <c r="X7" s="388">
        <f t="shared" si="0"/>
        <v>0</v>
      </c>
      <c r="Y7">
        <f t="shared" si="0"/>
        <v>1</v>
      </c>
      <c r="Z7">
        <f t="shared" si="0"/>
        <v>1</v>
      </c>
      <c r="AA7">
        <f t="shared" si="0"/>
        <v>4</v>
      </c>
      <c r="AB7">
        <f t="shared" si="0"/>
        <v>1</v>
      </c>
      <c r="AC7">
        <f t="shared" si="0"/>
        <v>1</v>
      </c>
      <c r="AD7">
        <f t="shared" si="0"/>
        <v>3</v>
      </c>
      <c r="AE7">
        <f t="shared" si="0"/>
        <v>2</v>
      </c>
      <c r="AF7" s="388">
        <f t="shared" si="0"/>
        <v>0</v>
      </c>
      <c r="AG7">
        <f t="shared" si="0"/>
        <v>1</v>
      </c>
      <c r="AH7">
        <f t="shared" si="0"/>
        <v>1</v>
      </c>
      <c r="AI7">
        <f t="shared" si="0"/>
        <v>1</v>
      </c>
      <c r="AJ7">
        <f t="shared" si="0"/>
        <v>1</v>
      </c>
      <c r="AK7">
        <f t="shared" si="0"/>
        <v>1</v>
      </c>
      <c r="AL7">
        <f t="shared" si="0"/>
        <v>4</v>
      </c>
      <c r="AM7">
        <f t="shared" si="0"/>
        <v>2</v>
      </c>
      <c r="AN7">
        <f t="shared" si="0"/>
        <v>5</v>
      </c>
      <c r="AO7" s="388">
        <f t="shared" si="0"/>
        <v>0</v>
      </c>
      <c r="AP7" s="388">
        <f t="shared" si="0"/>
        <v>0</v>
      </c>
      <c r="AQ7">
        <f t="shared" si="0"/>
        <v>2</v>
      </c>
      <c r="AR7">
        <f t="shared" si="0"/>
        <v>1</v>
      </c>
      <c r="AS7">
        <f t="shared" si="0"/>
        <v>3</v>
      </c>
      <c r="AT7">
        <f t="shared" si="0"/>
        <v>1</v>
      </c>
      <c r="AU7">
        <f t="shared" si="0"/>
        <v>4</v>
      </c>
      <c r="AV7">
        <f t="shared" si="0"/>
        <v>5</v>
      </c>
      <c r="AW7">
        <f t="shared" si="0"/>
        <v>2</v>
      </c>
      <c r="AX7">
        <f t="shared" si="0"/>
        <v>3</v>
      </c>
      <c r="AY7">
        <f t="shared" si="0"/>
        <v>1</v>
      </c>
      <c r="AZ7">
        <f t="shared" si="0"/>
        <v>2</v>
      </c>
      <c r="BA7">
        <f t="shared" si="0"/>
        <v>2</v>
      </c>
      <c r="BB7">
        <f t="shared" si="0"/>
        <v>1</v>
      </c>
      <c r="BC7" s="388">
        <f t="shared" si="0"/>
        <v>0</v>
      </c>
      <c r="BD7">
        <f t="shared" si="0"/>
        <v>2</v>
      </c>
      <c r="BE7" s="388">
        <f t="shared" si="0"/>
        <v>0</v>
      </c>
      <c r="BF7" s="388">
        <f t="shared" si="0"/>
        <v>0</v>
      </c>
      <c r="BG7">
        <f t="shared" si="0"/>
        <v>1</v>
      </c>
      <c r="BH7">
        <f t="shared" si="0"/>
        <v>1</v>
      </c>
      <c r="BI7">
        <f t="shared" si="0"/>
        <v>1</v>
      </c>
      <c r="BJ7">
        <f t="shared" si="0"/>
        <v>3</v>
      </c>
      <c r="BK7" s="432">
        <f t="shared" si="0"/>
        <v>13</v>
      </c>
      <c r="BL7">
        <f t="shared" si="0"/>
        <v>1</v>
      </c>
      <c r="BM7">
        <f t="shared" si="0"/>
        <v>2</v>
      </c>
      <c r="BN7" s="432">
        <f t="shared" si="0"/>
        <v>16</v>
      </c>
      <c r="BO7">
        <f t="shared" si="0"/>
        <v>3</v>
      </c>
      <c r="BP7">
        <f t="shared" si="0"/>
        <v>1</v>
      </c>
      <c r="BQ7">
        <f t="shared" si="0"/>
        <v>1</v>
      </c>
      <c r="BR7" s="388">
        <f t="shared" si="0"/>
        <v>0</v>
      </c>
      <c r="BS7">
        <f t="shared" si="0"/>
        <v>1</v>
      </c>
      <c r="BT7">
        <f t="shared" si="0"/>
        <v>2</v>
      </c>
      <c r="BU7">
        <f t="shared" si="0"/>
        <v>2</v>
      </c>
      <c r="BV7" s="381">
        <f t="shared" si="0"/>
        <v>8</v>
      </c>
      <c r="BW7">
        <f t="shared" si="0"/>
        <v>3</v>
      </c>
      <c r="BX7">
        <f t="shared" si="0"/>
        <v>1</v>
      </c>
      <c r="BY7">
        <f t="shared" si="0"/>
        <v>1</v>
      </c>
      <c r="BZ7">
        <f t="shared" si="0"/>
        <v>3</v>
      </c>
      <c r="CA7" s="381">
        <f t="shared" si="0"/>
        <v>10</v>
      </c>
      <c r="CB7">
        <f t="shared" si="0"/>
        <v>1</v>
      </c>
      <c r="CC7" s="388">
        <f t="shared" si="0"/>
        <v>0</v>
      </c>
      <c r="CD7">
        <f t="shared" si="0"/>
        <v>1</v>
      </c>
      <c r="CE7">
        <f t="shared" si="0"/>
        <v>4</v>
      </c>
      <c r="CF7">
        <f t="shared" ref="CF7:CW7" si="1">CF9+CF11</f>
        <v>4</v>
      </c>
      <c r="CG7">
        <f t="shared" si="1"/>
        <v>2</v>
      </c>
      <c r="CH7">
        <f t="shared" si="1"/>
        <v>1</v>
      </c>
      <c r="CI7">
        <f t="shared" si="1"/>
        <v>1</v>
      </c>
      <c r="CJ7">
        <f t="shared" si="1"/>
        <v>1</v>
      </c>
      <c r="CK7" s="388">
        <f t="shared" si="1"/>
        <v>0</v>
      </c>
      <c r="CL7">
        <f t="shared" si="1"/>
        <v>4</v>
      </c>
      <c r="CM7">
        <f t="shared" si="1"/>
        <v>6</v>
      </c>
      <c r="CN7" s="432">
        <f t="shared" si="1"/>
        <v>27</v>
      </c>
      <c r="CO7">
        <f t="shared" si="1"/>
        <v>5</v>
      </c>
      <c r="CP7" s="388">
        <f t="shared" si="1"/>
        <v>0</v>
      </c>
      <c r="CQ7" s="432">
        <f t="shared" si="1"/>
        <v>47</v>
      </c>
      <c r="CR7">
        <f t="shared" si="1"/>
        <v>2</v>
      </c>
      <c r="CS7" s="388">
        <f t="shared" si="1"/>
        <v>0</v>
      </c>
      <c r="CT7">
        <f t="shared" si="1"/>
        <v>2</v>
      </c>
      <c r="CU7">
        <f t="shared" si="1"/>
        <v>2</v>
      </c>
      <c r="CV7" s="432">
        <f t="shared" si="1"/>
        <v>30</v>
      </c>
      <c r="CW7">
        <f t="shared" si="1"/>
        <v>1</v>
      </c>
    </row>
    <row r="8" spans="1:101" ht="76.5" x14ac:dyDescent="0.25">
      <c r="A8" s="1689"/>
      <c r="B8" s="1692"/>
      <c r="C8" s="1635"/>
      <c r="D8" s="115" t="s">
        <v>4831</v>
      </c>
      <c r="E8" s="115">
        <v>4</v>
      </c>
      <c r="F8" s="118" t="s">
        <v>4842</v>
      </c>
      <c r="G8" s="117" t="s">
        <v>4843</v>
      </c>
      <c r="H8" s="183" t="s">
        <v>4834</v>
      </c>
      <c r="I8" s="184" t="s">
        <v>4838</v>
      </c>
      <c r="J8" s="171"/>
      <c r="K8" s="171"/>
      <c r="L8" s="171"/>
      <c r="M8" s="171" t="s">
        <v>4844</v>
      </c>
      <c r="N8" s="171">
        <v>64</v>
      </c>
      <c r="O8" s="172">
        <v>63</v>
      </c>
      <c r="P8" s="398"/>
    </row>
    <row r="9" spans="1:101" ht="51" x14ac:dyDescent="0.25">
      <c r="A9" s="1689"/>
      <c r="B9" s="1692"/>
      <c r="C9" s="1635"/>
      <c r="D9" s="186" t="s">
        <v>4831</v>
      </c>
      <c r="E9" s="186">
        <v>5</v>
      </c>
      <c r="F9" s="187" t="s">
        <v>4845</v>
      </c>
      <c r="G9" s="188" t="s">
        <v>4846</v>
      </c>
      <c r="H9" s="189" t="s">
        <v>4841</v>
      </c>
      <c r="I9" s="190" t="s">
        <v>4847</v>
      </c>
      <c r="J9" s="191"/>
      <c r="K9" s="191"/>
      <c r="L9" s="191"/>
      <c r="M9" s="191" t="s">
        <v>4844</v>
      </c>
      <c r="N9" s="191">
        <v>102</v>
      </c>
      <c r="O9" s="192">
        <v>102</v>
      </c>
      <c r="P9" s="397">
        <f>SUM(Q9:CW9)</f>
        <v>115</v>
      </c>
      <c r="Q9">
        <f>COUNTIFS('База практик'!$E$5:$E$311,Расчеты!Q$1,'База практик'!$D$5:$D$311,"суб")</f>
        <v>1</v>
      </c>
      <c r="R9" s="380">
        <f>COUNTIFS('База практик'!$E$5:$E$311,Расчеты!R$1,'База практик'!$D$5:$D$311,"суб")</f>
        <v>3</v>
      </c>
      <c r="S9">
        <f>COUNTIFS('База практик'!$E$5:$E$311,Расчеты!S$1,'База практик'!$D$5:$D$311,"суб")</f>
        <v>2</v>
      </c>
      <c r="T9">
        <f>COUNTIFS('База практик'!$E$5:$E$311,Расчеты!T$1,'База практик'!$D$5:$D$311,"суб")</f>
        <v>1</v>
      </c>
      <c r="U9">
        <f>COUNTIFS('База практик'!$E$5:$E$311,Расчеты!U$1,'База практик'!$D$5:$D$311,"суб")</f>
        <v>0</v>
      </c>
      <c r="V9">
        <f>COUNTIFS('База практик'!$E$5:$E$311,Расчеты!V$1,'База практик'!$D$5:$D$311,"суб")</f>
        <v>0</v>
      </c>
      <c r="W9" s="380">
        <f>COUNTIFS('База практик'!$E$5:$E$311,Расчеты!W$1,'База практик'!$D$5:$D$311,"суб")</f>
        <v>3</v>
      </c>
      <c r="X9" s="388">
        <f>COUNTIFS('База практик'!$E$5:$E$311,Расчеты!X$1,'База практик'!$D$5:$D$311,"суб")</f>
        <v>0</v>
      </c>
      <c r="Y9">
        <f>COUNTIFS('База практик'!$E$5:$E$311,Расчеты!Y$1,'База практик'!$D$5:$D$311,"суб")</f>
        <v>1</v>
      </c>
      <c r="Z9">
        <f>COUNTIFS('База практик'!$E$5:$E$311,Расчеты!Z$1,'База практик'!$D$5:$D$311,"суб")</f>
        <v>1</v>
      </c>
      <c r="AA9">
        <f>COUNTIFS('База практик'!$E$5:$E$311,Расчеты!AA$1,'База практик'!$D$5:$D$311,"суб")</f>
        <v>3</v>
      </c>
      <c r="AB9">
        <f>COUNTIFS('База практик'!$E$5:$E$311,Расчеты!AB$1,'База практик'!$D$5:$D$311,"суб")</f>
        <v>1</v>
      </c>
      <c r="AC9">
        <f>COUNTIFS('База практик'!$E$5:$E$311,Расчеты!AC$1,'База практик'!$D$5:$D$311,"суб")</f>
        <v>1</v>
      </c>
      <c r="AD9">
        <f>COUNTIFS('База практик'!$E$5:$E$311,Расчеты!AD$1,'База практик'!$D$5:$D$311,"суб")</f>
        <v>3</v>
      </c>
      <c r="AE9">
        <f>COUNTIFS('База практик'!$E$5:$E$311,Расчеты!AE$1,'База практик'!$D$5:$D$311,"суб")</f>
        <v>2</v>
      </c>
      <c r="AF9" s="388">
        <f>COUNTIFS('База практик'!$E$5:$E$311,Расчеты!AF$1,'База практик'!$D$5:$D$311,"суб")</f>
        <v>0</v>
      </c>
      <c r="AG9">
        <f>COUNTIFS('База практик'!$E$5:$E$311,Расчеты!AG$1,'База практик'!$D$5:$D$311,"суб")</f>
        <v>1</v>
      </c>
      <c r="AH9">
        <f>COUNTIFS('База практик'!$E$5:$E$311,Расчеты!AH$1,'База практик'!$D$5:$D$311,"суб")</f>
        <v>1</v>
      </c>
      <c r="AI9">
        <f>COUNTIFS('База практик'!$E$5:$E$311,Расчеты!AI$1,'База практик'!$D$5:$D$311,"суб")</f>
        <v>1</v>
      </c>
      <c r="AJ9">
        <f>COUNTIFS('База практик'!$E$5:$E$311,Расчеты!AJ$1,'База практик'!$D$5:$D$311,"суб")</f>
        <v>1</v>
      </c>
      <c r="AK9">
        <f>COUNTIFS('База практик'!$E$5:$E$311,Расчеты!AK$1,'База практик'!$D$5:$D$311,"суб")</f>
        <v>1</v>
      </c>
      <c r="AL9">
        <f>COUNTIFS('База практик'!$E$5:$E$311,Расчеты!AL$1,'База практик'!$D$5:$D$311,"суб")</f>
        <v>2</v>
      </c>
      <c r="AM9">
        <f>COUNTIFS('База практик'!$E$5:$E$311,Расчеты!AM$1,'База практик'!$D$5:$D$311,"суб")</f>
        <v>2</v>
      </c>
      <c r="AN9">
        <f>COUNTIFS('База практик'!$E$5:$E$311,Расчеты!AN$1,'База практик'!$D$5:$D$311,"суб")</f>
        <v>1</v>
      </c>
      <c r="AO9" s="388">
        <f>COUNTIFS('База практик'!$E$5:$E$311,Расчеты!AO$1,'База практик'!$D$5:$D$311,"суб")</f>
        <v>0</v>
      </c>
      <c r="AP9" s="388">
        <f>COUNTIFS('База практик'!$E$5:$E$311,Расчеты!AP$1,'База практик'!$D$5:$D$311,"суб")</f>
        <v>0</v>
      </c>
      <c r="AQ9">
        <f>COUNTIFS('База практик'!$E$5:$E$311,Расчеты!AQ$1,'База практик'!$D$5:$D$311,"суб")</f>
        <v>2</v>
      </c>
      <c r="AR9">
        <f>COUNTIFS('База практик'!$E$5:$E$311,Расчеты!AR$1,'База практик'!$D$5:$D$311,"суб")</f>
        <v>1</v>
      </c>
      <c r="AS9" s="380">
        <f>COUNTIFS('База практик'!$E$5:$E$311,Расчеты!AS$1,'База практик'!$D$5:$D$311,"суб")</f>
        <v>3</v>
      </c>
      <c r="AT9">
        <f>COUNTIFS('База практик'!$E$5:$E$311,Расчеты!AT$1,'База практик'!$D$5:$D$311,"суб")</f>
        <v>1</v>
      </c>
      <c r="AU9" s="379">
        <f>COUNTIFS('База практик'!$E$5:$E$311,Расчеты!AU$1,'База практик'!$D$5:$D$311,"суб")</f>
        <v>4</v>
      </c>
      <c r="AV9">
        <f>COUNTIFS('База практик'!$E$5:$E$311,Расчеты!AV$1,'База практик'!$D$5:$D$311,"суб")</f>
        <v>1</v>
      </c>
      <c r="AW9">
        <f>COUNTIFS('База практик'!$E$5:$E$311,Расчеты!AW$1,'База практик'!$D$5:$D$311,"суб")</f>
        <v>1</v>
      </c>
      <c r="AX9">
        <f>COUNTIFS('База практик'!$E$5:$E$311,Расчеты!AX$1,'База практик'!$D$5:$D$311,"суб")</f>
        <v>2</v>
      </c>
      <c r="AY9">
        <f>COUNTIFS('База практик'!$E$5:$E$311,Расчеты!AY$1,'База практик'!$D$5:$D$311,"суб")</f>
        <v>1</v>
      </c>
      <c r="AZ9">
        <f>COUNTIFS('База практик'!$E$5:$E$311,Расчеты!AZ$1,'База практик'!$D$5:$D$311,"суб")</f>
        <v>0</v>
      </c>
      <c r="BA9">
        <f>COUNTIFS('База практик'!$E$5:$E$311,Расчеты!BA$1,'База практик'!$D$5:$D$311,"суб")</f>
        <v>2</v>
      </c>
      <c r="BB9">
        <f>COUNTIFS('База практик'!$E$5:$E$311,Расчеты!BB$1,'База практик'!$D$5:$D$311,"суб")</f>
        <v>1</v>
      </c>
      <c r="BC9" s="388">
        <f>COUNTIFS('База практик'!$E$5:$E$311,Расчеты!BC$1,'База практик'!$D$5:$D$311,"суб")</f>
        <v>0</v>
      </c>
      <c r="BD9">
        <f>COUNTIFS('База практик'!$E$5:$E$311,Расчеты!BD$1,'База практик'!$D$5:$D$311,"суб")</f>
        <v>2</v>
      </c>
      <c r="BE9" s="388">
        <f>COUNTIFS('База практик'!$E$5:$E$311,Расчеты!BE$1,'База практик'!$D$5:$D$311,"суб")</f>
        <v>0</v>
      </c>
      <c r="BF9" s="388">
        <f>COUNTIFS('База практик'!$E$5:$E$311,Расчеты!BF$1,'База практик'!$D$5:$D$311,"суб")</f>
        <v>0</v>
      </c>
      <c r="BG9">
        <f>COUNTIFS('База практик'!$E$5:$E$311,Расчеты!BG$1,'База практик'!$D$5:$D$311,"суб")</f>
        <v>1</v>
      </c>
      <c r="BH9">
        <f>COUNTIFS('База практик'!$E$5:$E$311,Расчеты!BH$1,'База практик'!$D$5:$D$311,"суб")</f>
        <v>1</v>
      </c>
      <c r="BI9">
        <f>COUNTIFS('База практик'!$E$5:$E$311,Расчеты!BI$1,'База практик'!$D$5:$D$311,"суб")</f>
        <v>1</v>
      </c>
      <c r="BJ9">
        <f>COUNTIFS('База практик'!$E$5:$E$311,Расчеты!BJ$1,'База практик'!$D$5:$D$311,"суб")</f>
        <v>2</v>
      </c>
      <c r="BK9" s="379">
        <f>COUNTIFS('База практик'!$E$5:$E$311,Расчеты!BK$1,'База практик'!$D$5:$D$311,"суб")</f>
        <v>7</v>
      </c>
      <c r="BL9">
        <f>COUNTIFS('База практик'!$E$5:$E$311,Расчеты!BL$1,'База практик'!$D$5:$D$311,"суб")</f>
        <v>1</v>
      </c>
      <c r="BM9">
        <f>COUNTIFS('База практик'!$E$5:$E$311,Расчеты!BM$1,'База практик'!$D$5:$D$311,"суб")</f>
        <v>1</v>
      </c>
      <c r="BN9">
        <f>COUNTIFS('База практик'!$E$5:$E$311,Расчеты!BN$1,'База практик'!$D$5:$D$311,"суб")</f>
        <v>1</v>
      </c>
      <c r="BO9" s="380">
        <f>COUNTIFS('База практик'!$E$5:$E$311,Расчеты!BO$1,'База практик'!$D$5:$D$311,"суб")</f>
        <v>3</v>
      </c>
      <c r="BP9">
        <f>COUNTIFS('База практик'!$E$5:$E$311,Расчеты!BP$1,'База практик'!$D$5:$D$311,"суб")</f>
        <v>0</v>
      </c>
      <c r="BQ9">
        <f>COUNTIFS('База практик'!$E$5:$E$311,Расчеты!BQ$1,'База практик'!$D$5:$D$311,"суб")</f>
        <v>1</v>
      </c>
      <c r="BR9" s="388">
        <f>COUNTIFS('База практик'!$E$5:$E$311,Расчеты!BR$1,'База практик'!$D$5:$D$311,"суб")</f>
        <v>0</v>
      </c>
      <c r="BS9">
        <f>COUNTIFS('База практик'!$E$5:$E$311,Расчеты!BS$1,'База практик'!$D$5:$D$311,"суб")</f>
        <v>1</v>
      </c>
      <c r="BT9">
        <f>COUNTIFS('База практик'!$E$5:$E$311,Расчеты!BT$1,'База практик'!$D$5:$D$311,"суб")</f>
        <v>1</v>
      </c>
      <c r="BU9">
        <f>COUNTIFS('База практик'!$E$5:$E$311,Расчеты!BU$1,'База практик'!$D$5:$D$311,"суб")</f>
        <v>2</v>
      </c>
      <c r="BV9">
        <f>COUNTIFS('База практик'!$E$5:$E$311,Расчеты!BV$1,'База практик'!$D$5:$D$311,"суб")</f>
        <v>1</v>
      </c>
      <c r="BW9" s="380">
        <f>COUNTIFS('База практик'!$E$5:$E$311,Расчеты!BW$1,'База практик'!$D$5:$D$311,"суб")</f>
        <v>3</v>
      </c>
      <c r="BX9">
        <f>COUNTIFS('База практик'!$E$5:$E$311,Расчеты!BX$1,'База практик'!$D$5:$D$311,"суб")</f>
        <v>1</v>
      </c>
      <c r="BY9">
        <f>COUNTIFS('База практик'!$E$5:$E$311,Расчеты!BY$1,'База практик'!$D$5:$D$311,"суб")</f>
        <v>1</v>
      </c>
      <c r="BZ9" s="379">
        <f>COUNTIFS('База практик'!$E$5:$E$311,Расчеты!BZ$1,'База практик'!$D$5:$D$311,"суб")</f>
        <v>3</v>
      </c>
      <c r="CA9" s="379">
        <f>COUNTIFS('База практик'!$E$5:$E$311,Расчеты!CA$1,'База практик'!$D$5:$D$311,"суб")</f>
        <v>3</v>
      </c>
      <c r="CB9">
        <f>COUNTIFS('База практик'!$E$5:$E$311,Расчеты!CB$1,'База практик'!$D$5:$D$311,"суб")</f>
        <v>1</v>
      </c>
      <c r="CC9" s="388">
        <f>COUNTIFS('База практик'!$E$5:$E$311,Расчеты!CC$1,'База практик'!$D$5:$D$311,"суб")</f>
        <v>0</v>
      </c>
      <c r="CD9">
        <f>COUNTIFS('База практик'!$E$5:$E$311,Расчеты!CD$1,'База практик'!$D$5:$D$311,"суб")</f>
        <v>1</v>
      </c>
      <c r="CE9">
        <f>COUNTIFS('База практик'!$E$5:$E$311,Расчеты!CE$1,'База практик'!$D$5:$D$311,"суб")</f>
        <v>1</v>
      </c>
      <c r="CF9" s="379">
        <f>COUNTIFS('База практик'!$E$5:$E$311,Расчеты!CF$1,'База практик'!$D$5:$D$311,"суб")</f>
        <v>4</v>
      </c>
      <c r="CG9">
        <f>COUNTIFS('База практик'!$E$5:$E$311,Расчеты!CG$1,'База практик'!$D$5:$D$311,"суб")</f>
        <v>2</v>
      </c>
      <c r="CH9">
        <f>COUNTIFS('База практик'!$E$5:$E$311,Расчеты!CH$1,'База практик'!$D$5:$D$311,"суб")</f>
        <v>1</v>
      </c>
      <c r="CI9">
        <f>COUNTIFS('База практик'!$E$5:$E$311,Расчеты!CI$1,'База практик'!$D$5:$D$311,"суб")</f>
        <v>1</v>
      </c>
      <c r="CJ9">
        <f>COUNTIFS('База практик'!$E$5:$E$311,Расчеты!CJ$1,'База практик'!$D$5:$D$311,"суб")</f>
        <v>1</v>
      </c>
      <c r="CK9" s="388">
        <f>COUNTIFS('База практик'!$E$5:$E$311,Расчеты!CK$1,'База практик'!$D$5:$D$311,"суб")</f>
        <v>0</v>
      </c>
      <c r="CL9">
        <f>COUNTIFS('База практик'!$E$5:$E$311,Расчеты!CL$1,'База практик'!$D$5:$D$311,"суб")</f>
        <v>2</v>
      </c>
      <c r="CM9">
        <f>COUNTIFS('База практик'!$E$5:$E$311,Расчеты!CM$1,'База практик'!$D$5:$D$311,"суб")</f>
        <v>2</v>
      </c>
      <c r="CN9" s="380">
        <f>COUNTIFS('База практик'!$E$5:$E$311,Расчеты!CN$1,'База практик'!$D$5:$D$311,"суб")</f>
        <v>3</v>
      </c>
      <c r="CO9" s="380">
        <f>COUNTIFS('База практик'!$E$5:$E$311,Расчеты!CO$1,'База практик'!$D$5:$D$311,"суб")</f>
        <v>3</v>
      </c>
      <c r="CP9" s="388">
        <f>COUNTIFS('База практик'!$E$5:$E$311,Расчеты!CP$1,'База практик'!$D$5:$D$311,"суб")</f>
        <v>0</v>
      </c>
      <c r="CQ9">
        <f>COUNTIFS('База практик'!$E$5:$E$311,Расчеты!CQ$1,'База практик'!$D$5:$D$311,"суб")</f>
        <v>1</v>
      </c>
      <c r="CR9">
        <f>COUNTIFS('База практик'!$E$5:$E$311,Расчеты!CR$1,'База практик'!$D$5:$D$311,"суб")</f>
        <v>1</v>
      </c>
      <c r="CS9" s="388">
        <f>COUNTIFS('База практик'!$E$5:$E$311,Расчеты!CS$1,'База практик'!$D$5:$D$311,"суб")</f>
        <v>0</v>
      </c>
      <c r="CT9">
        <f>COUNTIFS('База практик'!$E$5:$E$311,Расчеты!CT$1,'База практик'!$D$5:$D$311,"суб")</f>
        <v>1</v>
      </c>
      <c r="CU9">
        <f>COUNTIFS('База практик'!$E$5:$E$311,Расчеты!CU$1,'База практик'!$D$5:$D$311,"суб")</f>
        <v>1</v>
      </c>
      <c r="CV9">
        <f>COUNTIFS('База практик'!$E$5:$E$311,Расчеты!CV$1,'База практик'!$D$5:$D$311,"суб")</f>
        <v>0</v>
      </c>
      <c r="CW9">
        <f>COUNTIFS('База практик'!$E$5:$E$311,Расчеты!CW$1,'База практик'!$D$5:$D$311,"суб")</f>
        <v>1</v>
      </c>
    </row>
    <row r="10" spans="1:101" ht="76.5" x14ac:dyDescent="0.25">
      <c r="A10" s="1689"/>
      <c r="B10" s="1692"/>
      <c r="C10" s="1635"/>
      <c r="D10" s="115" t="s">
        <v>4831</v>
      </c>
      <c r="E10" s="115">
        <v>6</v>
      </c>
      <c r="F10" s="118" t="s">
        <v>4848</v>
      </c>
      <c r="G10" s="117" t="s">
        <v>4849</v>
      </c>
      <c r="H10" s="183" t="s">
        <v>4834</v>
      </c>
      <c r="I10" s="184" t="s">
        <v>4838</v>
      </c>
      <c r="J10" s="171"/>
      <c r="K10" s="171"/>
      <c r="L10" s="171"/>
      <c r="M10" s="171" t="s">
        <v>4844</v>
      </c>
      <c r="N10" s="171">
        <v>24</v>
      </c>
      <c r="O10" s="172">
        <v>24</v>
      </c>
      <c r="P10" s="398"/>
    </row>
    <row r="11" spans="1:101" ht="51.75" thickBot="1" x14ac:dyDescent="0.3">
      <c r="A11" s="1690"/>
      <c r="B11" s="1693"/>
      <c r="C11" s="1646"/>
      <c r="D11" s="119" t="s">
        <v>4831</v>
      </c>
      <c r="E11" s="119">
        <v>7</v>
      </c>
      <c r="F11" s="120" t="s">
        <v>4850</v>
      </c>
      <c r="G11" s="121" t="s">
        <v>4851</v>
      </c>
      <c r="H11" s="193" t="s">
        <v>4841</v>
      </c>
      <c r="I11" s="194" t="s">
        <v>4847</v>
      </c>
      <c r="J11" s="171"/>
      <c r="K11" s="171"/>
      <c r="L11" s="171"/>
      <c r="M11" s="171" t="s">
        <v>4844</v>
      </c>
      <c r="N11" s="171">
        <v>91</v>
      </c>
      <c r="O11" s="172">
        <v>147</v>
      </c>
      <c r="P11" s="397">
        <f t="shared" ref="P11" si="2">SUM(Q11:CW11)</f>
        <v>175</v>
      </c>
      <c r="Q11">
        <f>COUNTIFS('База практик'!$E$5:$E$311,Расчеты!Q$1,'База практик'!$D$5:$D$311,"мун")</f>
        <v>0</v>
      </c>
      <c r="R11">
        <f>COUNTIFS('База практик'!$E$5:$E$311,Расчеты!R$1,'База практик'!$D$5:$D$311,"мун")</f>
        <v>0</v>
      </c>
      <c r="S11">
        <f>COUNTIFS('База практик'!$E$5:$E$311,Расчеты!S$1,'База практик'!$D$5:$D$311,"мун")</f>
        <v>0</v>
      </c>
      <c r="T11">
        <f>COUNTIFS('База практик'!$E$5:$E$311,Расчеты!T$1,'База практик'!$D$5:$D$311,"мун")</f>
        <v>0</v>
      </c>
      <c r="U11">
        <f>COUNTIFS('База практик'!$E$5:$E$311,Расчеты!U$1,'База практик'!$D$5:$D$311,"мун")</f>
        <v>1</v>
      </c>
      <c r="V11">
        <f>COUNTIFS('База практик'!$E$5:$E$311,Расчеты!V$1,'База практик'!$D$5:$D$311,"мун")</f>
        <v>2</v>
      </c>
      <c r="W11">
        <f>COUNTIFS('База практик'!$E$5:$E$311,Расчеты!W$1,'База практик'!$D$5:$D$311,"мун")</f>
        <v>4</v>
      </c>
      <c r="X11" s="388">
        <f>COUNTIFS('База практик'!$E$5:$E$311,Расчеты!X$1,'База практик'!$D$5:$D$311,"мун")</f>
        <v>0</v>
      </c>
      <c r="Y11">
        <f>COUNTIFS('База практик'!$E$5:$E$311,Расчеты!Y$1,'База практик'!$D$5:$D$311,"мун")</f>
        <v>0</v>
      </c>
      <c r="Z11">
        <f>COUNTIFS('База практик'!$E$5:$E$311,Расчеты!Z$1,'База практик'!$D$5:$D$311,"мун")</f>
        <v>0</v>
      </c>
      <c r="AA11">
        <f>COUNTIFS('База практик'!$E$5:$E$311,Расчеты!AA$1,'База практик'!$D$5:$D$311,"мун")</f>
        <v>1</v>
      </c>
      <c r="AB11">
        <f>COUNTIFS('База практик'!$E$5:$E$311,Расчеты!AB$1,'База практик'!$D$5:$D$311,"мун")</f>
        <v>0</v>
      </c>
      <c r="AC11">
        <f>COUNTIFS('База практик'!$E$5:$E$311,Расчеты!AC$1,'База практик'!$D$5:$D$311,"мун")</f>
        <v>0</v>
      </c>
      <c r="AD11">
        <f>COUNTIFS('База практик'!$E$5:$E$311,Расчеты!AD$1,'База практик'!$D$5:$D$311,"мун")</f>
        <v>0</v>
      </c>
      <c r="AE11">
        <f>COUNTIFS('База практик'!$E$5:$E$311,Расчеты!AE$1,'База практик'!$D$5:$D$311,"мун")</f>
        <v>0</v>
      </c>
      <c r="AF11" s="388">
        <f>COUNTIFS('База практик'!$E$5:$E$311,Расчеты!AF$1,'База практик'!$D$5:$D$311,"мун")</f>
        <v>0</v>
      </c>
      <c r="AG11">
        <f>COUNTIFS('База практик'!$E$5:$E$311,Расчеты!AG$1,'База практик'!$D$5:$D$311,"мун")</f>
        <v>0</v>
      </c>
      <c r="AH11">
        <f>COUNTIFS('База практик'!$E$5:$E$311,Расчеты!AH$1,'База практик'!$D$5:$D$311,"мун")</f>
        <v>0</v>
      </c>
      <c r="AI11">
        <f>COUNTIFS('База практик'!$E$5:$E$311,Расчеты!AI$1,'База практик'!$D$5:$D$311,"мун")</f>
        <v>0</v>
      </c>
      <c r="AJ11">
        <f>COUNTIFS('База практик'!$E$5:$E$311,Расчеты!AJ$1,'База практик'!$D$5:$D$311,"мун")</f>
        <v>0</v>
      </c>
      <c r="AK11">
        <f>COUNTIFS('База практик'!$E$5:$E$311,Расчеты!AK$1,'База практик'!$D$5:$D$311,"мун")</f>
        <v>0</v>
      </c>
      <c r="AL11">
        <f>COUNTIFS('База практик'!$E$5:$E$311,Расчеты!AL$1,'База практик'!$D$5:$D$311,"мун")</f>
        <v>2</v>
      </c>
      <c r="AM11">
        <f>COUNTIFS('База практик'!$E$5:$E$311,Расчеты!AM$1,'База практик'!$D$5:$D$311,"мун")</f>
        <v>0</v>
      </c>
      <c r="AN11">
        <f>COUNTIFS('База практик'!$E$5:$E$311,Расчеты!AN$1,'База практик'!$D$5:$D$311,"мун")</f>
        <v>4</v>
      </c>
      <c r="AO11" s="388">
        <f>COUNTIFS('База практик'!$E$5:$E$311,Расчеты!AO$1,'База практик'!$D$5:$D$311,"мун")</f>
        <v>0</v>
      </c>
      <c r="AP11" s="388">
        <f>COUNTIFS('База практик'!$E$5:$E$311,Расчеты!AP$1,'База практик'!$D$5:$D$311,"мун")</f>
        <v>0</v>
      </c>
      <c r="AQ11">
        <f>COUNTIFS('База практик'!$E$5:$E$311,Расчеты!AQ$1,'База практик'!$D$5:$D$311,"мун")</f>
        <v>0</v>
      </c>
      <c r="AR11">
        <f>COUNTIFS('База практик'!$E$5:$E$311,Расчеты!AR$1,'База практик'!$D$5:$D$311,"мун")</f>
        <v>0</v>
      </c>
      <c r="AS11">
        <f>COUNTIFS('База практик'!$E$5:$E$311,Расчеты!AS$1,'База практик'!$D$5:$D$311,"мун")</f>
        <v>0</v>
      </c>
      <c r="AT11">
        <f>COUNTIFS('База практик'!$E$5:$E$311,Расчеты!AT$1,'База практик'!$D$5:$D$311,"мун")</f>
        <v>0</v>
      </c>
      <c r="AU11">
        <f>COUNTIFS('База практик'!$E$5:$E$311,Расчеты!AU$1,'База практик'!$D$5:$D$311,"мун")</f>
        <v>0</v>
      </c>
      <c r="AV11">
        <f>COUNTIFS('База практик'!$E$5:$E$311,Расчеты!AV$1,'База практик'!$D$5:$D$311,"мун")</f>
        <v>4</v>
      </c>
      <c r="AW11">
        <f>COUNTIFS('База практик'!$E$5:$E$311,Расчеты!AW$1,'База практик'!$D$5:$D$311,"мун")</f>
        <v>1</v>
      </c>
      <c r="AX11">
        <f>COUNTIFS('База практик'!$E$5:$E$311,Расчеты!AX$1,'База практик'!$D$5:$D$311,"мун")</f>
        <v>1</v>
      </c>
      <c r="AY11">
        <f>COUNTIFS('База практик'!$E$5:$E$311,Расчеты!AY$1,'База практик'!$D$5:$D$311,"мун")</f>
        <v>0</v>
      </c>
      <c r="AZ11">
        <f>COUNTIFS('База практик'!$E$5:$E$311,Расчеты!AZ$1,'База практик'!$D$5:$D$311,"мун")</f>
        <v>2</v>
      </c>
      <c r="BA11">
        <f>COUNTIFS('База практик'!$E$5:$E$311,Расчеты!BA$1,'База практик'!$D$5:$D$311,"мун")</f>
        <v>0</v>
      </c>
      <c r="BB11">
        <f>COUNTIFS('База практик'!$E$5:$E$311,Расчеты!BB$1,'База практик'!$D$5:$D$311,"мун")</f>
        <v>0</v>
      </c>
      <c r="BC11" s="388">
        <f>COUNTIFS('База практик'!$E$5:$E$311,Расчеты!BC$1,'База практик'!$D$5:$D$311,"мун")</f>
        <v>0</v>
      </c>
      <c r="BD11">
        <f>COUNTIFS('База практик'!$E$5:$E$311,Расчеты!BD$1,'База практик'!$D$5:$D$311,"мун")</f>
        <v>0</v>
      </c>
      <c r="BE11" s="388">
        <f>COUNTIFS('База практик'!$E$5:$E$311,Расчеты!BE$1,'База практик'!$D$5:$D$311,"мун")</f>
        <v>0</v>
      </c>
      <c r="BF11" s="388">
        <f>COUNTIFS('База практик'!$E$5:$E$311,Расчеты!BF$1,'База практик'!$D$5:$D$311,"мун")</f>
        <v>0</v>
      </c>
      <c r="BG11">
        <f>COUNTIFS('База практик'!$E$5:$E$311,Расчеты!BG$1,'База практик'!$D$5:$D$311,"мун")</f>
        <v>0</v>
      </c>
      <c r="BH11">
        <f>COUNTIFS('База практик'!$E$5:$E$311,Расчеты!BH$1,'База практик'!$D$5:$D$311,"мун")</f>
        <v>0</v>
      </c>
      <c r="BI11">
        <f>COUNTIFS('База практик'!$E$5:$E$311,Расчеты!BI$1,'База практик'!$D$5:$D$311,"мун")</f>
        <v>0</v>
      </c>
      <c r="BJ11">
        <f>COUNTIFS('База практик'!$E$5:$E$311,Расчеты!BJ$1,'База практик'!$D$5:$D$311,"мун")</f>
        <v>1</v>
      </c>
      <c r="BK11" s="381">
        <f>COUNTIFS('База практик'!$E$5:$E$311,Расчеты!BK$1,'База практик'!$D$5:$D$311,"мун")</f>
        <v>6</v>
      </c>
      <c r="BL11">
        <f>COUNTIFS('База практик'!$E$5:$E$311,Расчеты!BL$1,'База практик'!$D$5:$D$311,"мун")</f>
        <v>0</v>
      </c>
      <c r="BM11">
        <f>COUNTIFS('База практик'!$E$5:$E$311,Расчеты!BM$1,'База практик'!$D$5:$D$311,"мун")</f>
        <v>1</v>
      </c>
      <c r="BN11" s="380">
        <f>COUNTIFS('База практик'!$E$5:$E$311,Расчеты!BN$1,'База практик'!$D$5:$D$311,"мун")</f>
        <v>15</v>
      </c>
      <c r="BO11">
        <f>COUNTIFS('База практик'!$E$5:$E$311,Расчеты!BO$1,'База практик'!$D$5:$D$311,"мун")</f>
        <v>0</v>
      </c>
      <c r="BP11">
        <f>COUNTIFS('База практик'!$E$5:$E$311,Расчеты!BP$1,'База практик'!$D$5:$D$311,"мун")</f>
        <v>1</v>
      </c>
      <c r="BQ11">
        <f>COUNTIFS('База практик'!$E$5:$E$311,Расчеты!BQ$1,'База практик'!$D$5:$D$311,"мун")</f>
        <v>0</v>
      </c>
      <c r="BR11" s="388">
        <f>COUNTIFS('База практик'!$E$5:$E$311,Расчеты!BR$1,'База практик'!$D$5:$D$311,"мун")</f>
        <v>0</v>
      </c>
      <c r="BS11">
        <f>COUNTIFS('База практик'!$E$5:$E$311,Расчеты!BS$1,'База практик'!$D$5:$D$311,"мун")</f>
        <v>0</v>
      </c>
      <c r="BT11">
        <f>COUNTIFS('База практик'!$E$5:$E$311,Расчеты!BT$1,'База практик'!$D$5:$D$311,"мун")</f>
        <v>1</v>
      </c>
      <c r="BU11">
        <f>COUNTIFS('База практик'!$E$5:$E$311,Расчеты!BU$1,'База практик'!$D$5:$D$311,"мун")</f>
        <v>0</v>
      </c>
      <c r="BV11" s="381">
        <f>COUNTIFS('База практик'!$E$5:$E$311,Расчеты!BV$1,'База практик'!$D$5:$D$311,"мун")</f>
        <v>7</v>
      </c>
      <c r="BW11">
        <f>COUNTIFS('База практик'!$E$5:$E$311,Расчеты!BW$1,'База практик'!$D$5:$D$311,"мун")</f>
        <v>0</v>
      </c>
      <c r="BX11">
        <f>COUNTIFS('База практик'!$E$5:$E$311,Расчеты!BX$1,'База практик'!$D$5:$D$311,"мун")</f>
        <v>0</v>
      </c>
      <c r="BY11">
        <f>COUNTIFS('База практик'!$E$5:$E$311,Расчеты!BY$1,'База практик'!$D$5:$D$311,"мун")</f>
        <v>0</v>
      </c>
      <c r="BZ11">
        <f>COUNTIFS('База практик'!$E$5:$E$311,Расчеты!BZ$1,'База практик'!$D$5:$D$311,"мун")</f>
        <v>0</v>
      </c>
      <c r="CA11" s="381">
        <f>COUNTIFS('База практик'!$E$5:$E$311,Расчеты!CA$1,'База практик'!$D$5:$D$311,"мун")</f>
        <v>7</v>
      </c>
      <c r="CB11">
        <f>COUNTIFS('База практик'!$E$5:$E$311,Расчеты!CB$1,'База практик'!$D$5:$D$311,"мун")</f>
        <v>0</v>
      </c>
      <c r="CC11" s="388">
        <f>COUNTIFS('База практик'!$E$5:$E$311,Расчеты!CC$1,'База практик'!$D$5:$D$311,"мун")</f>
        <v>0</v>
      </c>
      <c r="CD11">
        <f>COUNTIFS('База практик'!$E$5:$E$311,Расчеты!CD$1,'База практик'!$D$5:$D$311,"мун")</f>
        <v>0</v>
      </c>
      <c r="CE11">
        <f>COUNTIFS('База практик'!$E$5:$E$311,Расчеты!CE$1,'База практик'!$D$5:$D$311,"мун")</f>
        <v>3</v>
      </c>
      <c r="CF11">
        <f>COUNTIFS('База практик'!$E$5:$E$311,Расчеты!CF$1,'База практик'!$D$5:$D$311,"мун")</f>
        <v>0</v>
      </c>
      <c r="CG11">
        <f>COUNTIFS('База практик'!$E$5:$E$311,Расчеты!CG$1,'База практик'!$D$5:$D$311,"мун")</f>
        <v>0</v>
      </c>
      <c r="CH11">
        <f>COUNTIFS('База практик'!$E$5:$E$311,Расчеты!CH$1,'База практик'!$D$5:$D$311,"мун")</f>
        <v>0</v>
      </c>
      <c r="CI11">
        <f>COUNTIFS('База практик'!$E$5:$E$311,Расчеты!CI$1,'База практик'!$D$5:$D$311,"мун")</f>
        <v>0</v>
      </c>
      <c r="CJ11">
        <f>COUNTIFS('База практик'!$E$5:$E$311,Расчеты!CJ$1,'База практик'!$D$5:$D$311,"мун")</f>
        <v>0</v>
      </c>
      <c r="CK11" s="388">
        <f>COUNTIFS('База практик'!$E$5:$E$311,Расчеты!CK$1,'База практик'!$D$5:$D$311,"мун")</f>
        <v>0</v>
      </c>
      <c r="CL11">
        <f>COUNTIFS('База практик'!$E$5:$E$311,Расчеты!CL$1,'База практик'!$D$5:$D$311,"мун")</f>
        <v>2</v>
      </c>
      <c r="CM11">
        <f>COUNTIFS('База практик'!$E$5:$E$311,Расчеты!CM$1,'База практик'!$D$5:$D$311,"мун")</f>
        <v>4</v>
      </c>
      <c r="CN11" s="380">
        <f>COUNTIFS('База практик'!$E$5:$E$311,Расчеты!CN$1,'База практик'!$D$5:$D$311,"мун")</f>
        <v>24</v>
      </c>
      <c r="CO11">
        <f>COUNTIFS('База практик'!$E$5:$E$311,Расчеты!CO$1,'База практик'!$D$5:$D$311,"мун")</f>
        <v>2</v>
      </c>
      <c r="CP11" s="388">
        <f>COUNTIFS('База практик'!$E$5:$E$311,Расчеты!CP$1,'База практик'!$D$5:$D$311,"мун")</f>
        <v>0</v>
      </c>
      <c r="CQ11" s="380">
        <f>COUNTIFS('База практик'!$E$5:$E$311,Расчеты!CQ$1,'База практик'!$D$5:$D$311,"мун")</f>
        <v>46</v>
      </c>
      <c r="CR11">
        <f>COUNTIFS('База практик'!$E$5:$E$311,Расчеты!CR$1,'База практик'!$D$5:$D$311,"мун")</f>
        <v>1</v>
      </c>
      <c r="CS11" s="388">
        <f>COUNTIFS('База практик'!$E$5:$E$311,Расчеты!CS$1,'База практик'!$D$5:$D$311,"мун")</f>
        <v>0</v>
      </c>
      <c r="CT11">
        <f>COUNTIFS('База практик'!$E$5:$E$311,Расчеты!CT$1,'База практик'!$D$5:$D$311,"мун")</f>
        <v>1</v>
      </c>
      <c r="CU11">
        <f>COUNTIFS('База практик'!$E$5:$E$311,Расчеты!CU$1,'База практик'!$D$5:$D$311,"мун")</f>
        <v>1</v>
      </c>
      <c r="CV11" s="380">
        <f>COUNTIFS('База практик'!$E$5:$E$311,Расчеты!CV$1,'База практик'!$D$5:$D$311,"мун")</f>
        <v>30</v>
      </c>
      <c r="CW11">
        <f>COUNTIFS('База практик'!$E$5:$E$311,Расчеты!CW$1,'База практик'!$D$5:$D$311,"мун")</f>
        <v>0</v>
      </c>
    </row>
    <row r="12" spans="1:101" s="406" customFormat="1" ht="63.75" x14ac:dyDescent="0.25">
      <c r="A12" s="1682" t="s">
        <v>4852</v>
      </c>
      <c r="B12" s="1685" t="s">
        <v>4829</v>
      </c>
      <c r="C12" s="1674" t="s">
        <v>4853</v>
      </c>
      <c r="D12" s="399" t="s">
        <v>4831</v>
      </c>
      <c r="E12" s="399">
        <v>4</v>
      </c>
      <c r="F12" s="400" t="s">
        <v>4854</v>
      </c>
      <c r="G12" s="401" t="s">
        <v>4855</v>
      </c>
      <c r="H12" s="402" t="s">
        <v>4841</v>
      </c>
      <c r="I12" s="403" t="s">
        <v>4847</v>
      </c>
      <c r="J12" s="404"/>
      <c r="K12" s="404"/>
      <c r="L12" s="404" t="s">
        <v>500</v>
      </c>
      <c r="M12" s="404">
        <v>38</v>
      </c>
      <c r="N12" s="404">
        <v>107</v>
      </c>
      <c r="O12" s="405">
        <v>180</v>
      </c>
      <c r="P12" s="422"/>
    </row>
    <row r="13" spans="1:101" s="406" customFormat="1" ht="102" x14ac:dyDescent="0.25">
      <c r="A13" s="1683"/>
      <c r="B13" s="1686"/>
      <c r="C13" s="1675"/>
      <c r="D13" s="407" t="s">
        <v>4831</v>
      </c>
      <c r="E13" s="407">
        <v>5</v>
      </c>
      <c r="F13" s="408" t="s">
        <v>4856</v>
      </c>
      <c r="G13" s="409" t="s">
        <v>4857</v>
      </c>
      <c r="H13" s="410" t="s">
        <v>4841</v>
      </c>
      <c r="I13" s="411" t="s">
        <v>4847</v>
      </c>
      <c r="J13" s="404"/>
      <c r="K13" s="404"/>
      <c r="L13" s="404"/>
      <c r="M13" s="404">
        <v>74</v>
      </c>
      <c r="N13" s="404">
        <v>86</v>
      </c>
      <c r="O13" s="405">
        <v>69</v>
      </c>
      <c r="P13" s="422"/>
    </row>
    <row r="14" spans="1:101" s="406" customFormat="1" ht="51" x14ac:dyDescent="0.25">
      <c r="A14" s="1683"/>
      <c r="B14" s="1686"/>
      <c r="C14" s="1675"/>
      <c r="D14" s="407" t="s">
        <v>4831</v>
      </c>
      <c r="E14" s="407">
        <v>6</v>
      </c>
      <c r="F14" s="408" t="s">
        <v>4858</v>
      </c>
      <c r="G14" s="412" t="s">
        <v>4859</v>
      </c>
      <c r="H14" s="410" t="s">
        <v>55</v>
      </c>
      <c r="I14" s="411" t="s">
        <v>4838</v>
      </c>
      <c r="J14" s="404"/>
      <c r="K14" s="404"/>
      <c r="L14" s="404"/>
      <c r="M14" s="404">
        <v>33</v>
      </c>
      <c r="N14" s="404">
        <v>44</v>
      </c>
      <c r="O14" s="405">
        <v>53</v>
      </c>
      <c r="P14" s="422"/>
    </row>
    <row r="15" spans="1:101" s="406" customFormat="1" ht="51" x14ac:dyDescent="0.25">
      <c r="A15" s="1683"/>
      <c r="B15" s="1686"/>
      <c r="C15" s="1675"/>
      <c r="D15" s="407" t="s">
        <v>4831</v>
      </c>
      <c r="E15" s="407">
        <v>7</v>
      </c>
      <c r="F15" s="408" t="s">
        <v>4860</v>
      </c>
      <c r="G15" s="412" t="s">
        <v>4861</v>
      </c>
      <c r="H15" s="410" t="s">
        <v>55</v>
      </c>
      <c r="I15" s="411" t="s">
        <v>4838</v>
      </c>
      <c r="J15" s="404"/>
      <c r="K15" s="404"/>
      <c r="L15" s="404"/>
      <c r="M15" s="404">
        <v>33</v>
      </c>
      <c r="N15" s="404">
        <v>40</v>
      </c>
      <c r="O15" s="405">
        <v>38</v>
      </c>
      <c r="P15" s="422"/>
    </row>
    <row r="16" spans="1:101" s="406" customFormat="1" ht="64.5" thickBot="1" x14ac:dyDescent="0.3">
      <c r="A16" s="1684"/>
      <c r="B16" s="1687"/>
      <c r="C16" s="1676"/>
      <c r="D16" s="413" t="s">
        <v>4831</v>
      </c>
      <c r="E16" s="413">
        <v>8</v>
      </c>
      <c r="F16" s="414" t="s">
        <v>4862</v>
      </c>
      <c r="G16" s="415" t="s">
        <v>4863</v>
      </c>
      <c r="H16" s="416" t="s">
        <v>55</v>
      </c>
      <c r="I16" s="417" t="s">
        <v>4838</v>
      </c>
      <c r="J16" s="404"/>
      <c r="K16" s="404"/>
      <c r="L16" s="404"/>
      <c r="M16" s="404" t="s">
        <v>4844</v>
      </c>
      <c r="N16" s="404">
        <v>16</v>
      </c>
      <c r="O16" s="405">
        <v>22</v>
      </c>
      <c r="P16" s="422"/>
    </row>
    <row r="17" spans="1:101" s="406" customFormat="1" ht="63.75" x14ac:dyDescent="0.25">
      <c r="A17" s="1697" t="s">
        <v>550</v>
      </c>
      <c r="B17" s="1700" t="s">
        <v>4829</v>
      </c>
      <c r="C17" s="1703" t="s">
        <v>4864</v>
      </c>
      <c r="D17" s="399" t="s">
        <v>4831</v>
      </c>
      <c r="E17" s="399">
        <v>8</v>
      </c>
      <c r="F17" s="400" t="s">
        <v>4865</v>
      </c>
      <c r="G17" s="423" t="s">
        <v>4866</v>
      </c>
      <c r="H17" s="402" t="s">
        <v>4841</v>
      </c>
      <c r="I17" s="403" t="s">
        <v>4867</v>
      </c>
      <c r="J17" s="404"/>
      <c r="K17" s="404"/>
      <c r="L17" s="404" t="s">
        <v>500</v>
      </c>
      <c r="M17" s="404">
        <v>50</v>
      </c>
      <c r="N17" s="404">
        <v>66</v>
      </c>
      <c r="O17" s="405">
        <v>74</v>
      </c>
      <c r="P17" s="422"/>
    </row>
    <row r="18" spans="1:101" s="406" customFormat="1" ht="102" x14ac:dyDescent="0.25">
      <c r="A18" s="1698"/>
      <c r="B18" s="1701"/>
      <c r="C18" s="1701"/>
      <c r="D18" s="407" t="s">
        <v>4831</v>
      </c>
      <c r="E18" s="407">
        <v>9</v>
      </c>
      <c r="F18" s="408" t="s">
        <v>4868</v>
      </c>
      <c r="G18" s="424" t="s">
        <v>4869</v>
      </c>
      <c r="H18" s="410" t="s">
        <v>4841</v>
      </c>
      <c r="I18" s="411" t="s">
        <v>4867</v>
      </c>
      <c r="J18" s="404"/>
      <c r="K18" s="404"/>
      <c r="L18" s="404"/>
      <c r="M18" s="404">
        <v>25</v>
      </c>
      <c r="N18" s="404">
        <v>91</v>
      </c>
      <c r="O18" s="405">
        <v>147</v>
      </c>
      <c r="Q18" s="406">
        <f>COUNTIFS('База практик'!$E$5:$E$311,Расчеты!Q$1,'База практик'!$D$5:$D$311,"мун")</f>
        <v>0</v>
      </c>
    </row>
    <row r="19" spans="1:101" s="406" customFormat="1" ht="77.25" thickBot="1" x14ac:dyDescent="0.3">
      <c r="A19" s="1699"/>
      <c r="B19" s="1702"/>
      <c r="C19" s="1702"/>
      <c r="D19" s="413" t="s">
        <v>4831</v>
      </c>
      <c r="E19" s="413">
        <v>10</v>
      </c>
      <c r="F19" s="425" t="s">
        <v>4870</v>
      </c>
      <c r="G19" s="426" t="s">
        <v>4871</v>
      </c>
      <c r="H19" s="416" t="s">
        <v>4841</v>
      </c>
      <c r="I19" s="417" t="s">
        <v>4867</v>
      </c>
      <c r="J19" s="404"/>
      <c r="K19" s="404"/>
      <c r="L19" s="404"/>
      <c r="M19" s="404">
        <v>36</v>
      </c>
      <c r="N19" s="404">
        <v>36</v>
      </c>
      <c r="O19" s="405">
        <v>27</v>
      </c>
    </row>
    <row r="20" spans="1:101" ht="25.5" x14ac:dyDescent="0.25">
      <c r="A20" s="1651" t="s">
        <v>4872</v>
      </c>
      <c r="B20" s="127" t="s">
        <v>4829</v>
      </c>
      <c r="C20" s="1636" t="s">
        <v>4873</v>
      </c>
      <c r="D20" s="112" t="s">
        <v>4831</v>
      </c>
      <c r="E20" s="112">
        <v>13</v>
      </c>
      <c r="F20" s="113" t="s">
        <v>4874</v>
      </c>
      <c r="G20" s="123" t="s">
        <v>4875</v>
      </c>
      <c r="H20" s="181" t="s">
        <v>4876</v>
      </c>
      <c r="I20" s="196" t="s">
        <v>4877</v>
      </c>
      <c r="J20" s="171"/>
      <c r="K20" s="171"/>
      <c r="L20" s="171"/>
      <c r="M20" s="171">
        <v>21</v>
      </c>
      <c r="N20" s="197" t="s">
        <v>799</v>
      </c>
      <c r="O20" s="198" t="s">
        <v>799</v>
      </c>
    </row>
    <row r="21" spans="1:101" ht="115.5" thickBot="1" x14ac:dyDescent="0.3">
      <c r="A21" s="1645"/>
      <c r="B21" s="128" t="s">
        <v>4829</v>
      </c>
      <c r="C21" s="1662"/>
      <c r="D21" s="119" t="s">
        <v>4831</v>
      </c>
      <c r="E21" s="119">
        <v>14</v>
      </c>
      <c r="F21" s="125" t="s">
        <v>4878</v>
      </c>
      <c r="G21" s="126" t="s">
        <v>4879</v>
      </c>
      <c r="H21" s="193" t="s">
        <v>52</v>
      </c>
      <c r="I21" s="194" t="s">
        <v>4838</v>
      </c>
      <c r="J21" s="171"/>
      <c r="K21" s="171"/>
      <c r="L21" s="171"/>
      <c r="M21" s="428">
        <v>0.24705882352941178</v>
      </c>
      <c r="N21" s="197" t="s">
        <v>799</v>
      </c>
      <c r="O21" s="198" t="s">
        <v>799</v>
      </c>
    </row>
    <row r="22" spans="1:101" ht="76.5" x14ac:dyDescent="0.25">
      <c r="A22" s="129" t="s">
        <v>4880</v>
      </c>
      <c r="B22" s="130" t="s">
        <v>4881</v>
      </c>
      <c r="C22" s="131" t="s">
        <v>4882</v>
      </c>
      <c r="D22" s="112" t="s">
        <v>4831</v>
      </c>
      <c r="E22" s="112">
        <v>11</v>
      </c>
      <c r="F22" s="113" t="s">
        <v>4883</v>
      </c>
      <c r="G22" s="123" t="s">
        <v>4884</v>
      </c>
      <c r="H22" s="181" t="s">
        <v>49</v>
      </c>
      <c r="I22" s="132" t="s">
        <v>4885</v>
      </c>
      <c r="J22" s="171"/>
      <c r="K22" s="171"/>
      <c r="L22" s="171" t="s">
        <v>656</v>
      </c>
      <c r="M22" s="171" t="s">
        <v>4844</v>
      </c>
      <c r="N22" s="171" t="s">
        <v>4844</v>
      </c>
      <c r="O22" s="171" t="s">
        <v>4844</v>
      </c>
      <c r="P22" s="171" t="s">
        <v>4844</v>
      </c>
      <c r="Q22" s="429">
        <f>'База практик'!J5</f>
        <v>2018</v>
      </c>
      <c r="R22" s="429">
        <f>'База практик'!J7</f>
        <v>2017</v>
      </c>
      <c r="S22" s="429">
        <f>'База практик'!J9</f>
        <v>2017</v>
      </c>
      <c r="T22" s="429">
        <f>'База практик'!J11</f>
        <v>2018</v>
      </c>
      <c r="U22" s="429">
        <f>'База практик'!J13</f>
        <v>2019</v>
      </c>
      <c r="V22" s="429" t="e">
        <f>'База практик'!#REF!</f>
        <v>#REF!</v>
      </c>
      <c r="W22" s="429">
        <f>'База практик'!J17</f>
        <v>2014</v>
      </c>
      <c r="X22" s="388">
        <v>0</v>
      </c>
      <c r="Y22" s="429">
        <f>'База практик'!J25</f>
        <v>2018</v>
      </c>
      <c r="Z22" s="429">
        <f>'База практик'!J26</f>
        <v>2013</v>
      </c>
      <c r="AA22" s="429">
        <f>'База практик'!J29</f>
        <v>2013</v>
      </c>
      <c r="AB22" s="429">
        <f>'База практик'!J31</f>
        <v>2019</v>
      </c>
      <c r="AC22" s="429">
        <f>'База практик'!J32</f>
        <v>2015</v>
      </c>
      <c r="AD22" s="429">
        <f>'База практик'!J35</f>
        <v>2015</v>
      </c>
      <c r="AE22" s="429">
        <f>'База практик'!J37</f>
        <v>2018</v>
      </c>
      <c r="AF22" s="388">
        <v>0</v>
      </c>
      <c r="AG22" s="429">
        <f>'База практик'!J39</f>
        <v>2020</v>
      </c>
      <c r="AH22" s="429">
        <f>'База практик'!J40</f>
        <v>2019</v>
      </c>
      <c r="AI22" s="429">
        <f>'База практик'!J41</f>
        <v>2019</v>
      </c>
      <c r="AJ22" s="429">
        <f>'База практик'!J42</f>
        <v>2011</v>
      </c>
      <c r="AK22" s="429">
        <f>'База практик'!J43</f>
        <v>2020</v>
      </c>
      <c r="AL22" s="429">
        <f>'База практик'!J44</f>
        <v>2011</v>
      </c>
      <c r="AM22" s="429">
        <f>'База практик'!J49</f>
        <v>2019</v>
      </c>
      <c r="AN22">
        <f>'База практик'!J50</f>
        <v>2017</v>
      </c>
      <c r="AO22" s="388">
        <v>0</v>
      </c>
      <c r="AP22" s="388">
        <v>0</v>
      </c>
      <c r="AQ22" s="429">
        <f>'База практик'!J57</f>
        <v>2014</v>
      </c>
      <c r="AR22" s="429">
        <f>'База практик'!J60</f>
        <v>2010</v>
      </c>
      <c r="AS22" s="429">
        <f>'База практик'!J62</f>
        <v>2010</v>
      </c>
      <c r="AT22" s="429">
        <f>'База практик'!J63</f>
        <v>2017</v>
      </c>
      <c r="AU22" s="429">
        <f>'База практик'!J65</f>
        <v>2015</v>
      </c>
      <c r="AV22" s="429">
        <f>'База практик'!J69</f>
        <v>2010</v>
      </c>
      <c r="AW22" s="429">
        <f>'База практик'!J73</f>
        <v>2017</v>
      </c>
      <c r="AX22" s="429">
        <f>'База практик'!J75</f>
        <v>2017</v>
      </c>
      <c r="AY22" s="429">
        <f>'База практик'!J78</f>
        <v>2017</v>
      </c>
      <c r="AZ22" s="429">
        <f>'База практик'!J80</f>
        <v>2020</v>
      </c>
      <c r="BA22" s="429">
        <f>'База практик'!J82</f>
        <v>2013</v>
      </c>
      <c r="BB22" s="429">
        <f>'База практик'!J84</f>
        <v>2018</v>
      </c>
      <c r="BC22" s="388">
        <v>0</v>
      </c>
      <c r="BD22" s="429">
        <f>'База практик'!J87</f>
        <v>2014</v>
      </c>
      <c r="BE22" s="388">
        <v>0</v>
      </c>
      <c r="BF22" s="388">
        <v>0</v>
      </c>
      <c r="BG22" s="429">
        <f>'База практик'!J90</f>
        <v>2020</v>
      </c>
      <c r="BH22" s="429">
        <f>'База практик'!J91</f>
        <v>2017</v>
      </c>
      <c r="BI22" s="429">
        <f>'База практик'!J92</f>
        <v>2017</v>
      </c>
      <c r="BJ22" s="429">
        <f>'База практик'!J94</f>
        <v>2013</v>
      </c>
      <c r="BK22" s="429">
        <f>'База практик'!J101</f>
        <v>2016</v>
      </c>
      <c r="BL22" s="429">
        <f>'База практик'!J109</f>
        <v>2017</v>
      </c>
      <c r="BM22" s="429">
        <f>'База практик'!J110</f>
        <v>2018</v>
      </c>
      <c r="BN22" s="429">
        <f>'База практик'!J121</f>
        <v>2016</v>
      </c>
      <c r="BO22" s="429">
        <f>'База практик'!J129</f>
        <v>2014</v>
      </c>
      <c r="BP22" s="429">
        <f>'База практик'!J132</f>
        <v>2015</v>
      </c>
      <c r="BQ22" s="429">
        <f>'База практик'!J133</f>
        <v>2017</v>
      </c>
      <c r="BR22" s="388">
        <v>0</v>
      </c>
      <c r="BS22" s="429">
        <f>'База практик'!J132</f>
        <v>2015</v>
      </c>
      <c r="BT22" s="429">
        <f>'База практик'!J136</f>
        <v>2019</v>
      </c>
      <c r="BU22" s="429">
        <f>'База практик'!J138</f>
        <v>2017</v>
      </c>
      <c r="BV22" s="429">
        <f>'База практик'!J142</f>
        <v>2013</v>
      </c>
      <c r="BW22" s="429">
        <f>'База практик'!J149</f>
        <v>2016</v>
      </c>
      <c r="BX22" s="429">
        <f>'База практик'!J151</f>
        <v>2017</v>
      </c>
      <c r="BY22" s="429">
        <f>'База практик'!J152</f>
        <v>2017</v>
      </c>
      <c r="BZ22">
        <f>'База практик'!J155</f>
        <v>2018</v>
      </c>
      <c r="CA22" s="429">
        <f>'База практик'!J161</f>
        <v>2016</v>
      </c>
      <c r="CB22" s="429">
        <f>'База практик'!J166</f>
        <v>2017</v>
      </c>
      <c r="CC22" s="388">
        <v>0</v>
      </c>
      <c r="CD22" s="429">
        <f>'База практик'!J168</f>
        <v>2018</v>
      </c>
      <c r="CE22" s="429">
        <f>'База практик'!J169</f>
        <v>2007</v>
      </c>
      <c r="CF22" s="429">
        <f>'База практик'!J175</f>
        <v>2012</v>
      </c>
      <c r="CG22" s="429">
        <f>'База практик'!J178</f>
        <v>2010</v>
      </c>
      <c r="CH22" s="429">
        <f>'База практик'!J178</f>
        <v>2010</v>
      </c>
      <c r="CI22" s="429">
        <f>'База практик'!J180</f>
        <v>2018</v>
      </c>
      <c r="CJ22" s="429">
        <f>'База практик'!J181</f>
        <v>2011</v>
      </c>
      <c r="CK22" s="388">
        <v>0</v>
      </c>
      <c r="CL22" s="429">
        <f>'База практик'!J186</f>
        <v>2018</v>
      </c>
      <c r="CM22" s="429">
        <f>'База практик'!J191</f>
        <v>2019</v>
      </c>
      <c r="CN22" s="429">
        <f>'База практик'!J219</f>
        <v>2015</v>
      </c>
      <c r="CO22" s="429">
        <f>'База практик'!J222</f>
        <v>2014</v>
      </c>
      <c r="CP22" s="388">
        <v>0</v>
      </c>
      <c r="CQ22" s="429">
        <f>'База практик'!J229</f>
        <v>2011</v>
      </c>
      <c r="CR22" s="429">
        <f>'База практик'!J273</f>
        <v>2015</v>
      </c>
      <c r="CS22" s="388">
        <v>0</v>
      </c>
      <c r="CT22" s="429">
        <f>'База практик'!J276</f>
        <v>2017</v>
      </c>
      <c r="CU22" s="429">
        <f>'База практик'!J279</f>
        <v>2018</v>
      </c>
      <c r="CV22" s="429">
        <f>'База практик'!J306</f>
        <v>2018</v>
      </c>
      <c r="CW22" s="430">
        <f>'База практик'!J311</f>
        <v>2017</v>
      </c>
    </row>
    <row r="23" spans="1:101" ht="64.5" thickBot="1" x14ac:dyDescent="0.3">
      <c r="A23" s="133" t="s">
        <v>4886</v>
      </c>
      <c r="B23" s="134" t="s">
        <v>4829</v>
      </c>
      <c r="C23" s="135" t="s">
        <v>4887</v>
      </c>
      <c r="D23" s="119" t="s">
        <v>4831</v>
      </c>
      <c r="E23" s="119">
        <v>12</v>
      </c>
      <c r="F23" s="125" t="s">
        <v>4888</v>
      </c>
      <c r="G23" s="126" t="s">
        <v>4889</v>
      </c>
      <c r="H23" s="193" t="s">
        <v>4890</v>
      </c>
      <c r="I23" s="194" t="s">
        <v>4891</v>
      </c>
      <c r="J23" s="171"/>
      <c r="K23" s="171"/>
      <c r="L23" s="171"/>
      <c r="M23" s="199">
        <v>333.35210659223816</v>
      </c>
      <c r="N23" s="199">
        <v>343.51835528226104</v>
      </c>
      <c r="O23" s="200">
        <v>409.04981680155589</v>
      </c>
      <c r="P23" s="169">
        <f>AVERAGE(Q23:CW23)</f>
        <v>338.75376826344285</v>
      </c>
      <c r="Q23">
        <f>SUMIFS('База практик'!$M$5:$M$311,'База практик'!$E$5:$E$311,Расчеты!Q$1)/Q$7</f>
        <v>245</v>
      </c>
      <c r="R23">
        <f>SUMIFS('База практик'!$M$5:$M$311,'База практик'!$E$5:$E$311,Расчеты!R$1)/R$7</f>
        <v>268.66666666666669</v>
      </c>
      <c r="S23">
        <f>SUMIFS('База практик'!$M$5:$M$311,'База практик'!$E$5:$E$311,Расчеты!S$1)/S$7</f>
        <v>487.5</v>
      </c>
      <c r="T23">
        <f>SUMIFS('База практик'!$M$5:$M$311,'База практик'!$E$5:$E$311,Расчеты!T$1)/T$7</f>
        <v>213</v>
      </c>
      <c r="U23">
        <f>SUMIFS('База практик'!$M$5:$M$311,'База практик'!$E$5:$E$311,Расчеты!U$1)/U$7</f>
        <v>623</v>
      </c>
      <c r="V23">
        <f>SUMIFS('База практик'!$M$5:$M$311,'База практик'!$E$5:$E$311,Расчеты!V$1)/V$7</f>
        <v>318</v>
      </c>
      <c r="W23">
        <f>SUMIFS('База практик'!$M$5:$M$311,'База практик'!$E$5:$E$311,Расчеты!W$1)/W$7</f>
        <v>253.28571428571428</v>
      </c>
      <c r="X23">
        <v>0</v>
      </c>
      <c r="Y23">
        <v>0</v>
      </c>
      <c r="Z23">
        <v>0</v>
      </c>
      <c r="AA23">
        <f>SUMIFS('База практик'!$M$5:$M$311,'База практик'!$E$5:$E$311,Расчеты!AA$1)/AA$7</f>
        <v>344</v>
      </c>
      <c r="AB23">
        <f>SUMIFS('База практик'!$M$5:$M$311,'База практик'!$E$5:$E$311,Расчеты!AB$1)/AB$7</f>
        <v>260</v>
      </c>
      <c r="AC23">
        <f>SUMIFS('База практик'!$M$5:$M$311,'База практик'!$E$5:$E$311,Расчеты!AC$1)/AC$7</f>
        <v>472</v>
      </c>
      <c r="AD23">
        <f>SUMIFS('База практик'!$M$5:$M$311,'База практик'!$E$5:$E$311,Расчеты!AD$1)/AD$7</f>
        <v>502</v>
      </c>
      <c r="AE23">
        <f>SUMIFS('База практик'!$M$5:$M$311,'База практик'!$E$5:$E$311,Расчеты!AE$1)/AE$7</f>
        <v>1002</v>
      </c>
      <c r="AF23">
        <v>0</v>
      </c>
      <c r="AG23">
        <f>SUMIFS('База практик'!$M$5:$M$311,'База практик'!$E$5:$E$311,Расчеты!AG$1)/AG$7</f>
        <v>183</v>
      </c>
      <c r="AH23">
        <f>SUMIFS('База практик'!$M$5:$M$311,'База практик'!$E$5:$E$311,Расчеты!AH$1)/AH$7</f>
        <v>260</v>
      </c>
      <c r="AI23">
        <f>SUMIFS('База практик'!$M$5:$M$311,'База практик'!$E$5:$E$311,Расчеты!AI$1)/AI$7</f>
        <v>152</v>
      </c>
      <c r="AJ23">
        <f>SUMIFS('База практик'!$M$5:$M$311,'База практик'!$E$5:$E$311,Расчеты!AJ$1)/AJ$7</f>
        <v>299</v>
      </c>
      <c r="AK23">
        <f>SUMIFS('База практик'!$M$5:$M$311,'База практик'!$E$5:$E$311,Расчеты!AK$1)/AK$7</f>
        <v>365</v>
      </c>
      <c r="AL23">
        <f>SUMIFS('База практик'!$M$5:$M$311,'База практик'!$E$5:$E$311,Расчеты!AL$1)/AL$7</f>
        <v>369.75</v>
      </c>
      <c r="AM23">
        <f>SUMIFS('База практик'!$M$5:$M$311,'База практик'!$E$5:$E$311,Расчеты!AM$1)/AM$7</f>
        <v>19</v>
      </c>
      <c r="AN23">
        <f>SUMIFS('База практик'!$M$5:$M$311,'База практик'!$E$5:$E$311,Расчеты!AN$1)/AN$7</f>
        <v>400.6</v>
      </c>
      <c r="AO23">
        <v>0</v>
      </c>
      <c r="AP23">
        <v>0</v>
      </c>
      <c r="AQ23">
        <f>SUMIFS('База практик'!$M$5:$M$311,'База практик'!$E$5:$E$311,Расчеты!AQ$1)/AQ$7</f>
        <v>317</v>
      </c>
      <c r="AR23">
        <f>SUMIFS('База практик'!$M$5:$M$311,'База практик'!$E$5:$E$311,Расчеты!AR$1)/AR$7</f>
        <v>301</v>
      </c>
      <c r="AS23">
        <f>SUMIFS('База практик'!$M$5:$M$311,'База практик'!$E$5:$E$311,Расчеты!AS$1)/AS$7</f>
        <v>989</v>
      </c>
      <c r="AT23">
        <f>SUMIFS('База практик'!$M$5:$M$311,'База практик'!$E$5:$E$311,Расчеты!AT$1)/AT$7</f>
        <v>671</v>
      </c>
      <c r="AU23">
        <f>SUMIFS('База практик'!$M$5:$M$311,'База практик'!$E$5:$E$311,Расчеты!AU$1)/AU$7</f>
        <v>281.25</v>
      </c>
      <c r="AV23">
        <f>SUMIFS('База практик'!$M$5:$M$311,'База практик'!$E$5:$E$311,Расчеты!AV$1)/AV$7</f>
        <v>333.8</v>
      </c>
      <c r="AW23">
        <f>SUMIFS('База практик'!$M$5:$M$311,'База практик'!$E$5:$E$311,Расчеты!AW$1)/AW$7</f>
        <v>711</v>
      </c>
      <c r="AX23">
        <f>SUMIFS('База практик'!$M$5:$M$311,'База практик'!$E$5:$E$311,Расчеты!AX$1)/AX$7</f>
        <v>679.66666666666663</v>
      </c>
      <c r="AY23">
        <f>SUMIFS('База практик'!$M$5:$M$311,'База практик'!$E$5:$E$311,Расчеты!AY$1)/AY$7</f>
        <v>680</v>
      </c>
      <c r="AZ23">
        <f>SUMIFS('База практик'!$M$5:$M$311,'База практик'!$E$5:$E$311,Расчеты!AZ$1)/AZ$7</f>
        <v>179.5</v>
      </c>
      <c r="BA23">
        <f>SUMIFS('База практик'!$M$5:$M$311,'База практик'!$E$5:$E$311,Расчеты!BA$1)/BA$7</f>
        <v>357</v>
      </c>
      <c r="BB23">
        <f>SUMIFS('База практик'!$M$5:$M$311,'База практик'!$E$5:$E$311,Расчеты!BB$1)/BB$7</f>
        <v>365</v>
      </c>
      <c r="BC23">
        <v>0</v>
      </c>
      <c r="BD23">
        <f>SUMIFS('База практик'!$M$5:$M$311,'База практик'!$E$5:$E$311,Расчеты!BD$1)/BD$7</f>
        <v>514</v>
      </c>
      <c r="BE23">
        <v>0</v>
      </c>
      <c r="BF23">
        <v>0</v>
      </c>
      <c r="BG23">
        <f>SUMIFS('База практик'!$M$5:$M$311,'База практик'!$E$5:$E$311,Расчеты!BG$1)/BG$7</f>
        <v>226</v>
      </c>
      <c r="BH23">
        <f>SUMIFS('База практик'!$M$5:$M$311,'База практик'!$E$5:$E$311,Расчеты!BH$1)/BH$7</f>
        <v>365</v>
      </c>
      <c r="BI23">
        <f>SUMIFS('База практик'!$M$5:$M$311,'База практик'!$E$5:$E$311,Расчеты!BI$1)/BI$7</f>
        <v>336</v>
      </c>
      <c r="BJ23">
        <f>SUMIFS('База практик'!$M$5:$M$311,'База практик'!$E$5:$E$311,Расчеты!BJ$1)/BJ$7</f>
        <v>350.33333333333331</v>
      </c>
      <c r="BK23">
        <f>SUMIFS('База практик'!$M$5:$M$311,'База практик'!$E$5:$E$311,Расчеты!BK$1)/BK$7</f>
        <v>383.46153846153845</v>
      </c>
      <c r="BL23">
        <f>SUMIFS('База практик'!$M$5:$M$311,'База практик'!$E$5:$E$311,Расчеты!BL$1)/BL$7</f>
        <v>465</v>
      </c>
      <c r="BM23">
        <f>SUMIFS('База практик'!$M$5:$M$311,'База практик'!$E$5:$E$311,Расчеты!BM$1)/BM$7</f>
        <v>324.5</v>
      </c>
      <c r="BN23">
        <f>SUMIFS('База практик'!$M$5:$M$311,'База практик'!$E$5:$E$311,Расчеты!BN$1)/BN$7</f>
        <v>254.75</v>
      </c>
      <c r="BO23">
        <f>SUMIFS('База практик'!$M$5:$M$311,'База практик'!$E$5:$E$311,Расчеты!BO$1)/BO$7</f>
        <v>444.33333333333331</v>
      </c>
      <c r="BP23">
        <f>SUMIFS('База практик'!$M$5:$M$311,'База практик'!$E$5:$E$311,Расчеты!BP$1)/BP$7</f>
        <v>199</v>
      </c>
      <c r="BQ23">
        <f>SUMIFS('База практик'!$M$5:$M$311,'База практик'!$E$5:$E$311,Расчеты!BQ$1)/BQ$7</f>
        <v>473</v>
      </c>
      <c r="BR23">
        <v>0</v>
      </c>
      <c r="BS23">
        <f>SUMIFS('База практик'!$M$5:$M$311,'База практик'!$E$5:$E$311,Расчеты!BS$1)/BS$7</f>
        <v>213</v>
      </c>
      <c r="BT23">
        <f>SUMIFS('База практик'!$M$5:$M$311,'База практик'!$E$5:$E$311,Расчеты!BT$1)/BT$7</f>
        <v>353.5</v>
      </c>
      <c r="BU23">
        <f>SUMIFS('База практик'!$M$5:$M$311,'База практик'!$E$5:$E$311,Расчеты!BU$1)/BU$7</f>
        <v>351.5</v>
      </c>
      <c r="BV23">
        <f>SUMIFS('База практик'!$M$5:$M$311,'База практик'!$E$5:$E$311,Расчеты!BV$1)/BV$7</f>
        <v>451.25</v>
      </c>
      <c r="BW23">
        <f>SUMIFS('База практик'!$M$5:$M$311,'База практик'!$E$5:$E$311,Расчеты!BW$1)/BW$7</f>
        <v>588</v>
      </c>
      <c r="BX23">
        <f>SUMIFS('База практик'!$M$5:$M$311,'База практик'!$E$5:$E$311,Расчеты!BX$1)/BX$7</f>
        <v>330</v>
      </c>
      <c r="BY23">
        <f>SUMIFS('База практик'!$M$5:$M$311,'База практик'!$E$5:$E$311,Расчеты!BY$1)/BY$7</f>
        <v>365</v>
      </c>
      <c r="BZ23">
        <f>SUMIFS('База практик'!$M$5:$M$311,'База практик'!$E$5:$E$311,Расчеты!BZ$1)/BZ$7</f>
        <v>811.66666666666663</v>
      </c>
      <c r="CA23">
        <f>SUMIFS('База практик'!$M$5:$M$311,'База практик'!$E$5:$E$311,Расчеты!CA$1)/CA$7</f>
        <v>313.7</v>
      </c>
      <c r="CB23">
        <f>SUMIFS('База практик'!$M$5:$M$311,'База практик'!$E$5:$E$311,Расчеты!CB$1)/CB$7</f>
        <v>694</v>
      </c>
      <c r="CC23">
        <v>0</v>
      </c>
      <c r="CD23">
        <f>SUMIFS('База практик'!$M$5:$M$311,'База практик'!$E$5:$E$311,Расчеты!CD$1)/CD$7</f>
        <v>332</v>
      </c>
      <c r="CE23">
        <f>SUMIFS('База практик'!$M$5:$M$311,'База практик'!$E$5:$E$311,Расчеты!CE$1)/CE$7</f>
        <v>481.75</v>
      </c>
      <c r="CF23">
        <f>SUMIFS('База практик'!$M$5:$M$311,'База практик'!$E$5:$E$311,Расчеты!CF$1)/CF$7</f>
        <v>309</v>
      </c>
      <c r="CG23">
        <f>SUMIFS('База практик'!$M$5:$M$311,'База практик'!$E$5:$E$311,Расчеты!CG$1)/CG$7</f>
        <v>1549.5</v>
      </c>
      <c r="CH23">
        <f>SUMIFS('База практик'!$M$5:$M$311,'База практик'!$E$5:$E$311,Расчеты!CH$1)/CH$7</f>
        <v>426</v>
      </c>
      <c r="CI23">
        <f>SUMIFS('База практик'!$M$5:$M$311,'База практик'!$E$5:$E$311,Расчеты!CI$1)/CI$7</f>
        <v>121</v>
      </c>
      <c r="CJ23">
        <f>SUMIFS('База практик'!$M$5:$M$311,'База практик'!$E$5:$E$311,Расчеты!CJ$1)/CJ$7</f>
        <v>722</v>
      </c>
      <c r="CK23">
        <v>0</v>
      </c>
      <c r="CL23">
        <f>SUMIFS('База практик'!$M$5:$M$311,'База практик'!$E$5:$E$311,Расчеты!CL$1)/CL$7</f>
        <v>419.5</v>
      </c>
      <c r="CM23">
        <f>SUMIFS('База практик'!$M$5:$M$311,'База практик'!$E$5:$E$311,Расчеты!CM$1)/CM$7</f>
        <v>249.5</v>
      </c>
      <c r="CN23">
        <f>SUMIFS('База практик'!$M$5:$M$311,'База практик'!$E$5:$E$311,Расчеты!CN$1)/CN$7</f>
        <v>256.33333333333331</v>
      </c>
      <c r="CO23">
        <f>SUMIFS('База практик'!$M$5:$M$311,'База практик'!$E$5:$E$311,Расчеты!CO$1)/CO$7</f>
        <v>207.8</v>
      </c>
      <c r="CP23">
        <v>0</v>
      </c>
      <c r="CQ23">
        <f>SUMIFS('База практик'!$M$5:$M$311,'База практик'!$E$5:$E$311,Расчеты!CQ$1)/CQ$7</f>
        <v>202.10638297872342</v>
      </c>
      <c r="CR23">
        <f>SUMIFS('База практик'!$M$5:$M$311,'База практик'!$E$5:$E$311,Расчеты!CR$1)/CR$7</f>
        <v>470.5</v>
      </c>
      <c r="CS23">
        <v>0</v>
      </c>
      <c r="CT23">
        <f>SUMIFS('База практик'!$M$5:$M$311,'База практик'!$E$5:$E$311,Расчеты!CT$1)/CT$7</f>
        <v>334.5</v>
      </c>
      <c r="CU23">
        <f>SUMIFS('База практик'!$M$5:$M$311,'База практик'!$E$5:$E$311,Расчеты!CU$1)/CU$7</f>
        <v>243</v>
      </c>
      <c r="CV23">
        <f>SUMIFS('База практик'!$M$5:$M$311,'База практик'!$E$5:$E$311,Расчеты!CV$1)/CV$7</f>
        <v>349.56666666666666</v>
      </c>
      <c r="CW23">
        <f>SUMIFS('База практик'!$M$5:$M$311,'База практик'!$E$5:$E$311,Расчеты!CW$1)/CW$7</f>
        <v>411</v>
      </c>
    </row>
    <row r="24" spans="1:101" ht="26.25" thickBot="1" x14ac:dyDescent="0.3">
      <c r="A24" s="1694" t="s">
        <v>4892</v>
      </c>
      <c r="B24" s="1634" t="s">
        <v>4881</v>
      </c>
      <c r="C24" s="1641" t="s">
        <v>4893</v>
      </c>
      <c r="D24" s="112" t="s">
        <v>4831</v>
      </c>
      <c r="E24" s="112">
        <v>15</v>
      </c>
      <c r="F24" s="113" t="s">
        <v>4894</v>
      </c>
      <c r="G24" s="123" t="s">
        <v>4895</v>
      </c>
      <c r="H24" s="181" t="s">
        <v>55</v>
      </c>
      <c r="I24" s="194" t="s">
        <v>4896</v>
      </c>
      <c r="J24" s="171"/>
      <c r="K24" s="171"/>
      <c r="L24" s="171"/>
      <c r="M24" s="171">
        <v>20</v>
      </c>
      <c r="N24" s="171">
        <v>14</v>
      </c>
      <c r="O24" s="172">
        <v>20</v>
      </c>
      <c r="Q24" t="str">
        <f>'База практик'!CJ5</f>
        <v>нет</v>
      </c>
      <c r="R24" t="str">
        <f>'База практик'!CJ6</f>
        <v>нет</v>
      </c>
      <c r="S24" t="str">
        <f>'База практик'!CJ9</f>
        <v>Да</v>
      </c>
      <c r="T24" t="str">
        <f>'База практик'!CJ11</f>
        <v>Да</v>
      </c>
      <c r="U24" t="str">
        <f>'База практик'!CJ13</f>
        <v>Да</v>
      </c>
      <c r="V24" t="str">
        <f>'База практик'!CJ15</f>
        <v>нет</v>
      </c>
      <c r="W24" t="str">
        <f>'База практик'!CJ17</f>
        <v>Да</v>
      </c>
      <c r="Y24" t="str">
        <f>'База практик'!CJ25</f>
        <v>да</v>
      </c>
      <c r="Z24" t="str">
        <f>'База практик'!CJ26</f>
        <v>да</v>
      </c>
      <c r="AA24" t="str">
        <f>'База практик'!CJ30</f>
        <v>нет</v>
      </c>
      <c r="AB24" t="str">
        <f>'База практик'!CJ31</f>
        <v>да</v>
      </c>
      <c r="AC24" t="str">
        <f>'База практик'!CJ32</f>
        <v>Нет</v>
      </c>
      <c r="AD24" t="str">
        <f>'База практик'!CJ35</f>
        <v>да</v>
      </c>
      <c r="AE24" t="str">
        <f>'База практик'!CJ36</f>
        <v>нет</v>
      </c>
      <c r="AG24" t="str">
        <f>'База практик'!CJ39</f>
        <v>нет</v>
      </c>
      <c r="AH24" t="str">
        <f>'База практик'!CJ40</f>
        <v>нет</v>
      </c>
      <c r="AI24" t="str">
        <f>'База практик'!CJ41</f>
        <v>нет</v>
      </c>
      <c r="AJ24" t="str">
        <f>'База практик'!CJ42</f>
        <v>да</v>
      </c>
      <c r="AK24" t="str">
        <f>'База практик'!CJ43</f>
        <v>нет</v>
      </c>
      <c r="AL24" t="str">
        <f>'База практик'!CJ47</f>
        <v>нет</v>
      </c>
      <c r="AM24" t="str">
        <f>'База практик'!CJ48</f>
        <v>нет</v>
      </c>
      <c r="AN24" s="431" t="str">
        <f>'База практик'!CJ54</f>
        <v>нет</v>
      </c>
      <c r="AQ24" t="str">
        <f>'База практик'!CJ58</f>
        <v>нет</v>
      </c>
      <c r="AR24" t="str">
        <f>'База практик'!CJ59</f>
        <v>нет</v>
      </c>
      <c r="AS24" t="str">
        <f>'База практик'!CJ62</f>
        <v>нет</v>
      </c>
      <c r="AT24" t="str">
        <f>'База практик'!CJ63</f>
        <v>Да</v>
      </c>
      <c r="AU24" t="str">
        <f>'База практик'!CJ67</f>
        <v>нет</v>
      </c>
      <c r="AV24" t="str">
        <f>'База практик'!CJ72</f>
        <v>нет</v>
      </c>
      <c r="AW24" t="str">
        <f>'База практик'!CJ73</f>
        <v>да</v>
      </c>
      <c r="AX24" t="str">
        <f>'База практик'!CJ76</f>
        <v>нет</v>
      </c>
      <c r="AY24" t="str">
        <f>'База практик'!CJ78</f>
        <v>нет</v>
      </c>
      <c r="AZ24" t="str">
        <f>'База практик'!CJ80</f>
        <v>нет</v>
      </c>
      <c r="BA24" t="str">
        <f>'База практик'!CJ82</f>
        <v>да</v>
      </c>
      <c r="BB24" t="str">
        <f>'База практик'!CJ84</f>
        <v>нет</v>
      </c>
      <c r="BD24" t="str">
        <f>'База практик'!CJ86</f>
        <v>нет</v>
      </c>
      <c r="BG24" t="str">
        <f>'База практик'!CJ90</f>
        <v>нет</v>
      </c>
      <c r="BH24" t="str">
        <f>'База практик'!CJ91</f>
        <v>нет</v>
      </c>
      <c r="BI24" t="str">
        <f>'База практик'!CJ92</f>
        <v>нет</v>
      </c>
    </row>
    <row r="25" spans="1:101" ht="89.25" x14ac:dyDescent="0.25">
      <c r="A25" s="1695"/>
      <c r="B25" s="1635"/>
      <c r="C25" s="1642"/>
      <c r="D25" s="115" t="s">
        <v>4831</v>
      </c>
      <c r="E25" s="115">
        <v>16</v>
      </c>
      <c r="F25" s="116" t="s">
        <v>4897</v>
      </c>
      <c r="G25" s="124" t="s">
        <v>4898</v>
      </c>
      <c r="H25" s="183" t="s">
        <v>4899</v>
      </c>
      <c r="I25" s="184" t="s">
        <v>4847</v>
      </c>
      <c r="J25" s="171"/>
      <c r="K25" s="171"/>
      <c r="L25" s="171"/>
      <c r="M25" s="171">
        <v>189</v>
      </c>
      <c r="N25" s="171">
        <v>168</v>
      </c>
      <c r="O25" s="172">
        <v>390</v>
      </c>
    </row>
    <row r="26" spans="1:101" ht="63.75" x14ac:dyDescent="0.25">
      <c r="A26" s="1695"/>
      <c r="B26" s="102" t="s">
        <v>4829</v>
      </c>
      <c r="C26" s="1642"/>
      <c r="D26" s="115" t="s">
        <v>4831</v>
      </c>
      <c r="E26" s="115">
        <v>17</v>
      </c>
      <c r="F26" s="116" t="s">
        <v>4900</v>
      </c>
      <c r="G26" s="124" t="s">
        <v>4901</v>
      </c>
      <c r="H26" s="183" t="s">
        <v>4899</v>
      </c>
      <c r="I26" s="184" t="s">
        <v>4838</v>
      </c>
      <c r="J26" s="171"/>
      <c r="K26" s="171"/>
      <c r="L26" s="171"/>
      <c r="M26" s="171">
        <v>10.5</v>
      </c>
      <c r="N26" s="171">
        <v>10.5</v>
      </c>
      <c r="O26" s="201">
        <v>16.956521739130434</v>
      </c>
    </row>
    <row r="27" spans="1:101" ht="89.25" x14ac:dyDescent="0.25">
      <c r="A27" s="1695"/>
      <c r="B27" s="102"/>
      <c r="C27" s="1642"/>
      <c r="D27" s="115" t="s">
        <v>4831</v>
      </c>
      <c r="E27" s="115">
        <v>18</v>
      </c>
      <c r="F27" s="118" t="s">
        <v>4902</v>
      </c>
      <c r="G27" s="124" t="s">
        <v>4903</v>
      </c>
      <c r="H27" s="183" t="s">
        <v>4904</v>
      </c>
      <c r="I27" s="184" t="s">
        <v>4847</v>
      </c>
      <c r="J27" s="171"/>
      <c r="K27" s="171"/>
      <c r="L27" s="171"/>
      <c r="M27" s="171" t="s">
        <v>4844</v>
      </c>
      <c r="N27" s="171">
        <v>710</v>
      </c>
      <c r="O27" s="172">
        <v>844</v>
      </c>
    </row>
    <row r="28" spans="1:101" ht="64.5" thickBot="1" x14ac:dyDescent="0.3">
      <c r="A28" s="1696"/>
      <c r="B28" s="128"/>
      <c r="C28" s="1656"/>
      <c r="D28" s="119" t="s">
        <v>4831</v>
      </c>
      <c r="E28" s="119">
        <v>19</v>
      </c>
      <c r="F28" s="120" t="s">
        <v>4905</v>
      </c>
      <c r="G28" s="126" t="s">
        <v>4906</v>
      </c>
      <c r="H28" s="193" t="s">
        <v>4904</v>
      </c>
      <c r="I28" s="194" t="s">
        <v>4838</v>
      </c>
      <c r="J28" s="171"/>
      <c r="K28" s="171"/>
      <c r="L28" s="171"/>
      <c r="M28" s="171" t="s">
        <v>4844</v>
      </c>
      <c r="N28" s="171">
        <v>14.2</v>
      </c>
      <c r="O28" s="201">
        <v>17.957446808510639</v>
      </c>
    </row>
    <row r="29" spans="1:101" ht="51" x14ac:dyDescent="0.25">
      <c r="A29" s="1677">
        <v>34</v>
      </c>
      <c r="B29" s="136"/>
      <c r="C29" s="136"/>
      <c r="D29" s="137" t="s">
        <v>4831</v>
      </c>
      <c r="E29" s="137">
        <v>33</v>
      </c>
      <c r="F29" s="138" t="s">
        <v>4907</v>
      </c>
      <c r="G29" s="139" t="s">
        <v>4908</v>
      </c>
      <c r="H29" s="202" t="s">
        <v>4909</v>
      </c>
      <c r="I29" s="203" t="s">
        <v>4847</v>
      </c>
      <c r="J29" s="171"/>
      <c r="K29" s="171"/>
      <c r="L29" s="171"/>
      <c r="M29" s="171" t="s">
        <v>4844</v>
      </c>
      <c r="N29" s="171">
        <v>0</v>
      </c>
      <c r="O29" s="172">
        <v>23</v>
      </c>
    </row>
    <row r="30" spans="1:101" ht="90" thickBot="1" x14ac:dyDescent="0.3">
      <c r="A30" s="1678"/>
      <c r="B30" s="140"/>
      <c r="C30" s="140"/>
      <c r="D30" s="141" t="s">
        <v>4831</v>
      </c>
      <c r="E30" s="141">
        <v>34</v>
      </c>
      <c r="F30" s="142" t="s">
        <v>4910</v>
      </c>
      <c r="G30" s="143" t="s">
        <v>4911</v>
      </c>
      <c r="H30" s="204" t="s">
        <v>52</v>
      </c>
      <c r="I30" s="205" t="s">
        <v>4838</v>
      </c>
      <c r="J30" s="171"/>
      <c r="K30" s="171"/>
      <c r="L30" s="171"/>
      <c r="M30" s="171" t="s">
        <v>4844</v>
      </c>
      <c r="N30" s="171"/>
      <c r="O30" s="206">
        <v>0.33333333333333331</v>
      </c>
    </row>
    <row r="31" spans="1:101" ht="38.25" x14ac:dyDescent="0.25">
      <c r="A31" s="1679" t="s">
        <v>4912</v>
      </c>
      <c r="B31" s="127"/>
      <c r="C31" s="1641" t="s">
        <v>4913</v>
      </c>
      <c r="D31" s="112" t="s">
        <v>4831</v>
      </c>
      <c r="E31" s="112">
        <v>26</v>
      </c>
      <c r="F31" s="144" t="s">
        <v>4914</v>
      </c>
      <c r="G31" s="123" t="s">
        <v>4915</v>
      </c>
      <c r="H31" s="181" t="s">
        <v>55</v>
      </c>
      <c r="I31" s="196" t="s">
        <v>4896</v>
      </c>
      <c r="J31" s="171"/>
      <c r="K31" s="171"/>
      <c r="L31" s="171"/>
      <c r="M31" s="171" t="s">
        <v>4844</v>
      </c>
      <c r="N31" s="171">
        <v>33</v>
      </c>
      <c r="O31" s="172">
        <v>30</v>
      </c>
    </row>
    <row r="32" spans="1:101" ht="51" x14ac:dyDescent="0.25">
      <c r="A32" s="1680"/>
      <c r="B32" s="102"/>
      <c r="C32" s="1642"/>
      <c r="D32" s="115" t="s">
        <v>4831</v>
      </c>
      <c r="E32" s="115">
        <v>27</v>
      </c>
      <c r="F32" s="118" t="s">
        <v>4916</v>
      </c>
      <c r="G32" s="124" t="s">
        <v>4917</v>
      </c>
      <c r="H32" s="183" t="s">
        <v>55</v>
      </c>
      <c r="I32" s="184" t="s">
        <v>4896</v>
      </c>
      <c r="J32" s="171"/>
      <c r="K32" s="171"/>
      <c r="L32" s="171"/>
      <c r="M32" s="171" t="s">
        <v>4844</v>
      </c>
      <c r="N32" s="171">
        <v>52</v>
      </c>
      <c r="O32" s="172">
        <v>53</v>
      </c>
    </row>
    <row r="33" spans="1:101" ht="38.25" x14ac:dyDescent="0.25">
      <c r="A33" s="1680"/>
      <c r="B33" s="102"/>
      <c r="C33" s="1642"/>
      <c r="D33" s="115" t="s">
        <v>4831</v>
      </c>
      <c r="E33" s="115">
        <v>28</v>
      </c>
      <c r="F33" s="118" t="s">
        <v>4918</v>
      </c>
      <c r="G33" s="124" t="s">
        <v>4919</v>
      </c>
      <c r="H33" s="183" t="s">
        <v>55</v>
      </c>
      <c r="I33" s="184" t="s">
        <v>4896</v>
      </c>
      <c r="J33" s="171"/>
      <c r="K33" s="171"/>
      <c r="L33" s="171"/>
      <c r="M33" s="171" t="s">
        <v>4844</v>
      </c>
      <c r="N33" s="171">
        <v>12</v>
      </c>
      <c r="O33" s="172">
        <v>10</v>
      </c>
    </row>
    <row r="34" spans="1:101" ht="63.75" x14ac:dyDescent="0.25">
      <c r="A34" s="1680"/>
      <c r="B34" s="102"/>
      <c r="C34" s="1642"/>
      <c r="D34" s="115" t="s">
        <v>4831</v>
      </c>
      <c r="E34" s="115">
        <v>29</v>
      </c>
      <c r="F34" s="118" t="s">
        <v>4920</v>
      </c>
      <c r="G34" s="124" t="s">
        <v>4921</v>
      </c>
      <c r="H34" s="183" t="s">
        <v>55</v>
      </c>
      <c r="I34" s="184" t="s">
        <v>4896</v>
      </c>
      <c r="J34" s="171"/>
      <c r="K34" s="171"/>
      <c r="L34" s="171"/>
      <c r="M34" s="171" t="s">
        <v>4844</v>
      </c>
      <c r="N34" s="171">
        <v>19</v>
      </c>
      <c r="O34" s="172">
        <v>21</v>
      </c>
    </row>
    <row r="35" spans="1:101" ht="38.25" x14ac:dyDescent="0.25">
      <c r="A35" s="1680"/>
      <c r="B35" s="102"/>
      <c r="C35" s="1642"/>
      <c r="D35" s="115" t="s">
        <v>4831</v>
      </c>
      <c r="E35" s="115">
        <v>30</v>
      </c>
      <c r="F35" s="118" t="s">
        <v>4922</v>
      </c>
      <c r="G35" s="124" t="s">
        <v>4923</v>
      </c>
      <c r="H35" s="183" t="s">
        <v>55</v>
      </c>
      <c r="I35" s="184" t="s">
        <v>4896</v>
      </c>
      <c r="J35" s="171"/>
      <c r="K35" s="171"/>
      <c r="L35" s="171"/>
      <c r="M35" s="171" t="s">
        <v>4844</v>
      </c>
      <c r="N35" s="171">
        <v>10</v>
      </c>
      <c r="O35" s="172">
        <v>10</v>
      </c>
    </row>
    <row r="36" spans="1:101" ht="38.25" x14ac:dyDescent="0.25">
      <c r="A36" s="1680"/>
      <c r="B36" s="102"/>
      <c r="C36" s="1642"/>
      <c r="D36" s="115" t="s">
        <v>4831</v>
      </c>
      <c r="E36" s="115">
        <v>31</v>
      </c>
      <c r="F36" s="118" t="s">
        <v>4924</v>
      </c>
      <c r="G36" s="124" t="s">
        <v>4925</v>
      </c>
      <c r="H36" s="183" t="s">
        <v>55</v>
      </c>
      <c r="I36" s="184" t="s">
        <v>4896</v>
      </c>
      <c r="J36" s="171"/>
      <c r="K36" s="171"/>
      <c r="L36" s="171"/>
      <c r="M36" s="171" t="s">
        <v>4844</v>
      </c>
      <c r="N36" s="171">
        <v>24</v>
      </c>
      <c r="O36" s="172">
        <v>26</v>
      </c>
    </row>
    <row r="37" spans="1:101" ht="39" thickBot="1" x14ac:dyDescent="0.3">
      <c r="A37" s="1681"/>
      <c r="B37" s="134" t="s">
        <v>4829</v>
      </c>
      <c r="C37" s="1656"/>
      <c r="D37" s="119" t="s">
        <v>4831</v>
      </c>
      <c r="E37" s="119">
        <v>32</v>
      </c>
      <c r="F37" s="120" t="s">
        <v>4926</v>
      </c>
      <c r="G37" s="126" t="s">
        <v>4927</v>
      </c>
      <c r="H37" s="193" t="s">
        <v>4928</v>
      </c>
      <c r="I37" s="194" t="s">
        <v>4838</v>
      </c>
      <c r="J37" s="171"/>
      <c r="K37" s="171"/>
      <c r="L37" s="171"/>
      <c r="M37" s="171" t="s">
        <v>4844</v>
      </c>
      <c r="N37" s="207">
        <v>1.7647058823529411</v>
      </c>
      <c r="O37" s="208">
        <v>1.7647058823529411</v>
      </c>
    </row>
    <row r="38" spans="1:101" ht="63.75" x14ac:dyDescent="0.25">
      <c r="A38" s="1657" t="s">
        <v>4929</v>
      </c>
      <c r="B38" s="145"/>
      <c r="C38" s="1641" t="s">
        <v>4913</v>
      </c>
      <c r="D38" s="137" t="s">
        <v>4831</v>
      </c>
      <c r="E38" s="146">
        <v>33</v>
      </c>
      <c r="F38" s="138" t="s">
        <v>4930</v>
      </c>
      <c r="G38" s="139" t="s">
        <v>4931</v>
      </c>
      <c r="H38" s="202" t="s">
        <v>4932</v>
      </c>
      <c r="I38" s="203" t="s">
        <v>4847</v>
      </c>
      <c r="J38" s="171"/>
      <c r="K38" s="171"/>
      <c r="L38" s="171"/>
      <c r="M38" s="171" t="s">
        <v>4844</v>
      </c>
      <c r="N38" s="171">
        <v>966186</v>
      </c>
      <c r="O38" s="172">
        <v>979239</v>
      </c>
      <c r="P38" s="433">
        <f t="shared" ref="P38:P43" si="3">SUM(Q38:CW38)</f>
        <v>1866862.8</v>
      </c>
      <c r="Q38">
        <f>SUMIFS('База практик'!$CR$5:$CR$311,'База практик'!$E$5:$E$311,Расчеты!Q$1)</f>
        <v>1500</v>
      </c>
      <c r="R38">
        <f>SUMIFS('База практик'!$CR$5:$CR$311,'База практик'!$E$5:$E$311,Расчеты!R$1)</f>
        <v>0</v>
      </c>
      <c r="S38">
        <f>SUMIFS('База практик'!$CR$5:$CR$311,'База практик'!$E$5:$E$311,Расчеты!S$1)</f>
        <v>61221</v>
      </c>
      <c r="T38">
        <f>SUMIFS('База практик'!$CR$5:$CR$311,'База практик'!$E$5:$E$311,Расчеты!T$1)</f>
        <v>0</v>
      </c>
      <c r="U38">
        <f>SUMIFS('База практик'!$CR$5:$CR$311,'База практик'!$E$5:$E$311,Расчеты!U$1)</f>
        <v>0</v>
      </c>
      <c r="V38">
        <f>SUMIFS('База практик'!$CR$5:$CR$311,'База практик'!$E$5:$E$311,Расчеты!V$1)</f>
        <v>257</v>
      </c>
      <c r="W38">
        <f>SUMIFS('База практик'!$CR$5:$CR$311,'База практик'!$E$5:$E$311,Расчеты!W$1)</f>
        <v>66376</v>
      </c>
      <c r="X38">
        <f>SUMIFS('База практик'!$CR$5:$CR$311,'База практик'!$E$5:$E$311,Расчеты!X$1)</f>
        <v>0</v>
      </c>
      <c r="Y38">
        <f>SUMIFS('База практик'!$CR$5:$CR$311,'База практик'!$E$5:$E$311,Расчеты!Y$1)</f>
        <v>0</v>
      </c>
      <c r="Z38">
        <f>SUMIFS('База практик'!$CR$5:$CR$311,'База практик'!$E$5:$E$311,Расчеты!Z$1)</f>
        <v>0</v>
      </c>
      <c r="AA38">
        <f>SUMIFS('База практик'!$CR$5:$CR$311,'База практик'!$E$5:$E$311,Расчеты!AA$1)</f>
        <v>32464</v>
      </c>
      <c r="AB38">
        <f>SUMIFS('База практик'!$CR$5:$CR$311,'База практик'!$E$5:$E$311,Расчеты!AB$1)</f>
        <v>0</v>
      </c>
      <c r="AC38">
        <f>SUMIFS('База практик'!$CR$5:$CR$311,'База практик'!$E$5:$E$311,Расчеты!AC$1)</f>
        <v>0</v>
      </c>
      <c r="AD38">
        <f>SUMIFS('База практик'!$CR$5:$CR$311,'База практик'!$E$5:$E$311,Расчеты!AD$1)</f>
        <v>267700</v>
      </c>
      <c r="AE38">
        <f>SUMIFS('База практик'!$CR$5:$CR$311,'База практик'!$E$5:$E$311,Расчеты!AE$1)</f>
        <v>61782</v>
      </c>
      <c r="AF38">
        <f>SUMIFS('База практик'!$CR$5:$CR$311,'База практик'!$E$5:$E$311,Расчеты!AF$1)</f>
        <v>0</v>
      </c>
      <c r="AG38">
        <f>SUMIFS('База практик'!$CR$5:$CR$311,'База практик'!$E$5:$E$311,Расчеты!AG$1)</f>
        <v>3075</v>
      </c>
      <c r="AH38">
        <f>SUMIFS('База практик'!$CR$5:$CR$311,'База практик'!$E$5:$E$311,Расчеты!AH$1)</f>
        <v>0</v>
      </c>
      <c r="AI38">
        <f>SUMIFS('База практик'!$CR$5:$CR$311,'База практик'!$E$5:$E$311,Расчеты!AI$1)</f>
        <v>0</v>
      </c>
      <c r="AJ38">
        <f>SUMIFS('База практик'!$CR$5:$CR$311,'База практик'!$E$5:$E$311,Расчеты!AJ$1)</f>
        <v>0</v>
      </c>
      <c r="AK38">
        <f>SUMIFS('База практик'!$CR$5:$CR$311,'База практик'!$E$5:$E$311,Расчеты!AK$1)</f>
        <v>100</v>
      </c>
      <c r="AL38">
        <f>SUMIFS('База практик'!$CR$5:$CR$311,'База практик'!$E$5:$E$311,Расчеты!AL$1)</f>
        <v>5566</v>
      </c>
      <c r="AM38">
        <f>SUMIFS('База практик'!$CR$5:$CR$311,'База практик'!$E$5:$E$311,Расчеты!AM$1)</f>
        <v>5842</v>
      </c>
      <c r="AN38">
        <f>SUMIFS('База практик'!$CR$5:$CR$311,'База практик'!$E$5:$E$311,Расчеты!AN$1)</f>
        <v>22427</v>
      </c>
      <c r="AO38">
        <f>SUMIFS('База практик'!$CR$5:$CR$311,'База практик'!$E$5:$E$311,Расчеты!AO$1)</f>
        <v>0</v>
      </c>
      <c r="AP38">
        <f>SUMIFS('База практик'!$CR$5:$CR$311,'База практик'!$E$5:$E$311,Расчеты!AP$1)</f>
        <v>0</v>
      </c>
      <c r="AQ38">
        <f>SUMIFS('База практик'!$CR$5:$CR$311,'База практик'!$E$5:$E$311,Расчеты!AQ$1)</f>
        <v>11467</v>
      </c>
      <c r="AR38">
        <f>SUMIFS('База практик'!$CR$5:$CR$311,'База практик'!$E$5:$E$311,Расчеты!AR$1)</f>
        <v>254619</v>
      </c>
      <c r="AS38">
        <f>SUMIFS('База практик'!$CR$5:$CR$311,'База практик'!$E$5:$E$311,Расчеты!AS$1)</f>
        <v>0</v>
      </c>
      <c r="AT38">
        <f>SUMIFS('База практик'!$CR$5:$CR$311,'База практик'!$E$5:$E$311,Расчеты!AT$1)</f>
        <v>24237</v>
      </c>
      <c r="AU38">
        <f>SUMIFS('База практик'!$CR$5:$CR$311,'База практик'!$E$5:$E$311,Расчеты!AU$1)</f>
        <v>28419</v>
      </c>
      <c r="AV38">
        <f>SUMIFS('База практик'!$CR$5:$CR$311,'База практик'!$E$5:$E$311,Расчеты!AV$1)</f>
        <v>36301</v>
      </c>
      <c r="AW38">
        <f>SUMIFS('База практик'!$CR$5:$CR$311,'База практик'!$E$5:$E$311,Расчеты!AW$1)</f>
        <v>50759</v>
      </c>
      <c r="AX38">
        <f>SUMIFS('База практик'!$CR$5:$CR$311,'База практик'!$E$5:$E$311,Расчеты!AX$1)</f>
        <v>0</v>
      </c>
      <c r="AY38">
        <f>SUMIFS('База практик'!$CR$5:$CR$311,'База практик'!$E$5:$E$311,Расчеты!AY$1)</f>
        <v>0</v>
      </c>
      <c r="AZ38">
        <f>SUMIFS('База практик'!$CR$5:$CR$311,'База практик'!$E$5:$E$311,Расчеты!AZ$1)</f>
        <v>25</v>
      </c>
      <c r="BA38">
        <f>SUMIFS('База практик'!$CR$5:$CR$311,'База практик'!$E$5:$E$311,Расчеты!BA$1)</f>
        <v>13676</v>
      </c>
      <c r="BB38">
        <f>SUMIFS('База практик'!$CR$5:$CR$311,'База практик'!$E$5:$E$311,Расчеты!BB$1)</f>
        <v>0</v>
      </c>
      <c r="BC38">
        <f>SUMIFS('База практик'!$CR$5:$CR$311,'База практик'!$E$5:$E$311,Расчеты!BC$1)</f>
        <v>0</v>
      </c>
      <c r="BD38">
        <f>SUMIFS('База практик'!$CR$5:$CR$311,'База практик'!$E$5:$E$311,Расчеты!BD$1)</f>
        <v>0</v>
      </c>
      <c r="BE38">
        <f>SUMIFS('База практик'!$CR$5:$CR$311,'База практик'!$E$5:$E$311,Расчеты!BE$1)</f>
        <v>0</v>
      </c>
      <c r="BF38">
        <f>SUMIFS('База практик'!$CR$5:$CR$311,'База практик'!$E$5:$E$311,Расчеты!BF$1)</f>
        <v>0</v>
      </c>
      <c r="BG38">
        <f>SUMIFS('База практик'!$CR$5:$CR$311,'База практик'!$E$5:$E$311,Расчеты!BG$1)</f>
        <v>0</v>
      </c>
      <c r="BH38">
        <f>SUMIFS('База практик'!$CR$5:$CR$311,'База практик'!$E$5:$E$311,Расчеты!BH$1)</f>
        <v>0</v>
      </c>
      <c r="BI38">
        <f>SUMIFS('База практик'!$CR$5:$CR$311,'База практик'!$E$5:$E$311,Расчеты!BI$1)</f>
        <v>493</v>
      </c>
      <c r="BJ38">
        <f>SUMIFS('База практик'!$CR$5:$CR$311,'База практик'!$E$5:$E$311,Расчеты!BJ$1)</f>
        <v>0</v>
      </c>
      <c r="BK38">
        <f>SUMIFS('База практик'!$CR$5:$CR$311,'База практик'!$E$5:$E$311,Расчеты!BK$1)</f>
        <v>70583</v>
      </c>
      <c r="BL38">
        <f>SUMIFS('База практик'!$CR$5:$CR$311,'База практик'!$E$5:$E$311,Расчеты!BL$1)</f>
        <v>29600</v>
      </c>
      <c r="BM38">
        <f>SUMIFS('База практик'!$CR$5:$CR$311,'База практик'!$E$5:$E$311,Расчеты!BM$1)</f>
        <v>206</v>
      </c>
      <c r="BN38">
        <f>SUMIFS('База практик'!$CR$5:$CR$311,'База практик'!$E$5:$E$311,Расчеты!BN$1)</f>
        <v>37769</v>
      </c>
      <c r="BO38">
        <f>SUMIFS('База практик'!$CR$5:$CR$311,'База практик'!$E$5:$E$311,Расчеты!BO$1)</f>
        <v>71359</v>
      </c>
      <c r="BP38">
        <f>SUMIFS('База практик'!$CR$5:$CR$311,'База практик'!$E$5:$E$311,Расчеты!BP$1)</f>
        <v>0</v>
      </c>
      <c r="BQ38">
        <f>SUMIFS('База практик'!$CR$5:$CR$311,'База практик'!$E$5:$E$311,Расчеты!BQ$1)</f>
        <v>0</v>
      </c>
      <c r="BR38">
        <f>SUMIFS('База практик'!$CR$5:$CR$311,'База практик'!$E$5:$E$311,Расчеты!BR$1)</f>
        <v>0</v>
      </c>
      <c r="BS38">
        <f>SUMIFS('База практик'!$CR$5:$CR$311,'База практик'!$E$5:$E$311,Расчеты!BS$1)</f>
        <v>0</v>
      </c>
      <c r="BT38">
        <f>SUMIFS('База практик'!$CR$5:$CR$311,'База практик'!$E$5:$E$311,Расчеты!BT$1)</f>
        <v>0</v>
      </c>
      <c r="BU38">
        <f>SUMIFS('База практик'!$CR$5:$CR$311,'База практик'!$E$5:$E$311,Расчеты!BU$1)</f>
        <v>0</v>
      </c>
      <c r="BV38">
        <f>SUMIFS('База практик'!$CR$5:$CR$311,'База практик'!$E$5:$E$311,Расчеты!BV$1)</f>
        <v>2717</v>
      </c>
      <c r="BW38">
        <f>SUMIFS('База практик'!$CR$5:$CR$311,'База практик'!$E$5:$E$311,Расчеты!BW$1)</f>
        <v>0</v>
      </c>
      <c r="BX38">
        <f>SUMIFS('База практик'!$CR$5:$CR$311,'База практик'!$E$5:$E$311,Расчеты!BX$1)</f>
        <v>14544</v>
      </c>
      <c r="BY38">
        <f>SUMIFS('База практик'!$CR$5:$CR$311,'База практик'!$E$5:$E$311,Расчеты!BY$1)</f>
        <v>0</v>
      </c>
      <c r="BZ38">
        <f>SUMIFS('База практик'!$CR$5:$CR$311,'База практик'!$E$5:$E$311,Расчеты!BZ$1)</f>
        <v>5307</v>
      </c>
      <c r="CA38">
        <f>SUMIFS('База практик'!$CR$5:$CR$311,'База практик'!$E$5:$E$311,Расчеты!CA$1)</f>
        <v>416758</v>
      </c>
      <c r="CB38">
        <f>SUMIFS('База практик'!$CR$5:$CR$311,'База практик'!$E$5:$E$311,Расчеты!CB$1)</f>
        <v>0</v>
      </c>
      <c r="CC38">
        <f>SUMIFS('База практик'!$CR$5:$CR$311,'База практик'!$E$5:$E$311,Расчеты!CC$1)</f>
        <v>0</v>
      </c>
      <c r="CD38">
        <f>SUMIFS('База практик'!$CR$5:$CR$311,'База практик'!$E$5:$E$311,Расчеты!CD$1)</f>
        <v>0</v>
      </c>
      <c r="CE38">
        <f>SUMIFS('База практик'!$CR$5:$CR$311,'База практик'!$E$5:$E$311,Расчеты!CE$1)</f>
        <v>1696</v>
      </c>
      <c r="CF38">
        <f>SUMIFS('База практик'!$CR$5:$CR$311,'База практик'!$E$5:$E$311,Расчеты!CF$1)</f>
        <v>92</v>
      </c>
      <c r="CG38">
        <f>SUMIFS('База практик'!$CR$5:$CR$311,'База практик'!$E$5:$E$311,Расчеты!CG$1)</f>
        <v>0</v>
      </c>
      <c r="CH38">
        <f>SUMIFS('База практик'!$CR$5:$CR$311,'База практик'!$E$5:$E$311,Расчеты!CH$1)</f>
        <v>0</v>
      </c>
      <c r="CI38">
        <f>SUMIFS('База практик'!$CR$5:$CR$311,'База практик'!$E$5:$E$311,Расчеты!CI$1)</f>
        <v>9499</v>
      </c>
      <c r="CJ38">
        <f>SUMIFS('База практик'!$CR$5:$CR$311,'База практик'!$E$5:$E$311,Расчеты!CJ$1)</f>
        <v>0</v>
      </c>
      <c r="CK38">
        <f>SUMIFS('База практик'!$CR$5:$CR$311,'База практик'!$E$5:$E$311,Расчеты!CK$1)</f>
        <v>0</v>
      </c>
      <c r="CL38">
        <f>SUMIFS('База практик'!$CR$5:$CR$311,'База практик'!$E$5:$E$311,Расчеты!CL$1)</f>
        <v>0</v>
      </c>
      <c r="CM38">
        <f>SUMIFS('База практик'!$CR$5:$CR$311,'База практик'!$E$5:$E$311,Расчеты!CM$1)</f>
        <v>1613</v>
      </c>
      <c r="CN38">
        <f>SUMIFS('База практик'!$CR$5:$CR$311,'База практик'!$E$5:$E$311,Расчеты!CN$1)</f>
        <v>85652</v>
      </c>
      <c r="CO38">
        <f>SUMIFS('База практик'!$CR$5:$CR$311,'База практик'!$E$5:$E$311,Расчеты!CO$1)</f>
        <v>131525</v>
      </c>
      <c r="CP38">
        <f>SUMIFS('База практик'!$CR$5:$CR$311,'База практик'!$E$5:$E$311,Расчеты!CP$1)</f>
        <v>0</v>
      </c>
      <c r="CQ38">
        <f>SUMIFS('База практик'!$CR$5:$CR$311,'База практик'!$E$5:$E$311,Расчеты!CQ$1)</f>
        <v>11809.8</v>
      </c>
      <c r="CR38">
        <f>SUMIFS('База практик'!$CR$5:$CR$311,'База практик'!$E$5:$E$311,Расчеты!CR$1)</f>
        <v>0</v>
      </c>
      <c r="CS38">
        <f>SUMIFS('База практик'!$CR$5:$CR$311,'База практик'!$E$5:$E$311,Расчеты!CS$1)</f>
        <v>0</v>
      </c>
      <c r="CT38">
        <f>SUMIFS('База практик'!$CR$5:$CR$311,'База практик'!$E$5:$E$311,Расчеты!CT$1)</f>
        <v>12915</v>
      </c>
      <c r="CU38">
        <f>SUMIFS('База практик'!$CR$5:$CR$311,'База практик'!$E$5:$E$311,Расчеты!CU$1)</f>
        <v>2176</v>
      </c>
      <c r="CV38">
        <f>SUMIFS('База практик'!$CR$5:$CR$311,'База практик'!$E$5:$E$311,Расчеты!CV$1)</f>
        <v>12736</v>
      </c>
      <c r="CW38">
        <f>SUMIFS('База практик'!$CR$5:$CR$311,'База практик'!$E$5:$E$311,Расчеты!CW$1)</f>
        <v>0</v>
      </c>
    </row>
    <row r="39" spans="1:101" ht="76.5" x14ac:dyDescent="0.25">
      <c r="A39" s="1658"/>
      <c r="B39" s="102"/>
      <c r="C39" s="1642"/>
      <c r="D39" s="115" t="s">
        <v>4831</v>
      </c>
      <c r="E39" s="147">
        <v>34</v>
      </c>
      <c r="F39" s="118" t="s">
        <v>4933</v>
      </c>
      <c r="G39" s="124" t="s">
        <v>4934</v>
      </c>
      <c r="H39" s="202" t="s">
        <v>4932</v>
      </c>
      <c r="I39" s="203" t="s">
        <v>4847</v>
      </c>
      <c r="J39" s="171"/>
      <c r="K39" s="171"/>
      <c r="L39" s="171"/>
      <c r="M39" s="171" t="s">
        <v>4844</v>
      </c>
      <c r="N39" s="171">
        <v>2434343</v>
      </c>
      <c r="O39" s="172">
        <v>2714658</v>
      </c>
      <c r="P39" s="433">
        <f t="shared" si="3"/>
        <v>3013576.3449999997</v>
      </c>
      <c r="Q39">
        <f>SUMIFS('База практик'!$CU$5:$CU$311,'База практик'!$E$5:$E$311,Расчеты!Q$1)</f>
        <v>12899</v>
      </c>
      <c r="R39">
        <f>SUMIFS('База практик'!$CU$5:$CU$311,'База практик'!$E$5:$E$311,Расчеты!R$1)</f>
        <v>5348</v>
      </c>
      <c r="S39">
        <f>SUMIFS('База практик'!$CU$5:$CU$311,'База практик'!$E$5:$E$311,Расчеты!S$1)</f>
        <v>24150</v>
      </c>
      <c r="T39">
        <f>SUMIFS('База практик'!$CU$5:$CU$311,'База практик'!$E$5:$E$311,Расчеты!T$1)</f>
        <v>15722</v>
      </c>
      <c r="U39">
        <f>SUMIFS('База практик'!$CU$5:$CU$311,'База практик'!$E$5:$E$311,Расчеты!U$1)</f>
        <v>0</v>
      </c>
      <c r="V39">
        <f>SUMIFS('База практик'!$CU$5:$CU$311,'База практик'!$E$5:$E$311,Расчеты!V$1)</f>
        <v>274</v>
      </c>
      <c r="W39">
        <f>SUMIFS('База практик'!$CU$5:$CU$311,'База практик'!$E$5:$E$311,Расчеты!W$1)</f>
        <v>170310</v>
      </c>
      <c r="X39">
        <f>SUMIFS('База практик'!$CU$5:$CU$311,'База практик'!$E$5:$E$311,Расчеты!X$1)</f>
        <v>0</v>
      </c>
      <c r="Y39">
        <f>SUMIFS('База практик'!$CU$5:$CU$311,'База практик'!$E$5:$E$311,Расчеты!Y$1)</f>
        <v>25000</v>
      </c>
      <c r="Z39">
        <f>SUMIFS('База практик'!$CU$5:$CU$311,'База практик'!$E$5:$E$311,Расчеты!Z$1)</f>
        <v>0</v>
      </c>
      <c r="AA39">
        <f>SUMIFS('База практик'!$CU$5:$CU$311,'База практик'!$E$5:$E$311,Расчеты!AA$1)</f>
        <v>76771</v>
      </c>
      <c r="AB39">
        <f>SUMIFS('База практик'!$CU$5:$CU$311,'База практик'!$E$5:$E$311,Расчеты!AB$1)</f>
        <v>5540</v>
      </c>
      <c r="AC39">
        <f>SUMIFS('База практик'!$CU$5:$CU$311,'База практик'!$E$5:$E$311,Расчеты!AC$1)</f>
        <v>99329</v>
      </c>
      <c r="AD39">
        <f>SUMIFS('База практик'!$CU$5:$CU$311,'База практик'!$E$5:$E$311,Расчеты!AD$1)</f>
        <v>37712</v>
      </c>
      <c r="AE39">
        <f>SUMIFS('База практик'!$CU$5:$CU$311,'База практик'!$E$5:$E$311,Расчеты!AE$1)</f>
        <v>0</v>
      </c>
      <c r="AF39">
        <f>SUMIFS('База практик'!$CU$5:$CU$311,'База практик'!$E$5:$E$311,Расчеты!AF$1)</f>
        <v>0</v>
      </c>
      <c r="AG39">
        <f>SUMIFS('База практик'!$CU$5:$CU$311,'База практик'!$E$5:$E$311,Расчеты!AG$1)</f>
        <v>1193.345</v>
      </c>
      <c r="AH39">
        <f>SUMIFS('База практик'!$CU$5:$CU$311,'База практик'!$E$5:$E$311,Расчеты!AH$1)</f>
        <v>0</v>
      </c>
      <c r="AI39">
        <f>SUMIFS('База практик'!$CU$5:$CU$311,'База практик'!$E$5:$E$311,Расчеты!AI$1)</f>
        <v>151</v>
      </c>
      <c r="AJ39">
        <f>SUMIFS('База практик'!$CU$5:$CU$311,'База практик'!$E$5:$E$311,Расчеты!AJ$1)</f>
        <v>0</v>
      </c>
      <c r="AK39">
        <f>SUMIFS('База практик'!$CU$5:$CU$311,'База практик'!$E$5:$E$311,Расчеты!AK$1)</f>
        <v>100</v>
      </c>
      <c r="AL39">
        <f>SUMIFS('База практик'!$CU$5:$CU$311,'База практик'!$E$5:$E$311,Расчеты!AL$1)</f>
        <v>4621</v>
      </c>
      <c r="AM39">
        <f>SUMIFS('База практик'!$CU$5:$CU$311,'База практик'!$E$5:$E$311,Расчеты!AM$1)</f>
        <v>20957</v>
      </c>
      <c r="AN39">
        <f>SUMIFS('База практик'!$CU$5:$CU$311,'База практик'!$E$5:$E$311,Расчеты!AN$1)</f>
        <v>1396</v>
      </c>
      <c r="AO39">
        <f>SUMIFS('База практик'!$CU$5:$CU$311,'База практик'!$E$5:$E$311,Расчеты!AO$1)</f>
        <v>0</v>
      </c>
      <c r="AP39">
        <f>SUMIFS('База практик'!$CU$5:$CU$311,'База практик'!$E$5:$E$311,Расчеты!AP$1)</f>
        <v>0</v>
      </c>
      <c r="AQ39">
        <f>SUMIFS('База практик'!$CU$5:$CU$311,'База практик'!$E$5:$E$311,Расчеты!AQ$1)</f>
        <v>602</v>
      </c>
      <c r="AR39">
        <f>SUMIFS('База практик'!$CU$5:$CU$311,'База практик'!$E$5:$E$311,Расчеты!AR$1)</f>
        <v>254619</v>
      </c>
      <c r="AS39">
        <f>SUMIFS('База практик'!$CU$5:$CU$311,'База практик'!$E$5:$E$311,Расчеты!AS$1)</f>
        <v>162150</v>
      </c>
      <c r="AT39">
        <f>SUMIFS('База практик'!$CU$5:$CU$311,'База практик'!$E$5:$E$311,Расчеты!AT$1)</f>
        <v>19297</v>
      </c>
      <c r="AU39">
        <f>SUMIFS('База практик'!$CU$5:$CU$311,'База практик'!$E$5:$E$311,Расчеты!AU$1)</f>
        <v>59918</v>
      </c>
      <c r="AV39">
        <f>SUMIFS('База практик'!$CU$5:$CU$311,'База практик'!$E$5:$E$311,Расчеты!AV$1)</f>
        <v>332991</v>
      </c>
      <c r="AW39">
        <f>SUMIFS('База практик'!$CU$5:$CU$311,'База практик'!$E$5:$E$311,Расчеты!AW$1)</f>
        <v>8746</v>
      </c>
      <c r="AX39">
        <f>SUMIFS('База практик'!$CU$5:$CU$311,'База практик'!$E$5:$E$311,Расчеты!AX$1)</f>
        <v>2150</v>
      </c>
      <c r="AY39">
        <f>SUMIFS('База практик'!$CU$5:$CU$311,'База практик'!$E$5:$E$311,Расчеты!AY$1)</f>
        <v>11200</v>
      </c>
      <c r="AZ39">
        <f>SUMIFS('База практик'!$CU$5:$CU$311,'База практик'!$E$5:$E$311,Расчеты!AZ$1)</f>
        <v>725</v>
      </c>
      <c r="BA39">
        <f>SUMIFS('База практик'!$CU$5:$CU$311,'База практик'!$E$5:$E$311,Расчеты!BA$1)</f>
        <v>13676</v>
      </c>
      <c r="BB39">
        <f>SUMIFS('База практик'!$CU$5:$CU$311,'База практик'!$E$5:$E$311,Расчеты!BB$1)</f>
        <v>0</v>
      </c>
      <c r="BC39">
        <f>SUMIFS('База практик'!$CU$5:$CU$311,'База практик'!$E$5:$E$311,Расчеты!BC$1)</f>
        <v>0</v>
      </c>
      <c r="BD39">
        <f>SUMIFS('База практик'!$CU$5:$CU$311,'База практик'!$E$5:$E$311,Расчеты!BD$1)</f>
        <v>17723</v>
      </c>
      <c r="BE39">
        <f>SUMIFS('База практик'!$CU$5:$CU$311,'База практик'!$E$5:$E$311,Расчеты!BE$1)</f>
        <v>0</v>
      </c>
      <c r="BF39">
        <f>SUMIFS('База практик'!$CU$5:$CU$311,'База практик'!$E$5:$E$311,Расчеты!BF$1)</f>
        <v>0</v>
      </c>
      <c r="BG39">
        <f>SUMIFS('База практик'!$CU$5:$CU$311,'База практик'!$E$5:$E$311,Расчеты!BG$1)</f>
        <v>0</v>
      </c>
      <c r="BH39">
        <f>SUMIFS('База практик'!$CU$5:$CU$311,'База практик'!$E$5:$E$311,Расчеты!BH$1)</f>
        <v>0</v>
      </c>
      <c r="BI39">
        <f>SUMIFS('База практик'!$CU$5:$CU$311,'База практик'!$E$5:$E$311,Расчеты!BI$1)</f>
        <v>0</v>
      </c>
      <c r="BJ39">
        <f>SUMIFS('База практик'!$CU$5:$CU$311,'База практик'!$E$5:$E$311,Расчеты!BJ$1)</f>
        <v>139992</v>
      </c>
      <c r="BK39">
        <f>SUMIFS('База практик'!$CU$5:$CU$311,'База практик'!$E$5:$E$311,Расчеты!BK$1)</f>
        <v>65574</v>
      </c>
      <c r="BL39">
        <f>SUMIFS('База практик'!$CU$5:$CU$311,'База практик'!$E$5:$E$311,Расчеты!BL$1)</f>
        <v>0</v>
      </c>
      <c r="BM39">
        <f>SUMIFS('База практик'!$CU$5:$CU$311,'База практик'!$E$5:$E$311,Расчеты!BM$1)</f>
        <v>206</v>
      </c>
      <c r="BN39">
        <f>SUMIFS('База практик'!$CU$5:$CU$311,'База практик'!$E$5:$E$311,Расчеты!BN$1)</f>
        <v>16782</v>
      </c>
      <c r="BO39">
        <f>SUMIFS('База практик'!$CU$5:$CU$311,'База практик'!$E$5:$E$311,Расчеты!BO$1)</f>
        <v>420</v>
      </c>
      <c r="BP39">
        <f>SUMIFS('База практик'!$CU$5:$CU$311,'База практик'!$E$5:$E$311,Расчеты!BP$1)</f>
        <v>0</v>
      </c>
      <c r="BQ39">
        <f>SUMIFS('База практик'!$CU$5:$CU$311,'База практик'!$E$5:$E$311,Расчеты!BQ$1)</f>
        <v>0</v>
      </c>
      <c r="BR39">
        <f>SUMIFS('База практик'!$CU$5:$CU$311,'База практик'!$E$5:$E$311,Расчеты!BR$1)</f>
        <v>0</v>
      </c>
      <c r="BS39">
        <f>SUMIFS('База практик'!$CU$5:$CU$311,'База практик'!$E$5:$E$311,Расчеты!BS$1)</f>
        <v>0</v>
      </c>
      <c r="BT39">
        <f>SUMIFS('База практик'!$CU$5:$CU$311,'База практик'!$E$5:$E$311,Расчеты!BT$1)</f>
        <v>1172</v>
      </c>
      <c r="BU39">
        <f>SUMIFS('База практик'!$CU$5:$CU$311,'База практик'!$E$5:$E$311,Расчеты!BU$1)</f>
        <v>1419</v>
      </c>
      <c r="BV39">
        <f>SUMIFS('База практик'!$CU$5:$CU$311,'База практик'!$E$5:$E$311,Расчеты!BV$1)</f>
        <v>24116</v>
      </c>
      <c r="BW39">
        <f>SUMIFS('База практик'!$CU$5:$CU$311,'База практик'!$E$5:$E$311,Расчеты!BW$1)</f>
        <v>220</v>
      </c>
      <c r="BX39">
        <f>SUMIFS('База практик'!$CU$5:$CU$311,'База практик'!$E$5:$E$311,Расчеты!BX$1)</f>
        <v>19752</v>
      </c>
      <c r="BY39">
        <f>SUMIFS('База практик'!$CU$5:$CU$311,'База практик'!$E$5:$E$311,Расчеты!BY$1)</f>
        <v>85700</v>
      </c>
      <c r="BZ39">
        <f>SUMIFS('База практик'!$CU$5:$CU$311,'База практик'!$E$5:$E$311,Расчеты!BZ$1)</f>
        <v>14934</v>
      </c>
      <c r="CA39">
        <f>SUMIFS('База практик'!$CU$5:$CU$311,'База практик'!$E$5:$E$311,Расчеты!CA$1)</f>
        <v>205045</v>
      </c>
      <c r="CB39">
        <f>SUMIFS('База практик'!$CU$5:$CU$311,'База практик'!$E$5:$E$311,Расчеты!CB$1)</f>
        <v>100</v>
      </c>
      <c r="CC39">
        <f>SUMIFS('База практик'!$CU$5:$CU$311,'База практик'!$E$5:$E$311,Расчеты!CC$1)</f>
        <v>0</v>
      </c>
      <c r="CD39">
        <f>SUMIFS('База практик'!$CU$5:$CU$311,'База практик'!$E$5:$E$311,Расчеты!CD$1)</f>
        <v>0</v>
      </c>
      <c r="CE39">
        <f>SUMIFS('База практик'!$CU$5:$CU$311,'База практик'!$E$5:$E$311,Расчеты!CE$1)</f>
        <v>626</v>
      </c>
      <c r="CF39">
        <f>SUMIFS('База практик'!$CU$5:$CU$311,'База практик'!$E$5:$E$311,Расчеты!CF$1)</f>
        <v>186596</v>
      </c>
      <c r="CG39">
        <f>SUMIFS('База практик'!$CU$5:$CU$311,'База практик'!$E$5:$E$311,Расчеты!CG$1)</f>
        <v>151</v>
      </c>
      <c r="CH39">
        <f>SUMIFS('База практик'!$CU$5:$CU$311,'База практик'!$E$5:$E$311,Расчеты!CH$1)</f>
        <v>17055</v>
      </c>
      <c r="CI39">
        <f>SUMIFS('База практик'!$CU$5:$CU$311,'База практик'!$E$5:$E$311,Расчеты!CI$1)</f>
        <v>5501</v>
      </c>
      <c r="CJ39">
        <f>SUMIFS('База практик'!$CU$5:$CU$311,'База практик'!$E$5:$E$311,Расчеты!CJ$1)</f>
        <v>197000</v>
      </c>
      <c r="CK39">
        <f>SUMIFS('База практик'!$CU$5:$CU$311,'База практик'!$E$5:$E$311,Расчеты!CK$1)</f>
        <v>0</v>
      </c>
      <c r="CL39">
        <f>SUMIFS('База практик'!$CU$5:$CU$311,'База практик'!$E$5:$E$311,Расчеты!CL$1)</f>
        <v>1604</v>
      </c>
      <c r="CM39">
        <f>SUMIFS('База практик'!$CU$5:$CU$311,'База практик'!$E$5:$E$311,Расчеты!CM$1)</f>
        <v>45499</v>
      </c>
      <c r="CN39">
        <f>SUMIFS('База практик'!$CU$5:$CU$311,'База практик'!$E$5:$E$311,Расчеты!CN$1)</f>
        <v>301517</v>
      </c>
      <c r="CO39">
        <f>SUMIFS('База практик'!$CU$5:$CU$311,'База практик'!$E$5:$E$311,Расчеты!CO$1)</f>
        <v>73739</v>
      </c>
      <c r="CP39">
        <f>SUMIFS('База практик'!$CU$5:$CU$311,'База практик'!$E$5:$E$311,Расчеты!CP$1)</f>
        <v>0</v>
      </c>
      <c r="CQ39">
        <f>SUMIFS('База практик'!$CU$5:$CU$311,'База практик'!$E$5:$E$311,Расчеты!CQ$1)</f>
        <v>5282</v>
      </c>
      <c r="CR39">
        <f>SUMIFS('База практик'!$CU$5:$CU$311,'База практик'!$E$5:$E$311,Расчеты!CR$1)</f>
        <v>0</v>
      </c>
      <c r="CS39">
        <f>SUMIFS('База практик'!$CU$5:$CU$311,'База практик'!$E$5:$E$311,Расчеты!CS$1)</f>
        <v>0</v>
      </c>
      <c r="CT39">
        <f>SUMIFS('База практик'!$CU$5:$CU$311,'База практик'!$E$5:$E$311,Расчеты!CT$1)</f>
        <v>215008</v>
      </c>
      <c r="CU39">
        <f>SUMIFS('База практик'!$CU$5:$CU$311,'База практик'!$E$5:$E$311,Расчеты!CU$1)</f>
        <v>770</v>
      </c>
      <c r="CV39">
        <f>SUMIFS('База практик'!$CU$5:$CU$311,'База практик'!$E$5:$E$311,Расчеты!CV$1)</f>
        <v>2072</v>
      </c>
      <c r="CW39">
        <f>SUMIFS('База практик'!$CU$5:$CU$311,'База практик'!$E$5:$E$311,Расчеты!CW$1)</f>
        <v>454</v>
      </c>
    </row>
    <row r="40" spans="1:101" ht="81" customHeight="1" x14ac:dyDescent="0.25">
      <c r="A40" s="1658"/>
      <c r="B40" s="382"/>
      <c r="C40" s="1642"/>
      <c r="D40" s="115"/>
      <c r="E40" s="147"/>
      <c r="F40" s="118"/>
      <c r="G40" s="124" t="s">
        <v>250</v>
      </c>
      <c r="H40" s="202" t="s">
        <v>4932</v>
      </c>
      <c r="I40" s="203" t="s">
        <v>4847</v>
      </c>
      <c r="J40" s="171"/>
      <c r="K40" s="171"/>
      <c r="L40" s="171"/>
      <c r="M40" s="171" t="s">
        <v>4844</v>
      </c>
      <c r="N40" s="171" t="s">
        <v>4844</v>
      </c>
      <c r="O40" s="171" t="s">
        <v>4844</v>
      </c>
      <c r="P40" s="433">
        <f t="shared" si="3"/>
        <v>18934</v>
      </c>
      <c r="Q40">
        <f>SUMIFS('База практик'!$CX$5:$CX$311,'База практик'!$E$5:$E$311,Расчеты!Q$1)</f>
        <v>0</v>
      </c>
      <c r="R40">
        <f>SUMIFS('База практик'!$CX$5:$CX$311,'База практик'!$E$5:$E$311,Расчеты!R$1)</f>
        <v>0</v>
      </c>
      <c r="S40">
        <f>SUMIFS('База практик'!$CX$5:$CX$311,'База практик'!$E$5:$E$311,Расчеты!S$1)</f>
        <v>0</v>
      </c>
      <c r="T40">
        <f>SUMIFS('База практик'!$CX$5:$CX$311,'База практик'!$E$5:$E$311,Расчеты!T$1)</f>
        <v>0</v>
      </c>
      <c r="U40">
        <f>SUMIFS('База практик'!$CX$5:$CX$311,'База практик'!$E$5:$E$311,Расчеты!U$1)</f>
        <v>0</v>
      </c>
      <c r="V40">
        <f>SUMIFS('База практик'!$CX$5:$CX$311,'База практик'!$E$5:$E$311,Расчеты!V$1)</f>
        <v>0</v>
      </c>
      <c r="W40">
        <f>SUMIFS('База практик'!$CX$5:$CX$311,'База практик'!$E$5:$E$311,Расчеты!W$1)</f>
        <v>0</v>
      </c>
      <c r="X40">
        <f>SUMIFS('База практик'!$CX$5:$CX$311,'База практик'!$E$5:$E$311,Расчеты!X$1)</f>
        <v>0</v>
      </c>
      <c r="Y40">
        <f>SUMIFS('База практик'!$CX$5:$CX$311,'База практик'!$E$5:$E$311,Расчеты!Y$1)</f>
        <v>1520</v>
      </c>
      <c r="Z40">
        <f>SUMIFS('База практик'!$CX$5:$CX$311,'База практик'!$E$5:$E$311,Расчеты!Z$1)</f>
        <v>1324</v>
      </c>
      <c r="AA40">
        <f>SUMIFS('База практик'!$CX$5:$CX$311,'База практик'!$E$5:$E$311,Расчеты!AA$1)</f>
        <v>0</v>
      </c>
      <c r="AB40">
        <f>SUMIFS('База практик'!$CX$5:$CX$311,'База практик'!$E$5:$E$311,Расчеты!AB$1)</f>
        <v>0</v>
      </c>
      <c r="AC40">
        <f>SUMIFS('База практик'!$CX$5:$CX$311,'База практик'!$E$5:$E$311,Расчеты!AC$1)</f>
        <v>0</v>
      </c>
      <c r="AD40">
        <f>SUMIFS('База практик'!$CX$5:$CX$311,'База практик'!$E$5:$E$311,Расчеты!AD$1)</f>
        <v>0</v>
      </c>
      <c r="AE40">
        <f>SUMIFS('База практик'!$CX$5:$CX$311,'База практик'!$E$5:$E$311,Расчеты!AE$1)</f>
        <v>0</v>
      </c>
      <c r="AF40">
        <f>SUMIFS('База практик'!$CX$5:$CX$311,'База практик'!$E$5:$E$311,Расчеты!AF$1)</f>
        <v>0</v>
      </c>
      <c r="AG40">
        <f>SUMIFS('База практик'!$CX$5:$CX$311,'База практик'!$E$5:$E$311,Расчеты!AG$1)</f>
        <v>0</v>
      </c>
      <c r="AH40">
        <f>SUMIFS('База практик'!$CX$5:$CX$311,'База практик'!$E$5:$E$311,Расчеты!AH$1)</f>
        <v>0</v>
      </c>
      <c r="AI40">
        <f>SUMIFS('База практик'!$CX$5:$CX$311,'База практик'!$E$5:$E$311,Расчеты!AI$1)</f>
        <v>0</v>
      </c>
      <c r="AJ40">
        <f>SUMIFS('База практик'!$CX$5:$CX$311,'База практик'!$E$5:$E$311,Расчеты!AJ$1)</f>
        <v>0</v>
      </c>
      <c r="AK40">
        <f>SUMIFS('База практик'!$CX$5:$CX$311,'База практик'!$E$5:$E$311,Расчеты!AK$1)</f>
        <v>0</v>
      </c>
      <c r="AL40">
        <f>SUMIFS('База практик'!$CX$5:$CX$311,'База практик'!$E$5:$E$311,Расчеты!AL$1)</f>
        <v>0</v>
      </c>
      <c r="AM40">
        <f>SUMIFS('База практик'!$CX$5:$CX$311,'База практик'!$E$5:$E$311,Расчеты!AM$1)</f>
        <v>0</v>
      </c>
      <c r="AN40">
        <f>SUMIFS('База практик'!$CX$5:$CX$311,'База практик'!$E$5:$E$311,Расчеты!AN$1)</f>
        <v>0</v>
      </c>
      <c r="AO40">
        <f>SUMIFS('База практик'!$CX$5:$CX$311,'База практик'!$E$5:$E$311,Расчеты!AO$1)</f>
        <v>0</v>
      </c>
      <c r="AP40">
        <f>SUMIFS('База практик'!$CX$5:$CX$311,'База практик'!$E$5:$E$311,Расчеты!AP$1)</f>
        <v>0</v>
      </c>
      <c r="AQ40">
        <f>SUMIFS('База практик'!$CX$5:$CX$311,'База практик'!$E$5:$E$311,Расчеты!AQ$1)</f>
        <v>0</v>
      </c>
      <c r="AR40">
        <f>SUMIFS('База практик'!$CX$5:$CX$311,'База практик'!$E$5:$E$311,Расчеты!AR$1)</f>
        <v>0</v>
      </c>
      <c r="AS40">
        <f>SUMIFS('База практик'!$CX$5:$CX$311,'База практик'!$E$5:$E$311,Расчеты!AS$1)</f>
        <v>0</v>
      </c>
      <c r="AT40">
        <f>SUMIFS('База практик'!$CX$5:$CX$311,'База практик'!$E$5:$E$311,Расчеты!AT$1)</f>
        <v>0</v>
      </c>
      <c r="AU40">
        <f>SUMIFS('База практик'!$CX$5:$CX$311,'База практик'!$E$5:$E$311,Расчеты!AU$1)</f>
        <v>0</v>
      </c>
      <c r="AV40">
        <f>SUMIFS('База практик'!$CX$5:$CX$311,'База практик'!$E$5:$E$311,Расчеты!AV$1)</f>
        <v>61</v>
      </c>
      <c r="AW40">
        <f>SUMIFS('База практик'!$CX$5:$CX$311,'База практик'!$E$5:$E$311,Расчеты!AW$1)</f>
        <v>0</v>
      </c>
      <c r="AX40">
        <f>SUMIFS('База практик'!$CX$5:$CX$311,'База практик'!$E$5:$E$311,Расчеты!AX$1)</f>
        <v>0</v>
      </c>
      <c r="AY40">
        <f>SUMIFS('База практик'!$CX$5:$CX$311,'База практик'!$E$5:$E$311,Расчеты!AY$1)</f>
        <v>0</v>
      </c>
      <c r="AZ40">
        <f>SUMIFS('База практик'!$CX$5:$CX$311,'База практик'!$E$5:$E$311,Расчеты!AZ$1)</f>
        <v>0</v>
      </c>
      <c r="BA40">
        <f>SUMIFS('База практик'!$CX$5:$CX$311,'База практик'!$E$5:$E$311,Расчеты!BA$1)</f>
        <v>0</v>
      </c>
      <c r="BB40">
        <f>SUMIFS('База практик'!$CX$5:$CX$311,'База практик'!$E$5:$E$311,Расчеты!BB$1)</f>
        <v>12207</v>
      </c>
      <c r="BC40">
        <f>SUMIFS('База практик'!$CX$5:$CX$311,'База практик'!$E$5:$E$311,Расчеты!BC$1)</f>
        <v>0</v>
      </c>
      <c r="BD40">
        <f>SUMIFS('База практик'!$CX$5:$CX$311,'База практик'!$E$5:$E$311,Расчеты!BD$1)</f>
        <v>0</v>
      </c>
      <c r="BE40">
        <f>SUMIFS('База практик'!$CX$5:$CX$311,'База практик'!$E$5:$E$311,Расчеты!BE$1)</f>
        <v>0</v>
      </c>
      <c r="BF40">
        <f>SUMIFS('База практик'!$CX$5:$CX$311,'База практик'!$E$5:$E$311,Расчеты!BF$1)</f>
        <v>0</v>
      </c>
      <c r="BG40">
        <f>SUMIFS('База практик'!$CX$5:$CX$311,'База практик'!$E$5:$E$311,Расчеты!BG$1)</f>
        <v>0</v>
      </c>
      <c r="BH40">
        <f>SUMIFS('База практик'!$CX$5:$CX$311,'База практик'!$E$5:$E$311,Расчеты!BH$1)</f>
        <v>0</v>
      </c>
      <c r="BI40">
        <f>SUMIFS('База практик'!$CX$5:$CX$311,'База практик'!$E$5:$E$311,Расчеты!BI$1)</f>
        <v>0</v>
      </c>
      <c r="BJ40">
        <f>SUMIFS('База практик'!$CX$5:$CX$311,'База практик'!$E$5:$E$311,Расчеты!BJ$1)</f>
        <v>0</v>
      </c>
      <c r="BK40">
        <f>SUMIFS('База практик'!$CX$5:$CX$311,'База практик'!$E$5:$E$311,Расчеты!BK$1)</f>
        <v>0</v>
      </c>
      <c r="BL40">
        <f>SUMIFS('База практик'!$CX$5:$CX$311,'База практик'!$E$5:$E$311,Расчеты!BL$1)</f>
        <v>0</v>
      </c>
      <c r="BM40">
        <f>SUMIFS('База практик'!$CX$5:$CX$311,'База практик'!$E$5:$E$311,Расчеты!BM$1)</f>
        <v>0</v>
      </c>
      <c r="BN40">
        <f>SUMIFS('База практик'!$CX$5:$CX$311,'База практик'!$E$5:$E$311,Расчеты!BN$1)</f>
        <v>0</v>
      </c>
      <c r="BO40">
        <f>SUMIFS('База практик'!$CX$5:$CX$311,'База практик'!$E$5:$E$311,Расчеты!BO$1)</f>
        <v>0</v>
      </c>
      <c r="BP40">
        <f>SUMIFS('База практик'!$CX$5:$CX$311,'База практик'!$E$5:$E$311,Расчеты!BP$1)</f>
        <v>0</v>
      </c>
      <c r="BQ40">
        <f>SUMIFS('База практик'!$CX$5:$CX$311,'База практик'!$E$5:$E$311,Расчеты!BQ$1)</f>
        <v>0</v>
      </c>
      <c r="BR40">
        <f>SUMIFS('База практик'!$CX$5:$CX$311,'База практик'!$E$5:$E$311,Расчеты!BR$1)</f>
        <v>0</v>
      </c>
      <c r="BS40">
        <f>SUMIFS('База практик'!$CX$5:$CX$311,'База практик'!$E$5:$E$311,Расчеты!BS$1)</f>
        <v>63</v>
      </c>
      <c r="BT40">
        <f>SUMIFS('База практик'!$CX$5:$CX$311,'База практик'!$E$5:$E$311,Расчеты!BT$1)</f>
        <v>0</v>
      </c>
      <c r="BU40">
        <f>SUMIFS('База практик'!$CX$5:$CX$311,'База практик'!$E$5:$E$311,Расчеты!BU$1)</f>
        <v>25</v>
      </c>
      <c r="BV40">
        <f>SUMIFS('База практик'!$CX$5:$CX$311,'База практик'!$E$5:$E$311,Расчеты!BV$1)</f>
        <v>1230</v>
      </c>
      <c r="BW40">
        <f>SUMIFS('База практик'!$CX$5:$CX$311,'База практик'!$E$5:$E$311,Расчеты!BW$1)</f>
        <v>0</v>
      </c>
      <c r="BX40">
        <f>SUMIFS('База практик'!$CX$5:$CX$311,'База практик'!$E$5:$E$311,Расчеты!BX$1)</f>
        <v>0</v>
      </c>
      <c r="BY40">
        <f>SUMIFS('База практик'!$CX$5:$CX$311,'База практик'!$E$5:$E$311,Расчеты!BY$1)</f>
        <v>0</v>
      </c>
      <c r="BZ40">
        <f>SUMIFS('База практик'!$CX$5:$CX$311,'База практик'!$E$5:$E$311,Расчеты!BZ$1)</f>
        <v>0</v>
      </c>
      <c r="CA40">
        <f>SUMIFS('База практик'!$CX$5:$CX$311,'База практик'!$E$5:$E$311,Расчеты!CA$1)</f>
        <v>0</v>
      </c>
      <c r="CB40">
        <f>SUMIFS('База практик'!$CX$5:$CX$311,'База практик'!$E$5:$E$311,Расчеты!CB$1)</f>
        <v>7</v>
      </c>
      <c r="CC40">
        <f>SUMIFS('База практик'!$CX$5:$CX$311,'База практик'!$E$5:$E$311,Расчеты!CC$1)</f>
        <v>0</v>
      </c>
      <c r="CD40">
        <f>SUMIFS('База практик'!$CX$5:$CX$311,'База практик'!$E$5:$E$311,Расчеты!CD$1)</f>
        <v>1250</v>
      </c>
      <c r="CE40">
        <f>SUMIFS('База практик'!$CX$5:$CX$311,'База практик'!$E$5:$E$311,Расчеты!CE$1)</f>
        <v>0</v>
      </c>
      <c r="CF40">
        <f>SUMIFS('База практик'!$CX$5:$CX$311,'База практик'!$E$5:$E$311,Расчеты!CF$1)</f>
        <v>0</v>
      </c>
      <c r="CG40">
        <f>SUMIFS('База практик'!$CX$5:$CX$311,'База практик'!$E$5:$E$311,Расчеты!CG$1)</f>
        <v>0</v>
      </c>
      <c r="CH40">
        <f>SUMIFS('База практик'!$CX$5:$CX$311,'База практик'!$E$5:$E$311,Расчеты!CH$1)</f>
        <v>0</v>
      </c>
      <c r="CI40">
        <f>SUMIFS('База практик'!$CX$5:$CX$311,'База практик'!$E$5:$E$311,Расчеты!CI$1)</f>
        <v>0</v>
      </c>
      <c r="CJ40">
        <f>SUMIFS('База практик'!$CX$5:$CX$311,'База практик'!$E$5:$E$311,Расчеты!CJ$1)</f>
        <v>168</v>
      </c>
      <c r="CK40">
        <f>SUMIFS('База практик'!$CX$5:$CX$311,'База практик'!$E$5:$E$311,Расчеты!CK$1)</f>
        <v>0</v>
      </c>
      <c r="CL40">
        <f>SUMIFS('База практик'!$CX$5:$CX$311,'База практик'!$E$5:$E$311,Расчеты!CL$1)</f>
        <v>0</v>
      </c>
      <c r="CM40">
        <f>SUMIFS('База практик'!$CX$5:$CX$311,'База практик'!$E$5:$E$311,Расчеты!CM$1)</f>
        <v>0</v>
      </c>
      <c r="CN40">
        <f>SUMIFS('База практик'!$CX$5:$CX$311,'База практик'!$E$5:$E$311,Расчеты!CN$1)</f>
        <v>0</v>
      </c>
      <c r="CO40">
        <f>SUMIFS('База практик'!$CX$5:$CX$311,'База практик'!$E$5:$E$311,Расчеты!CO$1)</f>
        <v>534</v>
      </c>
      <c r="CP40">
        <f>SUMIFS('База практик'!$CX$5:$CX$311,'База практик'!$E$5:$E$311,Расчеты!CP$1)</f>
        <v>0</v>
      </c>
      <c r="CQ40">
        <f>SUMIFS('База практик'!$CX$5:$CX$311,'База практик'!$E$5:$E$311,Расчеты!CQ$1)</f>
        <v>200</v>
      </c>
      <c r="CR40">
        <f>SUMIFS('База практик'!$CX$5:$CX$311,'База практик'!$E$5:$E$311,Расчеты!CR$1)</f>
        <v>0</v>
      </c>
      <c r="CS40">
        <f>SUMIFS('База практик'!$CX$5:$CX$311,'База практик'!$E$5:$E$311,Расчеты!CS$1)</f>
        <v>0</v>
      </c>
      <c r="CT40">
        <f>SUMIFS('База практик'!$CX$5:$CX$311,'База практик'!$E$5:$E$311,Расчеты!CT$1)</f>
        <v>0</v>
      </c>
      <c r="CU40">
        <f>SUMIFS('База практик'!$CX$5:$CX$311,'База практик'!$E$5:$E$311,Расчеты!CU$1)</f>
        <v>0</v>
      </c>
      <c r="CV40">
        <f>SUMIFS('База практик'!$CX$5:$CX$311,'База практик'!$E$5:$E$311,Расчеты!CV$1)</f>
        <v>0</v>
      </c>
      <c r="CW40">
        <f>SUMIFS('База практик'!$CX$5:$CX$311,'База практик'!$E$5:$E$311,Расчеты!CW$1)</f>
        <v>345</v>
      </c>
    </row>
    <row r="41" spans="1:101" ht="81" customHeight="1" x14ac:dyDescent="0.25">
      <c r="A41" s="1658"/>
      <c r="B41" s="382"/>
      <c r="C41" s="1642"/>
      <c r="D41" s="115"/>
      <c r="E41" s="147"/>
      <c r="F41" s="118"/>
      <c r="G41" s="124" t="s">
        <v>251</v>
      </c>
      <c r="H41" s="202" t="s">
        <v>4932</v>
      </c>
      <c r="I41" s="203" t="s">
        <v>4847</v>
      </c>
      <c r="J41" s="171"/>
      <c r="K41" s="171"/>
      <c r="L41" s="171"/>
      <c r="M41" s="171" t="s">
        <v>4844</v>
      </c>
      <c r="N41" s="171" t="s">
        <v>4844</v>
      </c>
      <c r="O41" s="171" t="s">
        <v>4844</v>
      </c>
      <c r="P41" s="433">
        <f t="shared" si="3"/>
        <v>15542</v>
      </c>
      <c r="Q41">
        <f>SUMIFS('База практик'!$DA$5:$DA$311,'База практик'!$E$5:$E$311,Расчеты!Q$1)</f>
        <v>0</v>
      </c>
      <c r="R41">
        <f>SUMIFS('База практик'!$DA$5:$DA$311,'База практик'!$E$5:$E$311,Расчеты!R$1)</f>
        <v>0</v>
      </c>
      <c r="S41">
        <f>SUMIFS('База практик'!$DA$5:$DA$311,'База практик'!$E$5:$E$311,Расчеты!S$1)</f>
        <v>0</v>
      </c>
      <c r="T41">
        <f>SUMIFS('База практик'!$DA$5:$DA$311,'База практик'!$E$5:$E$311,Расчеты!T$1)</f>
        <v>0</v>
      </c>
      <c r="U41">
        <f>SUMIFS('База практик'!$DA$5:$DA$311,'База практик'!$E$5:$E$311,Расчеты!U$1)</f>
        <v>0</v>
      </c>
      <c r="V41">
        <f>SUMIFS('База практик'!$DA$5:$DA$311,'База практик'!$E$5:$E$311,Расчеты!V$1)</f>
        <v>0</v>
      </c>
      <c r="W41">
        <f>SUMIFS('База практик'!$DA$5:$DA$311,'База практик'!$E$5:$E$311,Расчеты!W$1)</f>
        <v>0</v>
      </c>
      <c r="X41">
        <f>SUMIFS('База практик'!$DA$5:$DA$311,'База практик'!$E$5:$E$311,Расчеты!X$1)</f>
        <v>0</v>
      </c>
      <c r="Y41">
        <f>SUMIFS('База практик'!$DA$5:$DA$311,'База практик'!$E$5:$E$311,Расчеты!Y$1)</f>
        <v>0</v>
      </c>
      <c r="Z41">
        <f>SUMIFS('База практик'!$DA$5:$DA$311,'База практик'!$E$5:$E$311,Расчеты!Z$1)</f>
        <v>0</v>
      </c>
      <c r="AA41">
        <f>SUMIFS('База практик'!$DA$5:$DA$311,'База практик'!$E$5:$E$311,Расчеты!AA$1)</f>
        <v>49</v>
      </c>
      <c r="AB41">
        <f>SUMIFS('База практик'!$DA$5:$DA$311,'База практик'!$E$5:$E$311,Расчеты!AB$1)</f>
        <v>0</v>
      </c>
      <c r="AC41">
        <f>SUMIFS('База практик'!$DA$5:$DA$311,'База практик'!$E$5:$E$311,Расчеты!AC$1)</f>
        <v>0</v>
      </c>
      <c r="AD41">
        <f>SUMIFS('База практик'!$DA$5:$DA$311,'База практик'!$E$5:$E$311,Расчеты!AD$1)</f>
        <v>0</v>
      </c>
      <c r="AE41">
        <f>SUMIFS('База практик'!$DA$5:$DA$311,'База практик'!$E$5:$E$311,Расчеты!AE$1)</f>
        <v>0</v>
      </c>
      <c r="AF41">
        <f>SUMIFS('База практик'!$DA$5:$DA$311,'База практик'!$E$5:$E$311,Расчеты!AF$1)</f>
        <v>0</v>
      </c>
      <c r="AG41">
        <f>SUMIFS('База практик'!$DA$5:$DA$311,'База практик'!$E$5:$E$311,Расчеты!AG$1)</f>
        <v>0</v>
      </c>
      <c r="AH41">
        <f>SUMIFS('База практик'!$DA$5:$DA$311,'База практик'!$E$5:$E$311,Расчеты!AH$1)</f>
        <v>0</v>
      </c>
      <c r="AI41">
        <f>SUMIFS('База практик'!$DA$5:$DA$311,'База практик'!$E$5:$E$311,Расчеты!AI$1)</f>
        <v>0</v>
      </c>
      <c r="AJ41">
        <f>SUMIFS('База практик'!$DA$5:$DA$311,'База практик'!$E$5:$E$311,Расчеты!AJ$1)</f>
        <v>0</v>
      </c>
      <c r="AK41">
        <f>SUMIFS('База практик'!$DA$5:$DA$311,'База практик'!$E$5:$E$311,Расчеты!AK$1)</f>
        <v>0</v>
      </c>
      <c r="AL41">
        <f>SUMIFS('База практик'!$DA$5:$DA$311,'База практик'!$E$5:$E$311,Расчеты!AL$1)</f>
        <v>0</v>
      </c>
      <c r="AM41">
        <f>SUMIFS('База практик'!$DA$5:$DA$311,'База практик'!$E$5:$E$311,Расчеты!AM$1)</f>
        <v>0</v>
      </c>
      <c r="AN41">
        <f>SUMIFS('База практик'!$DA$5:$DA$311,'База практик'!$E$5:$E$311,Расчеты!AN$1)</f>
        <v>0</v>
      </c>
      <c r="AO41">
        <f>SUMIFS('База практик'!$DA$5:$DA$311,'База практик'!$E$5:$E$311,Расчеты!AO$1)</f>
        <v>0</v>
      </c>
      <c r="AP41">
        <f>SUMIFS('База практик'!$DA$5:$DA$311,'База практик'!$E$5:$E$311,Расчеты!AP$1)</f>
        <v>0</v>
      </c>
      <c r="AQ41">
        <f>SUMIFS('База практик'!$DA$5:$DA$311,'База практик'!$E$5:$E$311,Расчеты!AQ$1)</f>
        <v>0</v>
      </c>
      <c r="AR41">
        <f>SUMIFS('База практик'!$DA$5:$DA$311,'База практик'!$E$5:$E$311,Расчеты!AR$1)</f>
        <v>0</v>
      </c>
      <c r="AS41">
        <f>SUMIFS('База практик'!$DA$5:$DA$311,'База практик'!$E$5:$E$311,Расчеты!AS$1)</f>
        <v>0</v>
      </c>
      <c r="AT41">
        <f>SUMIFS('База практик'!$DA$5:$DA$311,'База практик'!$E$5:$E$311,Расчеты!AT$1)</f>
        <v>0</v>
      </c>
      <c r="AU41">
        <f>SUMIFS('База практик'!$DA$5:$DA$311,'База практик'!$E$5:$E$311,Расчеты!AU$1)</f>
        <v>0</v>
      </c>
      <c r="AV41">
        <f>SUMIFS('База практик'!$DA$5:$DA$311,'База практик'!$E$5:$E$311,Расчеты!AV$1)</f>
        <v>0</v>
      </c>
      <c r="AW41">
        <f>SUMIFS('База практик'!$DA$5:$DA$311,'База практик'!$E$5:$E$311,Расчеты!AW$1)</f>
        <v>0</v>
      </c>
      <c r="AX41">
        <f>SUMIFS('База практик'!$DA$5:$DA$311,'База практик'!$E$5:$E$311,Расчеты!AX$1)</f>
        <v>0</v>
      </c>
      <c r="AY41">
        <f>SUMIFS('База практик'!$DA$5:$DA$311,'База практик'!$E$5:$E$311,Расчеты!AY$1)</f>
        <v>0</v>
      </c>
      <c r="AZ41">
        <f>SUMIFS('База практик'!$DA$5:$DA$311,'База практик'!$E$5:$E$311,Расчеты!AZ$1)</f>
        <v>0</v>
      </c>
      <c r="BA41">
        <f>SUMIFS('База практик'!$DA$5:$DA$311,'База практик'!$E$5:$E$311,Расчеты!BA$1)</f>
        <v>55</v>
      </c>
      <c r="BB41">
        <f>SUMIFS('База практик'!$DA$5:$DA$311,'База практик'!$E$5:$E$311,Расчеты!BB$1)</f>
        <v>0</v>
      </c>
      <c r="BC41">
        <f>SUMIFS('База практик'!$DA$5:$DA$311,'База практик'!$E$5:$E$311,Расчеты!BC$1)</f>
        <v>0</v>
      </c>
      <c r="BD41">
        <f>SUMIFS('База практик'!$DA$5:$DA$311,'База практик'!$E$5:$E$311,Расчеты!BD$1)</f>
        <v>0</v>
      </c>
      <c r="BE41">
        <f>SUMIFS('База практик'!$DA$5:$DA$311,'База практик'!$E$5:$E$311,Расчеты!BE$1)</f>
        <v>0</v>
      </c>
      <c r="BF41">
        <f>SUMIFS('База практик'!$DA$5:$DA$311,'База практик'!$E$5:$E$311,Расчеты!BF$1)</f>
        <v>0</v>
      </c>
      <c r="BG41">
        <f>SUMIFS('База практик'!$DA$5:$DA$311,'База практик'!$E$5:$E$311,Расчеты!BG$1)</f>
        <v>0</v>
      </c>
      <c r="BH41">
        <f>SUMIFS('База практик'!$DA$5:$DA$311,'База практик'!$E$5:$E$311,Расчеты!BH$1)</f>
        <v>0</v>
      </c>
      <c r="BI41">
        <f>SUMIFS('База практик'!$DA$5:$DA$311,'База практик'!$E$5:$E$311,Расчеты!BI$1)</f>
        <v>0</v>
      </c>
      <c r="BJ41">
        <f>SUMIFS('База практик'!$DA$5:$DA$311,'База практик'!$E$5:$E$311,Расчеты!BJ$1)</f>
        <v>0</v>
      </c>
      <c r="BK41">
        <f>SUMIFS('База практик'!$DA$5:$DA$311,'База практик'!$E$5:$E$311,Расчеты!BK$1)</f>
        <v>0</v>
      </c>
      <c r="BL41">
        <f>SUMIFS('База практик'!$DA$5:$DA$311,'База практик'!$E$5:$E$311,Расчеты!BL$1)</f>
        <v>0</v>
      </c>
      <c r="BM41">
        <f>SUMIFS('База практик'!$DA$5:$DA$311,'База практик'!$E$5:$E$311,Расчеты!BM$1)</f>
        <v>0</v>
      </c>
      <c r="BN41">
        <f>SUMIFS('База практик'!$DA$5:$DA$311,'База практик'!$E$5:$E$311,Расчеты!BN$1)</f>
        <v>0</v>
      </c>
      <c r="BO41">
        <f>SUMIFS('База практик'!$DA$5:$DA$311,'База практик'!$E$5:$E$311,Расчеты!BO$1)</f>
        <v>0</v>
      </c>
      <c r="BP41">
        <f>SUMIFS('База практик'!$DA$5:$DA$311,'База практик'!$E$5:$E$311,Расчеты!BP$1)</f>
        <v>0</v>
      </c>
      <c r="BQ41">
        <f>SUMIFS('База практик'!$DA$5:$DA$311,'База практик'!$E$5:$E$311,Расчеты!BQ$1)</f>
        <v>0</v>
      </c>
      <c r="BR41">
        <f>SUMIFS('База практик'!$DA$5:$DA$311,'База практик'!$E$5:$E$311,Расчеты!BR$1)</f>
        <v>0</v>
      </c>
      <c r="BS41">
        <f>SUMIFS('База практик'!$DA$5:$DA$311,'База практик'!$E$5:$E$311,Расчеты!BS$1)</f>
        <v>0</v>
      </c>
      <c r="BT41">
        <f>SUMIFS('База практик'!$DA$5:$DA$311,'База практик'!$E$5:$E$311,Расчеты!BT$1)</f>
        <v>0</v>
      </c>
      <c r="BU41">
        <f>SUMIFS('База практик'!$DA$5:$DA$311,'База практик'!$E$5:$E$311,Расчеты!BU$1)</f>
        <v>0</v>
      </c>
      <c r="BV41">
        <f>SUMIFS('База практик'!$DA$5:$DA$311,'База практик'!$E$5:$E$311,Расчеты!BV$1)</f>
        <v>0</v>
      </c>
      <c r="BW41">
        <f>SUMIFS('База практик'!$DA$5:$DA$311,'База практик'!$E$5:$E$311,Расчеты!BW$1)</f>
        <v>0</v>
      </c>
      <c r="BX41">
        <f>SUMIFS('База практик'!$DA$5:$DA$311,'База практик'!$E$5:$E$311,Расчеты!BX$1)</f>
        <v>0</v>
      </c>
      <c r="BY41">
        <f>SUMIFS('База практик'!$DA$5:$DA$311,'База практик'!$E$5:$E$311,Расчеты!BY$1)</f>
        <v>0</v>
      </c>
      <c r="BZ41">
        <f>SUMIFS('База практик'!$DA$5:$DA$311,'База практик'!$E$5:$E$311,Расчеты!BZ$1)</f>
        <v>0</v>
      </c>
      <c r="CA41">
        <f>SUMIFS('База практик'!$DA$5:$DA$311,'База практик'!$E$5:$E$311,Расчеты!CA$1)</f>
        <v>0</v>
      </c>
      <c r="CB41">
        <f>SUMIFS('База практик'!$DA$5:$DA$311,'База практик'!$E$5:$E$311,Расчеты!CB$1)</f>
        <v>0</v>
      </c>
      <c r="CC41">
        <f>SUMIFS('База практик'!$DA$5:$DA$311,'База практик'!$E$5:$E$311,Расчеты!CC$1)</f>
        <v>0</v>
      </c>
      <c r="CD41">
        <f>SUMIFS('База практик'!$DA$5:$DA$311,'База практик'!$E$5:$E$311,Расчеты!CD$1)</f>
        <v>0</v>
      </c>
      <c r="CE41">
        <f>SUMIFS('База практик'!$DA$5:$DA$311,'База практик'!$E$5:$E$311,Расчеты!CE$1)</f>
        <v>0</v>
      </c>
      <c r="CF41">
        <f>SUMIFS('База практик'!$DA$5:$DA$311,'База практик'!$E$5:$E$311,Расчеты!CF$1)</f>
        <v>0</v>
      </c>
      <c r="CG41">
        <f>SUMIFS('База практик'!$DA$5:$DA$311,'База практик'!$E$5:$E$311,Расчеты!CG$1)</f>
        <v>0</v>
      </c>
      <c r="CH41">
        <f>SUMIFS('База практик'!$DA$5:$DA$311,'База практик'!$E$5:$E$311,Расчеты!CH$1)</f>
        <v>0</v>
      </c>
      <c r="CI41">
        <f>SUMIFS('База практик'!$DA$5:$DA$311,'База практик'!$E$5:$E$311,Расчеты!CI$1)</f>
        <v>0</v>
      </c>
      <c r="CJ41">
        <f>SUMIFS('База практик'!$DA$5:$DA$311,'База практик'!$E$5:$E$311,Расчеты!CJ$1)</f>
        <v>438</v>
      </c>
      <c r="CK41">
        <f>SUMIFS('База практик'!$DA$5:$DA$311,'База практик'!$E$5:$E$311,Расчеты!CK$1)</f>
        <v>0</v>
      </c>
      <c r="CL41">
        <f>SUMIFS('База практик'!$DA$5:$DA$311,'База практик'!$E$5:$E$311,Расчеты!CL$1)</f>
        <v>0</v>
      </c>
      <c r="CM41">
        <f>SUMIFS('База практик'!$DA$5:$DA$311,'База практик'!$E$5:$E$311,Расчеты!CM$1)</f>
        <v>0</v>
      </c>
      <c r="CN41">
        <f>SUMIFS('База практик'!$DA$5:$DA$311,'База практик'!$E$5:$E$311,Расчеты!CN$1)</f>
        <v>0</v>
      </c>
      <c r="CO41">
        <f>SUMIFS('База практик'!$DA$5:$DA$311,'База практик'!$E$5:$E$311,Расчеты!CO$1)</f>
        <v>0</v>
      </c>
      <c r="CP41">
        <f>SUMIFS('База практик'!$DA$5:$DA$311,'База практик'!$E$5:$E$311,Расчеты!CP$1)</f>
        <v>0</v>
      </c>
      <c r="CQ41">
        <f>SUMIFS('База практик'!$DA$5:$DA$311,'База практик'!$E$5:$E$311,Расчеты!CQ$1)</f>
        <v>105</v>
      </c>
      <c r="CR41">
        <f>SUMIFS('База практик'!$DA$5:$DA$311,'База практик'!$E$5:$E$311,Расчеты!CR$1)</f>
        <v>0</v>
      </c>
      <c r="CS41">
        <f>SUMIFS('База практик'!$DA$5:$DA$311,'База практик'!$E$5:$E$311,Расчеты!CS$1)</f>
        <v>0</v>
      </c>
      <c r="CT41">
        <f>SUMIFS('База практик'!$DA$5:$DA$311,'База практик'!$E$5:$E$311,Расчеты!CT$1)</f>
        <v>13106</v>
      </c>
      <c r="CU41">
        <f>SUMIFS('База практик'!$DA$5:$DA$311,'База практик'!$E$5:$E$311,Расчеты!CU$1)</f>
        <v>0</v>
      </c>
      <c r="CV41">
        <f>SUMIFS('База практик'!$DA$5:$DA$311,'База практик'!$E$5:$E$311,Расчеты!CV$1)</f>
        <v>0</v>
      </c>
      <c r="CW41">
        <f>SUMIFS('База практик'!$DA$5:$DA$311,'База практик'!$E$5:$E$311,Расчеты!CW$1)</f>
        <v>1789</v>
      </c>
    </row>
    <row r="42" spans="1:101" ht="63.75" x14ac:dyDescent="0.25">
      <c r="A42" s="1658"/>
      <c r="B42" s="102"/>
      <c r="C42" s="1642"/>
      <c r="D42" s="115" t="s">
        <v>4831</v>
      </c>
      <c r="E42" s="147">
        <v>35</v>
      </c>
      <c r="F42" s="118" t="s">
        <v>4935</v>
      </c>
      <c r="G42" s="124" t="s">
        <v>4936</v>
      </c>
      <c r="H42" s="202" t="s">
        <v>4932</v>
      </c>
      <c r="I42" s="203" t="s">
        <v>4847</v>
      </c>
      <c r="J42" s="171"/>
      <c r="K42" s="171"/>
      <c r="L42" s="171"/>
      <c r="M42" s="171" t="s">
        <v>4844</v>
      </c>
      <c r="N42" s="171">
        <v>1547486</v>
      </c>
      <c r="O42" s="172">
        <v>117297</v>
      </c>
      <c r="P42" s="433">
        <f t="shared" si="3"/>
        <v>66567</v>
      </c>
      <c r="Q42">
        <f>SUMIFS('База практик'!$DD$5:$DD$311,'База практик'!$E$5:$E$311,Расчеты!Q$1)</f>
        <v>0</v>
      </c>
      <c r="R42">
        <f>SUMIFS('База практик'!$DD$5:$DD$311,'База практик'!$E$5:$E$311,Расчеты!R$1)</f>
        <v>0</v>
      </c>
      <c r="S42">
        <f>SUMIFS('База практик'!$DD$5:$DD$311,'База практик'!$E$5:$E$311,Расчеты!S$1)</f>
        <v>0</v>
      </c>
      <c r="T42">
        <f>SUMIFS('База практик'!$DD$5:$DD$311,'База практик'!$E$5:$E$311,Расчеты!T$1)</f>
        <v>0</v>
      </c>
      <c r="U42">
        <f>SUMIFS('База практик'!$DD$5:$DD$311,'База практик'!$E$5:$E$311,Расчеты!U$1)</f>
        <v>0</v>
      </c>
      <c r="V42">
        <f>SUMIFS('База практик'!$DD$5:$DD$311,'База практик'!$E$5:$E$311,Расчеты!V$1)</f>
        <v>0</v>
      </c>
      <c r="W42">
        <f>SUMIFS('База практик'!$DD$5:$DD$311,'База практик'!$E$5:$E$311,Расчеты!W$1)</f>
        <v>0</v>
      </c>
      <c r="X42">
        <f>SUMIFS('База практик'!$DD$5:$DD$311,'База практик'!$E$5:$E$311,Расчеты!X$1)</f>
        <v>0</v>
      </c>
      <c r="Y42">
        <f>SUMIFS('База практик'!$DD$5:$DD$311,'База практик'!$E$5:$E$311,Расчеты!Y$1)</f>
        <v>0</v>
      </c>
      <c r="Z42">
        <f>SUMIFS('База практик'!$DD$5:$DD$311,'База практик'!$E$5:$E$311,Расчеты!Z$1)</f>
        <v>0</v>
      </c>
      <c r="AA42">
        <f>SUMIFS('База практик'!$DD$5:$DD$311,'База практик'!$E$5:$E$311,Расчеты!AA$1)</f>
        <v>0</v>
      </c>
      <c r="AB42">
        <f>SUMIFS('База практик'!$DD$5:$DD$311,'База практик'!$E$5:$E$311,Расчеты!AB$1)</f>
        <v>0</v>
      </c>
      <c r="AC42">
        <f>SUMIFS('База практик'!$DD$5:$DD$311,'База практик'!$E$5:$E$311,Расчеты!AC$1)</f>
        <v>0</v>
      </c>
      <c r="AD42">
        <f>SUMIFS('База практик'!$DD$5:$DD$311,'База практик'!$E$5:$E$311,Расчеты!AD$1)</f>
        <v>0</v>
      </c>
      <c r="AE42">
        <f>SUMIFS('База практик'!$DD$5:$DD$311,'База практик'!$E$5:$E$311,Расчеты!AE$1)</f>
        <v>3901</v>
      </c>
      <c r="AF42">
        <f>SUMIFS('База практик'!$DD$5:$DD$311,'База практик'!$E$5:$E$311,Расчеты!AF$1)</f>
        <v>0</v>
      </c>
      <c r="AG42">
        <f>SUMIFS('База практик'!$DD$5:$DD$311,'База практик'!$E$5:$E$311,Расчеты!AG$1)</f>
        <v>0</v>
      </c>
      <c r="AH42">
        <f>SUMIFS('База практик'!$DD$5:$DD$311,'База практик'!$E$5:$E$311,Расчеты!AH$1)</f>
        <v>0</v>
      </c>
      <c r="AI42">
        <f>SUMIFS('База практик'!$DD$5:$DD$311,'База практик'!$E$5:$E$311,Расчеты!AI$1)</f>
        <v>0</v>
      </c>
      <c r="AJ42">
        <f>SUMIFS('База практик'!$DD$5:$DD$311,'База практик'!$E$5:$E$311,Расчеты!AJ$1)</f>
        <v>0</v>
      </c>
      <c r="AK42">
        <f>SUMIFS('База практик'!$DD$5:$DD$311,'База практик'!$E$5:$E$311,Расчеты!AK$1)</f>
        <v>0</v>
      </c>
      <c r="AL42">
        <f>SUMIFS('База практик'!$DD$5:$DD$311,'База практик'!$E$5:$E$311,Расчеты!AL$1)</f>
        <v>1124</v>
      </c>
      <c r="AM42">
        <f>SUMIFS('База практик'!$DD$5:$DD$311,'База практик'!$E$5:$E$311,Расчеты!AM$1)</f>
        <v>0</v>
      </c>
      <c r="AN42">
        <f>SUMIFS('База практик'!$DD$5:$DD$311,'База практик'!$E$5:$E$311,Расчеты!AN$1)</f>
        <v>0</v>
      </c>
      <c r="AO42">
        <f>SUMIFS('База практик'!$DD$5:$DD$311,'База практик'!$E$5:$E$311,Расчеты!AO$1)</f>
        <v>0</v>
      </c>
      <c r="AP42">
        <f>SUMIFS('База практик'!$DD$5:$DD$311,'База практик'!$E$5:$E$311,Расчеты!AP$1)</f>
        <v>0</v>
      </c>
      <c r="AQ42">
        <f>SUMIFS('База практик'!$DD$5:$DD$311,'База практик'!$E$5:$E$311,Расчеты!AQ$1)</f>
        <v>0</v>
      </c>
      <c r="AR42">
        <f>SUMIFS('База практик'!$DD$5:$DD$311,'База практик'!$E$5:$E$311,Расчеты!AR$1)</f>
        <v>0</v>
      </c>
      <c r="AS42">
        <f>SUMIFS('База практик'!$DD$5:$DD$311,'База практик'!$E$5:$E$311,Расчеты!AS$1)</f>
        <v>0</v>
      </c>
      <c r="AT42">
        <f>SUMIFS('База практик'!$DD$5:$DD$311,'База практик'!$E$5:$E$311,Расчеты!AT$1)</f>
        <v>0</v>
      </c>
      <c r="AU42">
        <f>SUMIFS('База практик'!$DD$5:$DD$311,'База практик'!$E$5:$E$311,Расчеты!AU$1)</f>
        <v>0</v>
      </c>
      <c r="AV42">
        <f>SUMIFS('База практик'!$DD$5:$DD$311,'База практик'!$E$5:$E$311,Расчеты!AV$1)</f>
        <v>0</v>
      </c>
      <c r="AW42">
        <f>SUMIFS('База практик'!$DD$5:$DD$311,'База практик'!$E$5:$E$311,Расчеты!AW$1)</f>
        <v>0</v>
      </c>
      <c r="AX42">
        <f>SUMIFS('База практик'!$DD$5:$DD$311,'База практик'!$E$5:$E$311,Расчеты!AX$1)</f>
        <v>0</v>
      </c>
      <c r="AY42">
        <f>SUMIFS('База практик'!$DD$5:$DD$311,'База практик'!$E$5:$E$311,Расчеты!AY$1)</f>
        <v>0</v>
      </c>
      <c r="AZ42">
        <f>SUMIFS('База практик'!$DD$5:$DD$311,'База практик'!$E$5:$E$311,Расчеты!AZ$1)</f>
        <v>0</v>
      </c>
      <c r="BA42">
        <f>SUMIFS('База практик'!$DD$5:$DD$311,'База практик'!$E$5:$E$311,Расчеты!BA$1)</f>
        <v>0</v>
      </c>
      <c r="BB42">
        <f>SUMIFS('База практик'!$DD$5:$DD$311,'База практик'!$E$5:$E$311,Расчеты!BB$1)</f>
        <v>0</v>
      </c>
      <c r="BC42">
        <f>SUMIFS('База практик'!$DD$5:$DD$311,'База практик'!$E$5:$E$311,Расчеты!BC$1)</f>
        <v>0</v>
      </c>
      <c r="BD42">
        <f>SUMIFS('База практик'!$DD$5:$DD$311,'База практик'!$E$5:$E$311,Расчеты!BD$1)</f>
        <v>0</v>
      </c>
      <c r="BE42">
        <f>SUMIFS('База практик'!$DD$5:$DD$311,'База практик'!$E$5:$E$311,Расчеты!BE$1)</f>
        <v>0</v>
      </c>
      <c r="BF42">
        <f>SUMIFS('База практик'!$DD$5:$DD$311,'База практик'!$E$5:$E$311,Расчеты!BF$1)</f>
        <v>0</v>
      </c>
      <c r="BG42">
        <f>SUMIFS('База практик'!$DD$5:$DD$311,'База практик'!$E$5:$E$311,Расчеты!BG$1)</f>
        <v>0</v>
      </c>
      <c r="BH42">
        <f>SUMIFS('База практик'!$DD$5:$DD$311,'База практик'!$E$5:$E$311,Расчеты!BH$1)</f>
        <v>0</v>
      </c>
      <c r="BI42">
        <f>SUMIFS('База практик'!$DD$5:$DD$311,'База практик'!$E$5:$E$311,Расчеты!BI$1)</f>
        <v>0</v>
      </c>
      <c r="BJ42">
        <f>SUMIFS('База практик'!$DD$5:$DD$311,'База практик'!$E$5:$E$311,Расчеты!BJ$1)</f>
        <v>0</v>
      </c>
      <c r="BK42">
        <f>SUMIFS('База практик'!$DD$5:$DD$311,'База практик'!$E$5:$E$311,Расчеты!BK$1)</f>
        <v>95</v>
      </c>
      <c r="BL42">
        <f>SUMIFS('База практик'!$DD$5:$DD$311,'База практик'!$E$5:$E$311,Расчеты!BL$1)</f>
        <v>0</v>
      </c>
      <c r="BM42">
        <f>SUMIFS('База практик'!$DD$5:$DD$311,'База практик'!$E$5:$E$311,Расчеты!BM$1)</f>
        <v>0</v>
      </c>
      <c r="BN42">
        <f>SUMIFS('База практик'!$DD$5:$DD$311,'База практик'!$E$5:$E$311,Расчеты!BN$1)</f>
        <v>0</v>
      </c>
      <c r="BO42">
        <f>SUMIFS('База практик'!$DD$5:$DD$311,'База практик'!$E$5:$E$311,Расчеты!BO$1)</f>
        <v>0</v>
      </c>
      <c r="BP42">
        <f>SUMIFS('База практик'!$DD$5:$DD$311,'База практик'!$E$5:$E$311,Расчеты!BP$1)</f>
        <v>0</v>
      </c>
      <c r="BQ42">
        <f>SUMIFS('База практик'!$DD$5:$DD$311,'База практик'!$E$5:$E$311,Расчеты!BQ$1)</f>
        <v>0</v>
      </c>
      <c r="BR42">
        <f>SUMIFS('База практик'!$DD$5:$DD$311,'База практик'!$E$5:$E$311,Расчеты!BR$1)</f>
        <v>0</v>
      </c>
      <c r="BS42">
        <f>SUMIFS('База практик'!$DD$5:$DD$311,'База практик'!$E$5:$E$311,Расчеты!BS$1)</f>
        <v>0</v>
      </c>
      <c r="BT42">
        <f>SUMIFS('База практик'!$DD$5:$DD$311,'База практик'!$E$5:$E$311,Расчеты!BT$1)</f>
        <v>0</v>
      </c>
      <c r="BU42">
        <f>SUMIFS('База практик'!$DD$5:$DD$311,'База практик'!$E$5:$E$311,Расчеты!BU$1)</f>
        <v>0</v>
      </c>
      <c r="BV42">
        <f>SUMIFS('База практик'!$DD$5:$DD$311,'База практик'!$E$5:$E$311,Расчеты!BV$1)</f>
        <v>0</v>
      </c>
      <c r="BW42">
        <f>SUMIFS('База практик'!$DD$5:$DD$311,'База практик'!$E$5:$E$311,Расчеты!BW$1)</f>
        <v>0</v>
      </c>
      <c r="BX42">
        <f>SUMIFS('База практик'!$DD$5:$DD$311,'База практик'!$E$5:$E$311,Расчеты!BX$1)</f>
        <v>0</v>
      </c>
      <c r="BY42">
        <f>SUMIFS('База практик'!$DD$5:$DD$311,'База практик'!$E$5:$E$311,Расчеты!BY$1)</f>
        <v>0</v>
      </c>
      <c r="BZ42">
        <f>SUMIFS('База практик'!$DD$5:$DD$311,'База практик'!$E$5:$E$311,Расчеты!BZ$1)</f>
        <v>0</v>
      </c>
      <c r="CA42">
        <f>SUMIFS('База практик'!$DD$5:$DD$311,'База практик'!$E$5:$E$311,Расчеты!CA$1)</f>
        <v>52702</v>
      </c>
      <c r="CB42">
        <f>SUMIFS('База практик'!$DD$5:$DD$311,'База практик'!$E$5:$E$311,Расчеты!CB$1)</f>
        <v>0</v>
      </c>
      <c r="CC42">
        <f>SUMIFS('База практик'!$DD$5:$DD$311,'База практик'!$E$5:$E$311,Расчеты!CC$1)</f>
        <v>0</v>
      </c>
      <c r="CD42">
        <f>SUMIFS('База практик'!$DD$5:$DD$311,'База практик'!$E$5:$E$311,Расчеты!CD$1)</f>
        <v>0</v>
      </c>
      <c r="CE42">
        <f>SUMIFS('База практик'!$DD$5:$DD$311,'База практик'!$E$5:$E$311,Расчеты!CE$1)</f>
        <v>0</v>
      </c>
      <c r="CF42">
        <f>SUMIFS('База практик'!$DD$5:$DD$311,'База практик'!$E$5:$E$311,Расчеты!CF$1)</f>
        <v>0</v>
      </c>
      <c r="CG42">
        <f>SUMIFS('База практик'!$DD$5:$DD$311,'База практик'!$E$5:$E$311,Расчеты!CG$1)</f>
        <v>0</v>
      </c>
      <c r="CH42">
        <f>SUMIFS('База практик'!$DD$5:$DD$311,'База практик'!$E$5:$E$311,Расчеты!CH$1)</f>
        <v>0</v>
      </c>
      <c r="CI42">
        <f>SUMIFS('База практик'!$DD$5:$DD$311,'База практик'!$E$5:$E$311,Расчеты!CI$1)</f>
        <v>0</v>
      </c>
      <c r="CJ42">
        <f>SUMIFS('База практик'!$DD$5:$DD$311,'База практик'!$E$5:$E$311,Расчеты!CJ$1)</f>
        <v>0</v>
      </c>
      <c r="CK42">
        <f>SUMIFS('База практик'!$DD$5:$DD$311,'База практик'!$E$5:$E$311,Расчеты!CK$1)</f>
        <v>0</v>
      </c>
      <c r="CL42">
        <f>SUMIFS('База практик'!$DD$5:$DD$311,'База практик'!$E$5:$E$311,Расчеты!CL$1)</f>
        <v>0</v>
      </c>
      <c r="CM42">
        <f>SUMIFS('База практик'!$DD$5:$DD$311,'База практик'!$E$5:$E$311,Расчеты!CM$1)</f>
        <v>0</v>
      </c>
      <c r="CN42">
        <f>SUMIFS('База практик'!$DD$5:$DD$311,'База практик'!$E$5:$E$311,Расчеты!CN$1)</f>
        <v>0</v>
      </c>
      <c r="CO42">
        <f>SUMIFS('База практик'!$DD$5:$DD$311,'База практик'!$E$5:$E$311,Расчеты!CO$1)</f>
        <v>0</v>
      </c>
      <c r="CP42">
        <f>SUMIFS('База практик'!$DD$5:$DD$311,'База практик'!$E$5:$E$311,Расчеты!CP$1)</f>
        <v>0</v>
      </c>
      <c r="CQ42">
        <f>SUMIFS('База практик'!$DD$5:$DD$311,'База практик'!$E$5:$E$311,Расчеты!CQ$1)</f>
        <v>1680</v>
      </c>
      <c r="CR42">
        <f>SUMIFS('База практик'!$DD$5:$DD$311,'База практик'!$E$5:$E$311,Расчеты!CR$1)</f>
        <v>0</v>
      </c>
      <c r="CS42">
        <f>SUMIFS('База практик'!$DD$5:$DD$311,'База практик'!$E$5:$E$311,Расчеты!CS$1)</f>
        <v>0</v>
      </c>
      <c r="CT42">
        <f>SUMIFS('База практик'!$DD$5:$DD$311,'База практик'!$E$5:$E$311,Расчеты!CT$1)</f>
        <v>3148</v>
      </c>
      <c r="CU42">
        <f>SUMIFS('База практик'!$DD$5:$DD$311,'База практик'!$E$5:$E$311,Расчеты!CU$1)</f>
        <v>1007</v>
      </c>
      <c r="CV42">
        <f>SUMIFS('База практик'!$DD$5:$DD$311,'База практик'!$E$5:$E$311,Расчеты!CV$1)</f>
        <v>2910</v>
      </c>
      <c r="CW42">
        <f>SUMIFS('База практик'!$DD$5:$DD$311,'База практик'!$E$5:$E$311,Расчеты!CW$1)</f>
        <v>0</v>
      </c>
    </row>
    <row r="43" spans="1:101" ht="89.25" x14ac:dyDescent="0.25">
      <c r="A43" s="1658"/>
      <c r="B43" s="102"/>
      <c r="C43" s="1642"/>
      <c r="D43" s="115" t="s">
        <v>4831</v>
      </c>
      <c r="E43" s="147">
        <v>36</v>
      </c>
      <c r="F43" s="118" t="s">
        <v>4937</v>
      </c>
      <c r="G43" s="124" t="s">
        <v>4938</v>
      </c>
      <c r="H43" s="202" t="s">
        <v>4932</v>
      </c>
      <c r="I43" s="203" t="s">
        <v>4847</v>
      </c>
      <c r="J43" s="171"/>
      <c r="K43" s="171"/>
      <c r="L43" s="171"/>
      <c r="M43" s="171" t="s">
        <v>4844</v>
      </c>
      <c r="N43" s="171">
        <v>20682</v>
      </c>
      <c r="O43" s="172">
        <v>223135</v>
      </c>
      <c r="P43" s="433">
        <f t="shared" si="3"/>
        <v>317667</v>
      </c>
      <c r="Q43">
        <f>SUMIFS('База практик'!$DG$5:$DG$311,'База практик'!$E$5:$E$311,Расчеты!Q$1)</f>
        <v>0</v>
      </c>
      <c r="R43">
        <f>SUMIFS('База практик'!$DG$5:$DG$311,'База практик'!$E$5:$E$311,Расчеты!R$1)</f>
        <v>0</v>
      </c>
      <c r="S43">
        <f>SUMIFS('База практик'!$DG$5:$DG$311,'База практик'!$E$5:$E$311,Расчеты!S$1)</f>
        <v>0</v>
      </c>
      <c r="T43">
        <f>SUMIFS('База практик'!$DG$5:$DG$311,'База практик'!$E$5:$E$311,Расчеты!T$1)</f>
        <v>0</v>
      </c>
      <c r="U43">
        <f>SUMIFS('База практик'!$DG$5:$DG$311,'База практик'!$E$5:$E$311,Расчеты!U$1)</f>
        <v>100</v>
      </c>
      <c r="V43">
        <f>SUMIFS('База практик'!$DG$5:$DG$311,'База практик'!$E$5:$E$311,Расчеты!V$1)</f>
        <v>0</v>
      </c>
      <c r="W43">
        <f>SUMIFS('База практик'!$DG$5:$DG$311,'База практик'!$E$5:$E$311,Расчеты!W$1)</f>
        <v>0</v>
      </c>
      <c r="X43">
        <f>SUMIFS('База практик'!$DG$5:$DG$311,'База практик'!$E$5:$E$311,Расчеты!X$1)</f>
        <v>0</v>
      </c>
      <c r="Y43">
        <f>SUMIFS('База практик'!$DG$5:$DG$311,'База практик'!$E$5:$E$311,Расчеты!Y$1)</f>
        <v>0</v>
      </c>
      <c r="Z43">
        <f>SUMIFS('База практик'!$DG$5:$DG$311,'База практик'!$E$5:$E$311,Расчеты!Z$1)</f>
        <v>0</v>
      </c>
      <c r="AA43">
        <f>SUMIFS('База практик'!$DG$5:$DG$311,'База практик'!$E$5:$E$311,Расчеты!AA$1)</f>
        <v>20440</v>
      </c>
      <c r="AB43">
        <f>SUMIFS('База практик'!$DG$5:$DG$311,'База практик'!$E$5:$E$311,Расчеты!AB$1)</f>
        <v>0</v>
      </c>
      <c r="AC43">
        <f>SUMIFS('База практик'!$DG$5:$DG$311,'База практик'!$E$5:$E$311,Расчеты!AC$1)</f>
        <v>0</v>
      </c>
      <c r="AD43">
        <f>SUMIFS('База практик'!$DG$5:$DG$311,'База практик'!$E$5:$E$311,Расчеты!AD$1)</f>
        <v>0</v>
      </c>
      <c r="AE43">
        <f>SUMIFS('База практик'!$DG$5:$DG$311,'База практик'!$E$5:$E$311,Расчеты!AE$1)</f>
        <v>0</v>
      </c>
      <c r="AF43">
        <f>SUMIFS('База практик'!$DG$5:$DG$311,'База практик'!$E$5:$E$311,Расчеты!AF$1)</f>
        <v>0</v>
      </c>
      <c r="AG43">
        <f>SUMIFS('База практик'!$DG$5:$DG$311,'База практик'!$E$5:$E$311,Расчеты!AG$1)</f>
        <v>0</v>
      </c>
      <c r="AH43">
        <f>SUMIFS('База практик'!$DG$5:$DG$311,'База практик'!$E$5:$E$311,Расчеты!AH$1)</f>
        <v>0</v>
      </c>
      <c r="AI43">
        <f>SUMIFS('База практик'!$DG$5:$DG$311,'База практик'!$E$5:$E$311,Расчеты!AI$1)</f>
        <v>0</v>
      </c>
      <c r="AJ43">
        <f>SUMIFS('База практик'!$DG$5:$DG$311,'База практик'!$E$5:$E$311,Расчеты!AJ$1)</f>
        <v>0</v>
      </c>
      <c r="AK43">
        <f>SUMIFS('База практик'!$DG$5:$DG$311,'База практик'!$E$5:$E$311,Расчеты!AK$1)</f>
        <v>0</v>
      </c>
      <c r="AL43">
        <f>SUMIFS('База практик'!$DG$5:$DG$311,'База практик'!$E$5:$E$311,Расчеты!AL$1)</f>
        <v>414</v>
      </c>
      <c r="AM43">
        <f>SUMIFS('База практик'!$DG$5:$DG$311,'База практик'!$E$5:$E$311,Расчеты!AM$1)</f>
        <v>0</v>
      </c>
      <c r="AN43">
        <f>SUMIFS('База практик'!$DG$5:$DG$311,'База практик'!$E$5:$E$311,Расчеты!AN$1)</f>
        <v>0</v>
      </c>
      <c r="AO43">
        <f>SUMIFS('База практик'!$DG$5:$DG$311,'База практик'!$E$5:$E$311,Расчеты!AO$1)</f>
        <v>0</v>
      </c>
      <c r="AP43">
        <f>SUMIFS('База практик'!$DG$5:$DG$311,'База практик'!$E$5:$E$311,Расчеты!AP$1)</f>
        <v>0</v>
      </c>
      <c r="AQ43">
        <f>SUMIFS('База практик'!$DG$5:$DG$311,'База практик'!$E$5:$E$311,Расчеты!AQ$1)</f>
        <v>1621</v>
      </c>
      <c r="AR43">
        <f>SUMIFS('База практик'!$DG$5:$DG$311,'База практик'!$E$5:$E$311,Расчеты!AR$1)</f>
        <v>0</v>
      </c>
      <c r="AS43">
        <f>SUMIFS('База практик'!$DG$5:$DG$311,'База практик'!$E$5:$E$311,Расчеты!AS$1)</f>
        <v>0</v>
      </c>
      <c r="AT43">
        <f>SUMIFS('База практик'!$DG$5:$DG$311,'База практик'!$E$5:$E$311,Расчеты!AT$1)</f>
        <v>0</v>
      </c>
      <c r="AU43">
        <f>SUMIFS('База практик'!$DG$5:$DG$311,'База практик'!$E$5:$E$311,Расчеты!AU$1)</f>
        <v>0</v>
      </c>
      <c r="AV43">
        <f>SUMIFS('База практик'!$DG$5:$DG$311,'База практик'!$E$5:$E$311,Расчеты!AV$1)</f>
        <v>0</v>
      </c>
      <c r="AW43">
        <f>SUMIFS('База практик'!$DG$5:$DG$311,'База практик'!$E$5:$E$311,Расчеты!AW$1)</f>
        <v>6724</v>
      </c>
      <c r="AX43">
        <f>SUMIFS('База практик'!$DG$5:$DG$311,'База практик'!$E$5:$E$311,Расчеты!AX$1)</f>
        <v>0</v>
      </c>
      <c r="AY43">
        <f>SUMIFS('База практик'!$DG$5:$DG$311,'База практик'!$E$5:$E$311,Расчеты!AY$1)</f>
        <v>0</v>
      </c>
      <c r="AZ43">
        <f>SUMIFS('База практик'!$DG$5:$DG$311,'База практик'!$E$5:$E$311,Расчеты!AZ$1)</f>
        <v>0</v>
      </c>
      <c r="BA43">
        <f>SUMIFS('База практик'!$DG$5:$DG$311,'База практик'!$E$5:$E$311,Расчеты!BA$1)</f>
        <v>0</v>
      </c>
      <c r="BB43">
        <f>SUMIFS('База практик'!$DG$5:$DG$311,'База практик'!$E$5:$E$311,Расчеты!BB$1)</f>
        <v>0</v>
      </c>
      <c r="BC43">
        <f>SUMIFS('База практик'!$DG$5:$DG$311,'База практик'!$E$5:$E$311,Расчеты!BC$1)</f>
        <v>0</v>
      </c>
      <c r="BD43">
        <f>SUMIFS('База практик'!$DG$5:$DG$311,'База практик'!$E$5:$E$311,Расчеты!BD$1)</f>
        <v>0</v>
      </c>
      <c r="BE43">
        <f>SUMIFS('База практик'!$DG$5:$DG$311,'База практик'!$E$5:$E$311,Расчеты!BE$1)</f>
        <v>0</v>
      </c>
      <c r="BF43">
        <f>SUMIFS('База практик'!$DG$5:$DG$311,'База практик'!$E$5:$E$311,Расчеты!BF$1)</f>
        <v>0</v>
      </c>
      <c r="BG43">
        <f>SUMIFS('База практик'!$DG$5:$DG$311,'База практик'!$E$5:$E$311,Расчеты!BG$1)</f>
        <v>648</v>
      </c>
      <c r="BH43">
        <f>SUMIFS('База практик'!$DG$5:$DG$311,'База практик'!$E$5:$E$311,Расчеты!BH$1)</f>
        <v>0</v>
      </c>
      <c r="BI43">
        <f>SUMIFS('База практик'!$DG$5:$DG$311,'База практик'!$E$5:$E$311,Расчеты!BI$1)</f>
        <v>0</v>
      </c>
      <c r="BJ43">
        <f>SUMIFS('База практик'!$DG$5:$DG$311,'База практик'!$E$5:$E$311,Расчеты!BJ$1)</f>
        <v>0</v>
      </c>
      <c r="BK43">
        <f>SUMIFS('База практик'!$DG$5:$DG$311,'База практик'!$E$5:$E$311,Расчеты!BK$1)</f>
        <v>8193</v>
      </c>
      <c r="BL43">
        <f>SUMIFS('База практик'!$DG$5:$DG$311,'База практик'!$E$5:$E$311,Расчеты!BL$1)</f>
        <v>700</v>
      </c>
      <c r="BM43">
        <f>SUMIFS('База практик'!$DG$5:$DG$311,'База практик'!$E$5:$E$311,Расчеты!BM$1)</f>
        <v>0</v>
      </c>
      <c r="BN43">
        <f>SUMIFS('База практик'!$DG$5:$DG$311,'База практик'!$E$5:$E$311,Расчеты!BN$1)</f>
        <v>20</v>
      </c>
      <c r="BO43">
        <f>SUMIFS('База практик'!$DG$5:$DG$311,'База практик'!$E$5:$E$311,Расчеты!BO$1)</f>
        <v>0</v>
      </c>
      <c r="BP43">
        <f>SUMIFS('База практик'!$DG$5:$DG$311,'База практик'!$E$5:$E$311,Расчеты!BP$1)</f>
        <v>0</v>
      </c>
      <c r="BQ43">
        <f>SUMIFS('База практик'!$DG$5:$DG$311,'База практик'!$E$5:$E$311,Расчеты!BQ$1)</f>
        <v>0</v>
      </c>
      <c r="BR43">
        <f>SUMIFS('База практик'!$DG$5:$DG$311,'База практик'!$E$5:$E$311,Расчеты!BR$1)</f>
        <v>0</v>
      </c>
      <c r="BS43">
        <f>SUMIFS('База практик'!$DG$5:$DG$311,'База практик'!$E$5:$E$311,Расчеты!BS$1)</f>
        <v>0</v>
      </c>
      <c r="BT43">
        <f>SUMIFS('База практик'!$DG$5:$DG$311,'База практик'!$E$5:$E$311,Расчеты!BT$1)</f>
        <v>0</v>
      </c>
      <c r="BU43">
        <f>SUMIFS('База практик'!$DG$5:$DG$311,'База практик'!$E$5:$E$311,Расчеты!BU$1)</f>
        <v>0</v>
      </c>
      <c r="BV43">
        <f>SUMIFS('База практик'!$DG$5:$DG$311,'База практик'!$E$5:$E$311,Расчеты!BV$1)</f>
        <v>5378</v>
      </c>
      <c r="BW43">
        <f>SUMIFS('База практик'!$DG$5:$DG$311,'База практик'!$E$5:$E$311,Расчеты!BW$1)</f>
        <v>4430</v>
      </c>
      <c r="BX43">
        <f>SUMIFS('База практик'!$DG$5:$DG$311,'База практик'!$E$5:$E$311,Расчеты!BX$1)</f>
        <v>354</v>
      </c>
      <c r="BY43">
        <f>SUMIFS('База практик'!$DG$5:$DG$311,'База практик'!$E$5:$E$311,Расчеты!BY$1)</f>
        <v>397</v>
      </c>
      <c r="BZ43">
        <f>SUMIFS('База практик'!$DG$5:$DG$311,'База практик'!$E$5:$E$311,Расчеты!BZ$1)</f>
        <v>0</v>
      </c>
      <c r="CA43">
        <f>SUMIFS('База практик'!$DG$5:$DG$311,'База практик'!$E$5:$E$311,Расчеты!CA$1)</f>
        <v>261198</v>
      </c>
      <c r="CB43">
        <f>SUMIFS('База практик'!$DG$5:$DG$311,'База практик'!$E$5:$E$311,Расчеты!CB$1)</f>
        <v>0</v>
      </c>
      <c r="CC43">
        <f>SUMIFS('База практик'!$DG$5:$DG$311,'База практик'!$E$5:$E$311,Расчеты!CC$1)</f>
        <v>0</v>
      </c>
      <c r="CD43">
        <f>SUMIFS('База практик'!$DG$5:$DG$311,'База практик'!$E$5:$E$311,Расчеты!CD$1)</f>
        <v>0</v>
      </c>
      <c r="CE43">
        <f>SUMIFS('База практик'!$DG$5:$DG$311,'База практик'!$E$5:$E$311,Расчеты!CE$1)</f>
        <v>294</v>
      </c>
      <c r="CF43">
        <f>SUMIFS('База практик'!$DG$5:$DG$311,'База практик'!$E$5:$E$311,Расчеты!CF$1)</f>
        <v>0</v>
      </c>
      <c r="CG43">
        <f>SUMIFS('База практик'!$DG$5:$DG$311,'База практик'!$E$5:$E$311,Расчеты!CG$1)</f>
        <v>0</v>
      </c>
      <c r="CH43">
        <f>SUMIFS('База практик'!$DG$5:$DG$311,'База практик'!$E$5:$E$311,Расчеты!CH$1)</f>
        <v>0</v>
      </c>
      <c r="CI43">
        <f>SUMIFS('База практик'!$DG$5:$DG$311,'База практик'!$E$5:$E$311,Расчеты!CI$1)</f>
        <v>836</v>
      </c>
      <c r="CJ43">
        <f>SUMIFS('База практик'!$DG$5:$DG$311,'База практик'!$E$5:$E$311,Расчеты!CJ$1)</f>
        <v>1133</v>
      </c>
      <c r="CK43">
        <f>SUMIFS('База практик'!$DG$5:$DG$311,'База практик'!$E$5:$E$311,Расчеты!CK$1)</f>
        <v>0</v>
      </c>
      <c r="CL43">
        <f>SUMIFS('База практик'!$DG$5:$DG$311,'База практик'!$E$5:$E$311,Расчеты!CL$1)</f>
        <v>20</v>
      </c>
      <c r="CM43">
        <f>SUMIFS('База практик'!$DG$5:$DG$311,'База практик'!$E$5:$E$311,Расчеты!CM$1)</f>
        <v>0</v>
      </c>
      <c r="CN43">
        <f>SUMIFS('База практик'!$DG$5:$DG$311,'База практик'!$E$5:$E$311,Расчеты!CN$1)</f>
        <v>7</v>
      </c>
      <c r="CO43">
        <f>SUMIFS('База практик'!$DG$5:$DG$311,'База практик'!$E$5:$E$311,Расчеты!CO$1)</f>
        <v>0</v>
      </c>
      <c r="CP43">
        <f>SUMIFS('База практик'!$DG$5:$DG$311,'База практик'!$E$5:$E$311,Расчеты!CP$1)</f>
        <v>0</v>
      </c>
      <c r="CQ43">
        <f>SUMIFS('База практик'!$DG$5:$DG$311,'База практик'!$E$5:$E$311,Расчеты!CQ$1)</f>
        <v>4456</v>
      </c>
      <c r="CR43">
        <f>SUMIFS('База практик'!$DG$5:$DG$311,'База практик'!$E$5:$E$311,Расчеты!CR$1)</f>
        <v>52</v>
      </c>
      <c r="CS43">
        <f>SUMIFS('База практик'!$DG$5:$DG$311,'База практик'!$E$5:$E$311,Расчеты!CS$1)</f>
        <v>0</v>
      </c>
      <c r="CT43">
        <f>SUMIFS('База практик'!$DG$5:$DG$311,'База практик'!$E$5:$E$311,Расчеты!CT$1)</f>
        <v>0</v>
      </c>
      <c r="CU43">
        <f>SUMIFS('База практик'!$DG$5:$DG$311,'База практик'!$E$5:$E$311,Расчеты!CU$1)</f>
        <v>36</v>
      </c>
      <c r="CV43">
        <f>SUMIFS('База практик'!$DG$5:$DG$311,'База практик'!$E$5:$E$311,Расчеты!CV$1)</f>
        <v>216</v>
      </c>
      <c r="CW43">
        <f>SUMIFS('База практик'!$DG$5:$DG$311,'База практик'!$E$5:$E$311,Расчеты!CW$1)</f>
        <v>0</v>
      </c>
    </row>
    <row r="44" spans="1:101" ht="63.75" x14ac:dyDescent="0.25">
      <c r="A44" s="1658"/>
      <c r="B44" s="102"/>
      <c r="C44" s="1642"/>
      <c r="D44" s="115" t="s">
        <v>4831</v>
      </c>
      <c r="E44" s="147">
        <v>37</v>
      </c>
      <c r="F44" s="118" t="s">
        <v>4939</v>
      </c>
      <c r="G44" s="124" t="s">
        <v>4940</v>
      </c>
      <c r="H44" s="202" t="s">
        <v>4932</v>
      </c>
      <c r="I44" s="203" t="s">
        <v>4847</v>
      </c>
      <c r="J44" s="171"/>
      <c r="K44" s="171"/>
      <c r="L44" s="171"/>
      <c r="M44" s="171" t="s">
        <v>4844</v>
      </c>
      <c r="N44" s="171">
        <v>2205</v>
      </c>
      <c r="O44" s="172">
        <v>14836</v>
      </c>
      <c r="P44" s="433">
        <f t="shared" ref="P44:P45" si="4">SUM(Q44:CW44)</f>
        <v>20353</v>
      </c>
      <c r="Q44">
        <f>SUMIFS('База практик'!$DJ$5:$DJ$311,'База практик'!$E$5:$E$311,Расчеты!Q$1)</f>
        <v>82</v>
      </c>
      <c r="R44">
        <f>SUMIFS('База практик'!$DJ$5:$DJ$311,'База практик'!$E$5:$E$311,Расчеты!R$1)</f>
        <v>0</v>
      </c>
      <c r="S44">
        <f>SUMIFS('База практик'!$DJ$5:$DJ$311,'База практик'!$E$5:$E$311,Расчеты!S$1)</f>
        <v>0</v>
      </c>
      <c r="T44">
        <f>SUMIFS('База практик'!$DJ$5:$DJ$311,'База практик'!$E$5:$E$311,Расчеты!T$1)</f>
        <v>0</v>
      </c>
      <c r="U44">
        <f>SUMIFS('База практик'!$DJ$5:$DJ$311,'База практик'!$E$5:$E$311,Расчеты!U$1)</f>
        <v>0</v>
      </c>
      <c r="V44">
        <f>SUMIFS('База практик'!$DJ$5:$DJ$311,'База практик'!$E$5:$E$311,Расчеты!V$1)</f>
        <v>0</v>
      </c>
      <c r="W44">
        <f>SUMIFS('База практик'!$DJ$5:$DJ$311,'База практик'!$E$5:$E$311,Расчеты!W$1)</f>
        <v>0</v>
      </c>
      <c r="X44">
        <f>SUMIFS('База практик'!$DJ$5:$DJ$311,'База практик'!$E$5:$E$311,Расчеты!X$1)</f>
        <v>0</v>
      </c>
      <c r="Y44">
        <f>SUMIFS('База практик'!$DJ$5:$DJ$311,'База практик'!$E$5:$E$311,Расчеты!Y$1)</f>
        <v>0</v>
      </c>
      <c r="Z44">
        <f>SUMIFS('База практик'!$DJ$5:$DJ$311,'База практик'!$E$5:$E$311,Расчеты!Z$1)</f>
        <v>0</v>
      </c>
      <c r="AA44">
        <f>SUMIFS('База практик'!$DJ$5:$DJ$311,'База практик'!$E$5:$E$311,Расчеты!AA$1)</f>
        <v>0</v>
      </c>
      <c r="AB44">
        <f>SUMIFS('База практик'!$DJ$5:$DJ$311,'База практик'!$E$5:$E$311,Расчеты!AB$1)</f>
        <v>0</v>
      </c>
      <c r="AC44">
        <f>SUMIFS('База практик'!$DJ$5:$DJ$311,'База практик'!$E$5:$E$311,Расчеты!AC$1)</f>
        <v>0</v>
      </c>
      <c r="AD44">
        <f>SUMIFS('База практик'!$DJ$5:$DJ$311,'База практик'!$E$5:$E$311,Расчеты!AD$1)</f>
        <v>0</v>
      </c>
      <c r="AE44">
        <f>SUMIFS('База практик'!$DJ$5:$DJ$311,'База практик'!$E$5:$E$311,Расчеты!AE$1)</f>
        <v>0</v>
      </c>
      <c r="AF44">
        <f>SUMIFS('База практик'!$DJ$5:$DJ$311,'База практик'!$E$5:$E$311,Расчеты!AF$1)</f>
        <v>0</v>
      </c>
      <c r="AG44">
        <f>SUMIFS('База практик'!$DJ$5:$DJ$311,'База практик'!$E$5:$E$311,Расчеты!AG$1)</f>
        <v>0</v>
      </c>
      <c r="AH44">
        <f>SUMIFS('База практик'!$DJ$5:$DJ$311,'База практик'!$E$5:$E$311,Расчеты!AH$1)</f>
        <v>0</v>
      </c>
      <c r="AI44">
        <f>SUMIFS('База практик'!$DJ$5:$DJ$311,'База практик'!$E$5:$E$311,Расчеты!AI$1)</f>
        <v>0</v>
      </c>
      <c r="AJ44">
        <f>SUMIFS('База практик'!$DJ$5:$DJ$311,'База практик'!$E$5:$E$311,Расчеты!AJ$1)</f>
        <v>0</v>
      </c>
      <c r="AK44">
        <f>SUMIFS('База практик'!$DJ$5:$DJ$311,'База практик'!$E$5:$E$311,Расчеты!AK$1)</f>
        <v>0</v>
      </c>
      <c r="AL44">
        <f>SUMIFS('База практик'!$DJ$5:$DJ$311,'База практик'!$E$5:$E$311,Расчеты!AL$1)</f>
        <v>35</v>
      </c>
      <c r="AM44">
        <f>SUMIFS('База практик'!$DJ$5:$DJ$311,'База практик'!$E$5:$E$311,Расчеты!AM$1)</f>
        <v>0</v>
      </c>
      <c r="AN44">
        <f>SUMIFS('База практик'!$DJ$5:$DJ$311,'База практик'!$E$5:$E$311,Расчеты!AN$1)</f>
        <v>0</v>
      </c>
      <c r="AO44">
        <f>SUMIFS('База практик'!$DJ$5:$DJ$311,'База практик'!$E$5:$E$311,Расчеты!AO$1)</f>
        <v>0</v>
      </c>
      <c r="AP44">
        <f>SUMIFS('База практик'!$DJ$5:$DJ$311,'База практик'!$E$5:$E$311,Расчеты!AP$1)</f>
        <v>0</v>
      </c>
      <c r="AQ44">
        <f>SUMIFS('База практик'!$DJ$5:$DJ$311,'База практик'!$E$5:$E$311,Расчеты!AQ$1)</f>
        <v>0</v>
      </c>
      <c r="AR44">
        <f>SUMIFS('База практик'!$DJ$5:$DJ$311,'База практик'!$E$5:$E$311,Расчеты!AR$1)</f>
        <v>0</v>
      </c>
      <c r="AS44">
        <f>SUMIFS('База практик'!$DJ$5:$DJ$311,'База практик'!$E$5:$E$311,Расчеты!AS$1)</f>
        <v>0</v>
      </c>
      <c r="AT44">
        <f>SUMIFS('База практик'!$DJ$5:$DJ$311,'База практик'!$E$5:$E$311,Расчеты!AT$1)</f>
        <v>0</v>
      </c>
      <c r="AU44">
        <f>SUMIFS('База практик'!$DJ$5:$DJ$311,'База практик'!$E$5:$E$311,Расчеты!AU$1)</f>
        <v>0</v>
      </c>
      <c r="AV44">
        <f>SUMIFS('База практик'!$DJ$5:$DJ$311,'База практик'!$E$5:$E$311,Расчеты!AV$1)</f>
        <v>0</v>
      </c>
      <c r="AW44">
        <f>SUMIFS('База практик'!$DJ$5:$DJ$311,'База практик'!$E$5:$E$311,Расчеты!AW$1)</f>
        <v>0</v>
      </c>
      <c r="AX44">
        <f>SUMIFS('База практик'!$DJ$5:$DJ$311,'База практик'!$E$5:$E$311,Расчеты!AX$1)</f>
        <v>0</v>
      </c>
      <c r="AY44">
        <f>SUMIFS('База практик'!$DJ$5:$DJ$311,'База практик'!$E$5:$E$311,Расчеты!AY$1)</f>
        <v>0</v>
      </c>
      <c r="AZ44">
        <f>SUMIFS('База практик'!$DJ$5:$DJ$311,'База практик'!$E$5:$E$311,Расчеты!AZ$1)</f>
        <v>0</v>
      </c>
      <c r="BA44">
        <f>SUMIFS('База практик'!$DJ$5:$DJ$311,'База практик'!$E$5:$E$311,Расчеты!BA$1)</f>
        <v>0</v>
      </c>
      <c r="BB44">
        <f>SUMIFS('База практик'!$DJ$5:$DJ$311,'База практик'!$E$5:$E$311,Расчеты!BB$1)</f>
        <v>0</v>
      </c>
      <c r="BC44">
        <f>SUMIFS('База практик'!$DJ$5:$DJ$311,'База практик'!$E$5:$E$311,Расчеты!BC$1)</f>
        <v>0</v>
      </c>
      <c r="BD44">
        <f>SUMIFS('База практик'!$DJ$5:$DJ$311,'База практик'!$E$5:$E$311,Расчеты!BD$1)</f>
        <v>0</v>
      </c>
      <c r="BE44">
        <f>SUMIFS('База практик'!$DJ$5:$DJ$311,'База практик'!$E$5:$E$311,Расчеты!BE$1)</f>
        <v>0</v>
      </c>
      <c r="BF44">
        <f>SUMIFS('База практик'!$DJ$5:$DJ$311,'База практик'!$E$5:$E$311,Расчеты!BF$1)</f>
        <v>0</v>
      </c>
      <c r="BG44">
        <f>SUMIFS('База практик'!$DJ$5:$DJ$311,'База практик'!$E$5:$E$311,Расчеты!BG$1)</f>
        <v>0</v>
      </c>
      <c r="BH44">
        <f>SUMIFS('База практик'!$DJ$5:$DJ$311,'База практик'!$E$5:$E$311,Расчеты!BH$1)</f>
        <v>0</v>
      </c>
      <c r="BI44">
        <f>SUMIFS('База практик'!$DJ$5:$DJ$311,'База практик'!$E$5:$E$311,Расчеты!BI$1)</f>
        <v>0</v>
      </c>
      <c r="BJ44">
        <f>SUMIFS('База практик'!$DJ$5:$DJ$311,'База практик'!$E$5:$E$311,Расчеты!BJ$1)</f>
        <v>0</v>
      </c>
      <c r="BK44">
        <f>SUMIFS('База практик'!$DJ$5:$DJ$311,'База практик'!$E$5:$E$311,Расчеты!BK$1)</f>
        <v>0</v>
      </c>
      <c r="BL44">
        <f>SUMIFS('База практик'!$DJ$5:$DJ$311,'База практик'!$E$5:$E$311,Расчеты!BL$1)</f>
        <v>0</v>
      </c>
      <c r="BM44">
        <f>SUMIFS('База практик'!$DJ$5:$DJ$311,'База практик'!$E$5:$E$311,Расчеты!BM$1)</f>
        <v>0</v>
      </c>
      <c r="BN44">
        <f>SUMIFS('База практик'!$DJ$5:$DJ$311,'База практик'!$E$5:$E$311,Расчеты!BN$1)</f>
        <v>0</v>
      </c>
      <c r="BO44">
        <f>SUMIFS('База практик'!$DJ$5:$DJ$311,'База практик'!$E$5:$E$311,Расчеты!BO$1)</f>
        <v>0</v>
      </c>
      <c r="BP44">
        <f>SUMIFS('База практик'!$DJ$5:$DJ$311,'База практик'!$E$5:$E$311,Расчеты!BP$1)</f>
        <v>0</v>
      </c>
      <c r="BQ44">
        <f>SUMIFS('База практик'!$DJ$5:$DJ$311,'База практик'!$E$5:$E$311,Расчеты!BQ$1)</f>
        <v>0</v>
      </c>
      <c r="BR44">
        <f>SUMIFS('База практик'!$DJ$5:$DJ$311,'База практик'!$E$5:$E$311,Расчеты!BR$1)</f>
        <v>0</v>
      </c>
      <c r="BS44">
        <f>SUMIFS('База практик'!$DJ$5:$DJ$311,'База практик'!$E$5:$E$311,Расчеты!BS$1)</f>
        <v>0</v>
      </c>
      <c r="BT44">
        <f>SUMIFS('База практик'!$DJ$5:$DJ$311,'База практик'!$E$5:$E$311,Расчеты!BT$1)</f>
        <v>0</v>
      </c>
      <c r="BU44">
        <f>SUMIFS('База практик'!$DJ$5:$DJ$311,'База практик'!$E$5:$E$311,Расчеты!BU$1)</f>
        <v>0</v>
      </c>
      <c r="BV44">
        <f>SUMIFS('База практик'!$DJ$5:$DJ$311,'База практик'!$E$5:$E$311,Расчеты!BV$1)</f>
        <v>851</v>
      </c>
      <c r="BW44">
        <f>SUMIFS('База практик'!$DJ$5:$DJ$311,'База практик'!$E$5:$E$311,Расчеты!BW$1)</f>
        <v>0</v>
      </c>
      <c r="BX44">
        <f>SUMIFS('База практик'!$DJ$5:$DJ$311,'База практик'!$E$5:$E$311,Расчеты!BX$1)</f>
        <v>0</v>
      </c>
      <c r="BY44">
        <f>SUMIFS('База практик'!$DJ$5:$DJ$311,'База практик'!$E$5:$E$311,Расчеты!BY$1)</f>
        <v>0</v>
      </c>
      <c r="BZ44">
        <f>SUMIFS('База практик'!$DJ$5:$DJ$311,'База практик'!$E$5:$E$311,Расчеты!BZ$1)</f>
        <v>0</v>
      </c>
      <c r="CA44">
        <f>SUMIFS('База практик'!$DJ$5:$DJ$311,'База практик'!$E$5:$E$311,Расчеты!CA$1)</f>
        <v>0</v>
      </c>
      <c r="CB44">
        <f>SUMIFS('База практик'!$DJ$5:$DJ$311,'База практик'!$E$5:$E$311,Расчеты!CB$1)</f>
        <v>0</v>
      </c>
      <c r="CC44">
        <f>SUMIFS('База практик'!$DJ$5:$DJ$311,'База практик'!$E$5:$E$311,Расчеты!CC$1)</f>
        <v>0</v>
      </c>
      <c r="CD44">
        <f>SUMIFS('База практик'!$DJ$5:$DJ$311,'База практик'!$E$5:$E$311,Расчеты!CD$1)</f>
        <v>0</v>
      </c>
      <c r="CE44">
        <f>SUMIFS('База практик'!$DJ$5:$DJ$311,'База практик'!$E$5:$E$311,Расчеты!CE$1)</f>
        <v>1209</v>
      </c>
      <c r="CF44">
        <f>SUMIFS('База практик'!$DJ$5:$DJ$311,'База практик'!$E$5:$E$311,Расчеты!CF$1)</f>
        <v>0</v>
      </c>
      <c r="CG44">
        <f>SUMIFS('База практик'!$DJ$5:$DJ$311,'База практик'!$E$5:$E$311,Расчеты!CG$1)</f>
        <v>0</v>
      </c>
      <c r="CH44">
        <f>SUMIFS('База практик'!$DJ$5:$DJ$311,'База практик'!$E$5:$E$311,Расчеты!CH$1)</f>
        <v>0</v>
      </c>
      <c r="CI44">
        <f>SUMIFS('База практик'!$DJ$5:$DJ$311,'База практик'!$E$5:$E$311,Расчеты!CI$1)</f>
        <v>0</v>
      </c>
      <c r="CJ44">
        <f>SUMIFS('База практик'!$DJ$5:$DJ$311,'База практик'!$E$5:$E$311,Расчеты!CJ$1)</f>
        <v>0</v>
      </c>
      <c r="CK44">
        <f>SUMIFS('База практик'!$DJ$5:$DJ$311,'База практик'!$E$5:$E$311,Расчеты!CK$1)</f>
        <v>0</v>
      </c>
      <c r="CL44">
        <f>SUMIFS('База практик'!$DJ$5:$DJ$311,'База практик'!$E$5:$E$311,Расчеты!CL$1)</f>
        <v>0</v>
      </c>
      <c r="CM44">
        <f>SUMIFS('База практик'!$DJ$5:$DJ$311,'База практик'!$E$5:$E$311,Расчеты!CM$1)</f>
        <v>0</v>
      </c>
      <c r="CN44">
        <f>SUMIFS('База практик'!$DJ$5:$DJ$311,'База практик'!$E$5:$E$311,Расчеты!CN$1)</f>
        <v>2</v>
      </c>
      <c r="CO44">
        <f>SUMIFS('База практик'!$DJ$5:$DJ$311,'База практик'!$E$5:$E$311,Расчеты!CO$1)</f>
        <v>0</v>
      </c>
      <c r="CP44">
        <f>SUMIFS('База практик'!$DJ$5:$DJ$311,'База практик'!$E$5:$E$311,Расчеты!CP$1)</f>
        <v>0</v>
      </c>
      <c r="CQ44">
        <f>SUMIFS('База практик'!$DJ$5:$DJ$311,'База практик'!$E$5:$E$311,Расчеты!CQ$1)</f>
        <v>0</v>
      </c>
      <c r="CR44">
        <f>SUMIFS('База практик'!$DJ$5:$DJ$311,'База практик'!$E$5:$E$311,Расчеты!CR$1)</f>
        <v>0</v>
      </c>
      <c r="CS44">
        <f>SUMIFS('База практик'!$DJ$5:$DJ$311,'База практик'!$E$5:$E$311,Расчеты!CS$1)</f>
        <v>0</v>
      </c>
      <c r="CT44">
        <f>SUMIFS('База практик'!$DJ$5:$DJ$311,'База практик'!$E$5:$E$311,Расчеты!CT$1)</f>
        <v>0</v>
      </c>
      <c r="CU44">
        <f>SUMIFS('База практик'!$DJ$5:$DJ$311,'База практик'!$E$5:$E$311,Расчеты!CU$1)</f>
        <v>0</v>
      </c>
      <c r="CV44">
        <f>SUMIFS('База практик'!$DJ$5:$DJ$311,'База практик'!$E$5:$E$311,Расчеты!CV$1)</f>
        <v>6</v>
      </c>
      <c r="CW44">
        <f>SUMIFS('База практик'!$DJ$5:$DJ$311,'База практик'!$E$5:$E$311,Расчеты!CW$1)</f>
        <v>18168</v>
      </c>
    </row>
    <row r="45" spans="1:101" ht="63.75" x14ac:dyDescent="0.25">
      <c r="A45" s="1658"/>
      <c r="B45" s="102"/>
      <c r="C45" s="1642"/>
      <c r="D45" s="115" t="s">
        <v>4831</v>
      </c>
      <c r="E45" s="147">
        <v>38</v>
      </c>
      <c r="F45" s="118" t="s">
        <v>4941</v>
      </c>
      <c r="G45" s="124" t="s">
        <v>4942</v>
      </c>
      <c r="H45" s="202" t="s">
        <v>4932</v>
      </c>
      <c r="I45" s="203" t="s">
        <v>4847</v>
      </c>
      <c r="J45" s="171"/>
      <c r="K45" s="171"/>
      <c r="L45" s="171"/>
      <c r="M45" s="171" t="s">
        <v>4844</v>
      </c>
      <c r="N45" s="171">
        <v>420221</v>
      </c>
      <c r="O45" s="172">
        <v>402710</v>
      </c>
      <c r="P45" s="433">
        <f t="shared" si="4"/>
        <v>376285.2562</v>
      </c>
      <c r="Q45">
        <f>SUMIFS('База практик'!$DM$5:$DM$311,'База практик'!$E$5:$E$311,Расчеты!Q$1)</f>
        <v>0</v>
      </c>
      <c r="R45">
        <f>SUMIFS('База практик'!$DM$5:$DM$311,'База практик'!$E$5:$E$311,Расчеты!R$1)</f>
        <v>0</v>
      </c>
      <c r="S45">
        <f>SUMIFS('База практик'!$DM$5:$DM$311,'База практик'!$E$5:$E$311,Расчеты!S$1)</f>
        <v>1748</v>
      </c>
      <c r="T45">
        <f>SUMIFS('База практик'!$DM$5:$DM$311,'База практик'!$E$5:$E$311,Расчеты!T$1)</f>
        <v>0</v>
      </c>
      <c r="U45">
        <f>SUMIFS('База практик'!$DM$5:$DM$311,'База практик'!$E$5:$E$311,Расчеты!U$1)</f>
        <v>561</v>
      </c>
      <c r="V45">
        <f>SUMIFS('База практик'!$DM$5:$DM$311,'База практик'!$E$5:$E$311,Расчеты!V$1)</f>
        <v>0</v>
      </c>
      <c r="W45">
        <f>SUMIFS('База практик'!$DM$5:$DM$311,'База практик'!$E$5:$E$311,Расчеты!W$1)</f>
        <v>0</v>
      </c>
      <c r="X45">
        <f>SUMIFS('База практик'!$DM$5:$DM$311,'База практик'!$E$5:$E$311,Расчеты!X$1)</f>
        <v>0</v>
      </c>
      <c r="Y45">
        <f>SUMIFS('База практик'!$DM$5:$DM$311,'База практик'!$E$5:$E$311,Расчеты!Y$1)</f>
        <v>0</v>
      </c>
      <c r="Z45">
        <f>SUMIFS('База практик'!$DM$5:$DM$311,'База практик'!$E$5:$E$311,Расчеты!Z$1)</f>
        <v>0</v>
      </c>
      <c r="AA45">
        <f>SUMIFS('База практик'!$DM$5:$DM$311,'База практик'!$E$5:$E$311,Расчеты!AA$1)</f>
        <v>20215</v>
      </c>
      <c r="AB45">
        <f>SUMIFS('База практик'!$DM$5:$DM$311,'База практик'!$E$5:$E$311,Расчеты!AB$1)</f>
        <v>0</v>
      </c>
      <c r="AC45">
        <f>SUMIFS('База практик'!$DM$5:$DM$311,'База практик'!$E$5:$E$311,Расчеты!AC$1)</f>
        <v>0</v>
      </c>
      <c r="AD45">
        <f>SUMIFS('База практик'!$DM$5:$DM$311,'База практик'!$E$5:$E$311,Расчеты!AD$1)</f>
        <v>272008</v>
      </c>
      <c r="AE45">
        <f>SUMIFS('База практик'!$DM$5:$DM$311,'База практик'!$E$5:$E$311,Расчеты!AE$1)</f>
        <v>0</v>
      </c>
      <c r="AF45">
        <f>SUMIFS('База практик'!$DM$5:$DM$311,'База практик'!$E$5:$E$311,Расчеты!AF$1)</f>
        <v>0</v>
      </c>
      <c r="AG45">
        <f>SUMIFS('База практик'!$DM$5:$DM$311,'База практик'!$E$5:$E$311,Расчеты!AG$1)</f>
        <v>0</v>
      </c>
      <c r="AH45">
        <f>SUMIFS('База практик'!$DM$5:$DM$311,'База практик'!$E$5:$E$311,Расчеты!AH$1)</f>
        <v>0</v>
      </c>
      <c r="AI45">
        <f>SUMIFS('База практик'!$DM$5:$DM$311,'База практик'!$E$5:$E$311,Расчеты!AI$1)</f>
        <v>0</v>
      </c>
      <c r="AJ45">
        <f>SUMIFS('База практик'!$DM$5:$DM$311,'База практик'!$E$5:$E$311,Расчеты!AJ$1)</f>
        <v>0</v>
      </c>
      <c r="AK45">
        <f>SUMIFS('База практик'!$DM$5:$DM$311,'База практик'!$E$5:$E$311,Расчеты!AK$1)</f>
        <v>0</v>
      </c>
      <c r="AL45">
        <f>SUMIFS('База практик'!$DM$5:$DM$311,'База практик'!$E$5:$E$311,Расчеты!AL$1)</f>
        <v>2144</v>
      </c>
      <c r="AM45">
        <f>SUMIFS('База практик'!$DM$5:$DM$311,'База практик'!$E$5:$E$311,Расчеты!AM$1)</f>
        <v>0</v>
      </c>
      <c r="AN45">
        <f>SUMIFS('База практик'!$DM$5:$DM$311,'База практик'!$E$5:$E$311,Расчеты!AN$1)</f>
        <v>0</v>
      </c>
      <c r="AO45">
        <f>SUMIFS('База практик'!$DM$5:$DM$311,'База практик'!$E$5:$E$311,Расчеты!AO$1)</f>
        <v>0</v>
      </c>
      <c r="AP45">
        <f>SUMIFS('База практик'!$DM$5:$DM$311,'База практик'!$E$5:$E$311,Расчеты!AP$1)</f>
        <v>0</v>
      </c>
      <c r="AQ45">
        <f>SUMIFS('База практик'!$DM$5:$DM$311,'База практик'!$E$5:$E$311,Расчеты!AQ$1)</f>
        <v>0</v>
      </c>
      <c r="AR45">
        <f>SUMIFS('База практик'!$DM$5:$DM$311,'База практик'!$E$5:$E$311,Расчеты!AR$1)</f>
        <v>0</v>
      </c>
      <c r="AS45">
        <f>SUMIFS('База практик'!$DM$5:$DM$311,'База практик'!$E$5:$E$311,Расчеты!AS$1)</f>
        <v>0</v>
      </c>
      <c r="AT45">
        <f>SUMIFS('База практик'!$DM$5:$DM$311,'База практик'!$E$5:$E$311,Расчеты!AT$1)</f>
        <v>0</v>
      </c>
      <c r="AU45">
        <f>SUMIFS('База практик'!$DM$5:$DM$311,'База практик'!$E$5:$E$311,Расчеты!AU$1)</f>
        <v>0</v>
      </c>
      <c r="AV45">
        <f>SUMIFS('База практик'!$DM$5:$DM$311,'База практик'!$E$5:$E$311,Расчеты!AV$1)</f>
        <v>20</v>
      </c>
      <c r="AW45">
        <f>SUMIFS('База практик'!$DM$5:$DM$311,'База практик'!$E$5:$E$311,Расчеты!AW$1)</f>
        <v>0</v>
      </c>
      <c r="AX45">
        <f>SUMIFS('База практик'!$DM$5:$DM$311,'База практик'!$E$5:$E$311,Расчеты!AX$1)</f>
        <v>0</v>
      </c>
      <c r="AY45">
        <f>SUMIFS('База практик'!$DM$5:$DM$311,'База практик'!$E$5:$E$311,Расчеты!AY$1)</f>
        <v>0</v>
      </c>
      <c r="AZ45">
        <f>SUMIFS('База практик'!$DM$5:$DM$311,'База практик'!$E$5:$E$311,Расчеты!AZ$1)</f>
        <v>0</v>
      </c>
      <c r="BA45">
        <f>SUMIFS('База практик'!$DM$5:$DM$311,'База практик'!$E$5:$E$311,Расчеты!BA$1)</f>
        <v>0</v>
      </c>
      <c r="BB45">
        <f>SUMIFS('База практик'!$DM$5:$DM$311,'База практик'!$E$5:$E$311,Расчеты!BB$1)</f>
        <v>0</v>
      </c>
      <c r="BC45">
        <f>SUMIFS('База практик'!$DM$5:$DM$311,'База практик'!$E$5:$E$311,Расчеты!BC$1)</f>
        <v>0</v>
      </c>
      <c r="BD45">
        <f>SUMIFS('База практик'!$DM$5:$DM$311,'База практик'!$E$5:$E$311,Расчеты!BD$1)</f>
        <v>0</v>
      </c>
      <c r="BE45">
        <f>SUMIFS('База практик'!$DM$5:$DM$311,'База практик'!$E$5:$E$311,Расчеты!BE$1)</f>
        <v>0</v>
      </c>
      <c r="BF45">
        <f>SUMIFS('База практик'!$DM$5:$DM$311,'База практик'!$E$5:$E$311,Расчеты!BF$1)</f>
        <v>0</v>
      </c>
      <c r="BG45">
        <f>SUMIFS('База практик'!$DM$5:$DM$311,'База практик'!$E$5:$E$311,Расчеты!BG$1)</f>
        <v>0</v>
      </c>
      <c r="BH45">
        <f>SUMIFS('База практик'!$DM$5:$DM$311,'База практик'!$E$5:$E$311,Расчеты!BH$1)</f>
        <v>0</v>
      </c>
      <c r="BI45">
        <f>SUMIFS('База практик'!$DM$5:$DM$311,'База практик'!$E$5:$E$311,Расчеты!BI$1)</f>
        <v>0</v>
      </c>
      <c r="BJ45">
        <f>SUMIFS('База практик'!$DM$5:$DM$311,'База практик'!$E$5:$E$311,Расчеты!BJ$1)</f>
        <v>52</v>
      </c>
      <c r="BK45">
        <f>SUMIFS('База практик'!$DM$5:$DM$311,'База практик'!$E$5:$E$311,Расчеты!BK$1)</f>
        <v>30.2562</v>
      </c>
      <c r="BL45">
        <f>SUMIFS('База практик'!$DM$5:$DM$311,'База практик'!$E$5:$E$311,Расчеты!BL$1)</f>
        <v>0</v>
      </c>
      <c r="BM45">
        <f>SUMIFS('База практик'!$DM$5:$DM$311,'База практик'!$E$5:$E$311,Расчеты!BM$1)</f>
        <v>15923</v>
      </c>
      <c r="BN45">
        <f>SUMIFS('База практик'!$DM$5:$DM$311,'База практик'!$E$5:$E$311,Расчеты!BN$1)</f>
        <v>320</v>
      </c>
      <c r="BO45">
        <f>SUMIFS('База практик'!$DM$5:$DM$311,'База практик'!$E$5:$E$311,Расчеты!BO$1)</f>
        <v>0</v>
      </c>
      <c r="BP45">
        <f>SUMIFS('База практик'!$DM$5:$DM$311,'База практик'!$E$5:$E$311,Расчеты!BP$1)</f>
        <v>67</v>
      </c>
      <c r="BQ45">
        <f>SUMIFS('База практик'!$DM$5:$DM$311,'База практик'!$E$5:$E$311,Расчеты!BQ$1)</f>
        <v>0</v>
      </c>
      <c r="BR45">
        <f>SUMIFS('База практик'!$DM$5:$DM$311,'База практик'!$E$5:$E$311,Расчеты!BR$1)</f>
        <v>0</v>
      </c>
      <c r="BS45">
        <f>SUMIFS('База практик'!$DM$5:$DM$311,'База практик'!$E$5:$E$311,Расчеты!BS$1)</f>
        <v>0</v>
      </c>
      <c r="BT45">
        <f>SUMIFS('База практик'!$DM$5:$DM$311,'База практик'!$E$5:$E$311,Расчеты!BT$1)</f>
        <v>7</v>
      </c>
      <c r="BU45">
        <f>SUMIFS('База практик'!$DM$5:$DM$311,'База практик'!$E$5:$E$311,Расчеты!BU$1)</f>
        <v>0</v>
      </c>
      <c r="BV45">
        <f>SUMIFS('База практик'!$DM$5:$DM$311,'База практик'!$E$5:$E$311,Расчеты!BV$1)</f>
        <v>8739</v>
      </c>
      <c r="BW45">
        <f>SUMIFS('База практик'!$DM$5:$DM$311,'База практик'!$E$5:$E$311,Расчеты!BW$1)</f>
        <v>0</v>
      </c>
      <c r="BX45">
        <f>SUMIFS('База практик'!$DM$5:$DM$311,'База практик'!$E$5:$E$311,Расчеты!BX$1)</f>
        <v>0</v>
      </c>
      <c r="BY45">
        <f>SUMIFS('База практик'!$DM$5:$DM$311,'База практик'!$E$5:$E$311,Расчеты!BY$1)</f>
        <v>390</v>
      </c>
      <c r="BZ45">
        <f>SUMIFS('База практик'!$DM$5:$DM$311,'База практик'!$E$5:$E$311,Расчеты!BZ$1)</f>
        <v>0</v>
      </c>
      <c r="CA45">
        <f>SUMIFS('База практик'!$DM$5:$DM$311,'База практик'!$E$5:$E$311,Расчеты!CA$1)</f>
        <v>51677</v>
      </c>
      <c r="CB45">
        <f>SUMIFS('База практик'!$DM$5:$DM$311,'База практик'!$E$5:$E$311,Расчеты!CB$1)</f>
        <v>0</v>
      </c>
      <c r="CC45">
        <f>SUMIFS('База практик'!$DM$5:$DM$311,'База практик'!$E$5:$E$311,Расчеты!CC$1)</f>
        <v>0</v>
      </c>
      <c r="CD45">
        <f>SUMIFS('База практик'!$DM$5:$DM$311,'База практик'!$E$5:$E$311,Расчеты!CD$1)</f>
        <v>0</v>
      </c>
      <c r="CE45">
        <f>SUMIFS('База практик'!$DM$5:$DM$311,'База практик'!$E$5:$E$311,Расчеты!CE$1)</f>
        <v>9</v>
      </c>
      <c r="CF45">
        <f>SUMIFS('База практик'!$DM$5:$DM$311,'База практик'!$E$5:$E$311,Расчеты!CF$1)</f>
        <v>0</v>
      </c>
      <c r="CG45">
        <f>SUMIFS('База практик'!$DM$5:$DM$311,'База практик'!$E$5:$E$311,Расчеты!CG$1)</f>
        <v>0</v>
      </c>
      <c r="CH45">
        <f>SUMIFS('База практик'!$DM$5:$DM$311,'База практик'!$E$5:$E$311,Расчеты!CH$1)</f>
        <v>0</v>
      </c>
      <c r="CI45">
        <f>SUMIFS('База практик'!$DM$5:$DM$311,'База практик'!$E$5:$E$311,Расчеты!CI$1)</f>
        <v>0</v>
      </c>
      <c r="CJ45">
        <f>SUMIFS('База практик'!$DM$5:$DM$311,'База практик'!$E$5:$E$311,Расчеты!CJ$1)</f>
        <v>0</v>
      </c>
      <c r="CK45">
        <f>SUMIFS('База практик'!$DM$5:$DM$311,'База практик'!$E$5:$E$311,Расчеты!CK$1)</f>
        <v>0</v>
      </c>
      <c r="CL45">
        <f>SUMIFS('База практик'!$DM$5:$DM$311,'База практик'!$E$5:$E$311,Расчеты!CL$1)</f>
        <v>7</v>
      </c>
      <c r="CM45">
        <f>SUMIFS('База практик'!$DM$5:$DM$311,'База практик'!$E$5:$E$311,Расчеты!CM$1)</f>
        <v>1049</v>
      </c>
      <c r="CN45">
        <f>SUMIFS('База практик'!$DM$5:$DM$311,'База практик'!$E$5:$E$311,Расчеты!CN$1)</f>
        <v>751</v>
      </c>
      <c r="CO45">
        <f>SUMIFS('База практик'!$DM$5:$DM$311,'База практик'!$E$5:$E$311,Расчеты!CO$1)</f>
        <v>0</v>
      </c>
      <c r="CP45">
        <f>SUMIFS('База практик'!$DM$5:$DM$311,'База практик'!$E$5:$E$311,Расчеты!CP$1)</f>
        <v>0</v>
      </c>
      <c r="CQ45">
        <f>SUMIFS('База практик'!$DM$5:$DM$311,'База практик'!$E$5:$E$311,Расчеты!CQ$1)</f>
        <v>435</v>
      </c>
      <c r="CR45">
        <f>SUMIFS('База практик'!$DM$5:$DM$311,'База практик'!$E$5:$E$311,Расчеты!CR$1)</f>
        <v>0</v>
      </c>
      <c r="CS45">
        <f>SUMIFS('База практик'!$DM$5:$DM$311,'База практик'!$E$5:$E$311,Расчеты!CS$1)</f>
        <v>0</v>
      </c>
      <c r="CT45">
        <f>SUMIFS('База практик'!$DM$5:$DM$311,'База практик'!$E$5:$E$311,Расчеты!CT$1)</f>
        <v>0</v>
      </c>
      <c r="CU45">
        <f>SUMIFS('База практик'!$DM$5:$DM$311,'База практик'!$E$5:$E$311,Расчеты!CU$1)</f>
        <v>3</v>
      </c>
      <c r="CV45">
        <f>SUMIFS('База практик'!$DM$5:$DM$311,'База практик'!$E$5:$E$311,Расчеты!CV$1)</f>
        <v>130</v>
      </c>
      <c r="CW45">
        <f>SUMIFS('База практик'!$DM$5:$DM$311,'База практик'!$E$5:$E$311,Расчеты!CW$1)</f>
        <v>0</v>
      </c>
    </row>
    <row r="46" spans="1:101" ht="64.5" thickBot="1" x14ac:dyDescent="0.3">
      <c r="A46" s="1659"/>
      <c r="B46" s="148" t="s">
        <v>4829</v>
      </c>
      <c r="C46" s="1643"/>
      <c r="D46" s="147" t="s">
        <v>4831</v>
      </c>
      <c r="E46" s="147">
        <v>39</v>
      </c>
      <c r="F46" s="149" t="s">
        <v>4943</v>
      </c>
      <c r="G46" s="150" t="s">
        <v>4944</v>
      </c>
      <c r="H46" s="209" t="s">
        <v>4932</v>
      </c>
      <c r="I46" s="180" t="s">
        <v>4838</v>
      </c>
      <c r="J46" s="171"/>
      <c r="K46" s="171"/>
      <c r="L46" s="171"/>
      <c r="M46" s="171" t="s">
        <v>4844</v>
      </c>
      <c r="N46" s="171">
        <v>5391123</v>
      </c>
      <c r="O46" s="172">
        <v>4451875</v>
      </c>
      <c r="P46" s="433">
        <f>SUM(P38:P45)</f>
        <v>5695787.4011999993</v>
      </c>
      <c r="Q46" s="433">
        <f>SUM(Q38:Q45)</f>
        <v>14481</v>
      </c>
      <c r="R46" s="433">
        <f t="shared" ref="R46:CC46" si="5">SUM(R38:R45)</f>
        <v>5348</v>
      </c>
      <c r="S46" s="433">
        <f t="shared" si="5"/>
        <v>87119</v>
      </c>
      <c r="T46" s="433">
        <f t="shared" si="5"/>
        <v>15722</v>
      </c>
      <c r="U46" s="433">
        <f t="shared" si="5"/>
        <v>661</v>
      </c>
      <c r="V46" s="433">
        <f t="shared" si="5"/>
        <v>531</v>
      </c>
      <c r="W46" s="433">
        <f t="shared" si="5"/>
        <v>236686</v>
      </c>
      <c r="X46" s="433">
        <f t="shared" si="5"/>
        <v>0</v>
      </c>
      <c r="Y46" s="433">
        <f t="shared" si="5"/>
        <v>26520</v>
      </c>
      <c r="Z46" s="433">
        <f t="shared" si="5"/>
        <v>1324</v>
      </c>
      <c r="AA46" s="433">
        <f t="shared" si="5"/>
        <v>149939</v>
      </c>
      <c r="AB46" s="433">
        <f t="shared" si="5"/>
        <v>5540</v>
      </c>
      <c r="AC46" s="433">
        <f t="shared" si="5"/>
        <v>99329</v>
      </c>
      <c r="AD46" s="433">
        <f t="shared" si="5"/>
        <v>577420</v>
      </c>
      <c r="AE46" s="433">
        <f t="shared" si="5"/>
        <v>65683</v>
      </c>
      <c r="AF46" s="433">
        <f t="shared" si="5"/>
        <v>0</v>
      </c>
      <c r="AG46" s="433">
        <f t="shared" si="5"/>
        <v>4268.3450000000003</v>
      </c>
      <c r="AH46" s="433">
        <f t="shared" si="5"/>
        <v>0</v>
      </c>
      <c r="AI46" s="433">
        <f t="shared" si="5"/>
        <v>151</v>
      </c>
      <c r="AJ46" s="433">
        <f t="shared" si="5"/>
        <v>0</v>
      </c>
      <c r="AK46" s="433">
        <f t="shared" si="5"/>
        <v>200</v>
      </c>
      <c r="AL46" s="433">
        <f t="shared" si="5"/>
        <v>13904</v>
      </c>
      <c r="AM46" s="433">
        <f t="shared" si="5"/>
        <v>26799</v>
      </c>
      <c r="AN46" s="433">
        <f t="shared" si="5"/>
        <v>23823</v>
      </c>
      <c r="AO46" s="433">
        <f t="shared" si="5"/>
        <v>0</v>
      </c>
      <c r="AP46" s="433">
        <f t="shared" si="5"/>
        <v>0</v>
      </c>
      <c r="AQ46" s="433">
        <f t="shared" si="5"/>
        <v>13690</v>
      </c>
      <c r="AR46" s="433">
        <f t="shared" si="5"/>
        <v>509238</v>
      </c>
      <c r="AS46" s="433">
        <f t="shared" si="5"/>
        <v>162150</v>
      </c>
      <c r="AT46" s="433">
        <f t="shared" si="5"/>
        <v>43534</v>
      </c>
      <c r="AU46" s="433">
        <f t="shared" si="5"/>
        <v>88337</v>
      </c>
      <c r="AV46" s="433">
        <f t="shared" si="5"/>
        <v>369373</v>
      </c>
      <c r="AW46" s="433">
        <f t="shared" si="5"/>
        <v>66229</v>
      </c>
      <c r="AX46" s="433">
        <f t="shared" si="5"/>
        <v>2150</v>
      </c>
      <c r="AY46" s="433">
        <f t="shared" si="5"/>
        <v>11200</v>
      </c>
      <c r="AZ46" s="433">
        <f t="shared" si="5"/>
        <v>750</v>
      </c>
      <c r="BA46" s="433">
        <f t="shared" si="5"/>
        <v>27407</v>
      </c>
      <c r="BB46" s="433">
        <f t="shared" si="5"/>
        <v>12207</v>
      </c>
      <c r="BC46" s="433">
        <f t="shared" si="5"/>
        <v>0</v>
      </c>
      <c r="BD46" s="433">
        <f t="shared" si="5"/>
        <v>17723</v>
      </c>
      <c r="BE46" s="433">
        <f t="shared" si="5"/>
        <v>0</v>
      </c>
      <c r="BF46" s="433">
        <f t="shared" si="5"/>
        <v>0</v>
      </c>
      <c r="BG46" s="433">
        <f t="shared" si="5"/>
        <v>648</v>
      </c>
      <c r="BH46" s="433">
        <f t="shared" si="5"/>
        <v>0</v>
      </c>
      <c r="BI46" s="433">
        <f t="shared" si="5"/>
        <v>493</v>
      </c>
      <c r="BJ46" s="433">
        <f t="shared" si="5"/>
        <v>140044</v>
      </c>
      <c r="BK46" s="433">
        <f t="shared" si="5"/>
        <v>144475.2562</v>
      </c>
      <c r="BL46" s="433">
        <f t="shared" si="5"/>
        <v>30300</v>
      </c>
      <c r="BM46" s="433">
        <f t="shared" si="5"/>
        <v>16335</v>
      </c>
      <c r="BN46" s="433">
        <f t="shared" si="5"/>
        <v>54891</v>
      </c>
      <c r="BO46" s="433">
        <f t="shared" si="5"/>
        <v>71779</v>
      </c>
      <c r="BP46" s="433">
        <f t="shared" si="5"/>
        <v>67</v>
      </c>
      <c r="BQ46" s="433">
        <f t="shared" si="5"/>
        <v>0</v>
      </c>
      <c r="BR46" s="433">
        <f t="shared" si="5"/>
        <v>0</v>
      </c>
      <c r="BS46" s="433">
        <f t="shared" si="5"/>
        <v>63</v>
      </c>
      <c r="BT46" s="433">
        <f t="shared" si="5"/>
        <v>1179</v>
      </c>
      <c r="BU46" s="433">
        <f t="shared" si="5"/>
        <v>1444</v>
      </c>
      <c r="BV46" s="433">
        <f t="shared" si="5"/>
        <v>43031</v>
      </c>
      <c r="BW46" s="433">
        <f t="shared" si="5"/>
        <v>4650</v>
      </c>
      <c r="BX46" s="433">
        <f t="shared" si="5"/>
        <v>34650</v>
      </c>
      <c r="BY46" s="433">
        <f t="shared" si="5"/>
        <v>86487</v>
      </c>
      <c r="BZ46" s="433">
        <f t="shared" si="5"/>
        <v>20241</v>
      </c>
      <c r="CA46" s="433">
        <f t="shared" si="5"/>
        <v>987380</v>
      </c>
      <c r="CB46" s="433">
        <f t="shared" si="5"/>
        <v>107</v>
      </c>
      <c r="CC46" s="433">
        <f t="shared" si="5"/>
        <v>0</v>
      </c>
      <c r="CD46" s="433">
        <f t="shared" ref="CD46:CW46" si="6">SUM(CD38:CD45)</f>
        <v>1250</v>
      </c>
      <c r="CE46" s="433">
        <f t="shared" si="6"/>
        <v>3834</v>
      </c>
      <c r="CF46" s="433">
        <f t="shared" si="6"/>
        <v>186688</v>
      </c>
      <c r="CG46" s="433">
        <f t="shared" si="6"/>
        <v>151</v>
      </c>
      <c r="CH46" s="433">
        <f t="shared" si="6"/>
        <v>17055</v>
      </c>
      <c r="CI46" s="433">
        <f t="shared" si="6"/>
        <v>15836</v>
      </c>
      <c r="CJ46" s="433">
        <f t="shared" si="6"/>
        <v>198739</v>
      </c>
      <c r="CK46" s="433">
        <f t="shared" si="6"/>
        <v>0</v>
      </c>
      <c r="CL46" s="433">
        <f t="shared" si="6"/>
        <v>1631</v>
      </c>
      <c r="CM46" s="433">
        <f t="shared" si="6"/>
        <v>48161</v>
      </c>
      <c r="CN46" s="433">
        <f t="shared" si="6"/>
        <v>387929</v>
      </c>
      <c r="CO46" s="433">
        <f t="shared" si="6"/>
        <v>205798</v>
      </c>
      <c r="CP46" s="433">
        <f t="shared" si="6"/>
        <v>0</v>
      </c>
      <c r="CQ46" s="433">
        <f t="shared" si="6"/>
        <v>23967.8</v>
      </c>
      <c r="CR46" s="433">
        <f t="shared" si="6"/>
        <v>52</v>
      </c>
      <c r="CS46" s="433">
        <f t="shared" si="6"/>
        <v>0</v>
      </c>
      <c r="CT46" s="433">
        <f t="shared" si="6"/>
        <v>244177</v>
      </c>
      <c r="CU46" s="433">
        <f t="shared" si="6"/>
        <v>3992</v>
      </c>
      <c r="CV46" s="433">
        <f t="shared" si="6"/>
        <v>18070</v>
      </c>
      <c r="CW46" s="433">
        <f t="shared" si="6"/>
        <v>20756</v>
      </c>
    </row>
    <row r="47" spans="1:101" ht="38.25" x14ac:dyDescent="0.25">
      <c r="A47" s="1651" t="s">
        <v>4945</v>
      </c>
      <c r="B47" s="1634" t="s">
        <v>4881</v>
      </c>
      <c r="C47" s="1636" t="s">
        <v>4946</v>
      </c>
      <c r="D47" s="112" t="s">
        <v>4831</v>
      </c>
      <c r="E47" s="112">
        <v>18</v>
      </c>
      <c r="F47" s="113" t="s">
        <v>4947</v>
      </c>
      <c r="G47" s="123" t="s">
        <v>4948</v>
      </c>
      <c r="H47" s="181" t="s">
        <v>55</v>
      </c>
      <c r="I47" s="196" t="s">
        <v>4896</v>
      </c>
      <c r="J47" s="171"/>
      <c r="K47" s="171"/>
      <c r="L47" s="171"/>
      <c r="M47" s="171">
        <v>15</v>
      </c>
      <c r="N47" s="171">
        <v>15</v>
      </c>
      <c r="O47" s="172">
        <v>16</v>
      </c>
    </row>
    <row r="48" spans="1:101" ht="51" x14ac:dyDescent="0.25">
      <c r="A48" s="1644"/>
      <c r="B48" s="1660"/>
      <c r="C48" s="1661"/>
      <c r="D48" s="115" t="s">
        <v>4831</v>
      </c>
      <c r="E48" s="115">
        <v>19</v>
      </c>
      <c r="F48" s="116" t="s">
        <v>4949</v>
      </c>
      <c r="G48" s="124" t="s">
        <v>4950</v>
      </c>
      <c r="H48" s="183" t="s">
        <v>55</v>
      </c>
      <c r="I48" s="184" t="s">
        <v>4896</v>
      </c>
      <c r="J48" s="171"/>
      <c r="K48" s="171"/>
      <c r="L48" s="171"/>
      <c r="M48" s="171">
        <v>37</v>
      </c>
      <c r="N48" s="171">
        <v>41</v>
      </c>
      <c r="O48" s="172">
        <v>38</v>
      </c>
    </row>
    <row r="49" spans="1:101" ht="25.5" x14ac:dyDescent="0.25">
      <c r="A49" s="1644"/>
      <c r="B49" s="1660"/>
      <c r="C49" s="1661"/>
      <c r="D49" s="115" t="s">
        <v>4831</v>
      </c>
      <c r="E49" s="115">
        <v>20</v>
      </c>
      <c r="F49" s="116" t="s">
        <v>4951</v>
      </c>
      <c r="G49" s="124" t="s">
        <v>4952</v>
      </c>
      <c r="H49" s="183" t="s">
        <v>55</v>
      </c>
      <c r="I49" s="184" t="s">
        <v>4896</v>
      </c>
      <c r="J49" s="171"/>
      <c r="K49" s="171"/>
      <c r="L49" s="171"/>
      <c r="M49" s="171">
        <v>2</v>
      </c>
      <c r="N49" s="171">
        <v>3</v>
      </c>
      <c r="O49" s="172">
        <v>4</v>
      </c>
    </row>
    <row r="50" spans="1:101" ht="38.25" x14ac:dyDescent="0.25">
      <c r="A50" s="1644"/>
      <c r="B50" s="1660"/>
      <c r="C50" s="1661"/>
      <c r="D50" s="115" t="s">
        <v>4831</v>
      </c>
      <c r="E50" s="115">
        <v>21</v>
      </c>
      <c r="F50" s="116" t="s">
        <v>4953</v>
      </c>
      <c r="G50" s="124" t="s">
        <v>4954</v>
      </c>
      <c r="H50" s="183" t="s">
        <v>55</v>
      </c>
      <c r="I50" s="184" t="s">
        <v>4896</v>
      </c>
      <c r="J50" s="171"/>
      <c r="K50" s="171"/>
      <c r="L50" s="171"/>
      <c r="M50" s="171">
        <v>9</v>
      </c>
      <c r="N50" s="171">
        <v>9</v>
      </c>
      <c r="O50" s="172">
        <v>15</v>
      </c>
    </row>
    <row r="51" spans="1:101" ht="38.25" x14ac:dyDescent="0.25">
      <c r="A51" s="1644"/>
      <c r="B51" s="1660"/>
      <c r="C51" s="1661"/>
      <c r="D51" s="115" t="s">
        <v>4831</v>
      </c>
      <c r="E51" s="115">
        <v>25</v>
      </c>
      <c r="F51" s="118" t="s">
        <v>4955</v>
      </c>
      <c r="G51" s="124" t="s">
        <v>4956</v>
      </c>
      <c r="H51" s="183" t="s">
        <v>55</v>
      </c>
      <c r="I51" s="184" t="s">
        <v>4896</v>
      </c>
      <c r="J51" s="171"/>
      <c r="K51" s="171"/>
      <c r="L51" s="171"/>
      <c r="M51" s="171" t="s">
        <v>4844</v>
      </c>
      <c r="N51" s="171">
        <v>46</v>
      </c>
      <c r="O51" s="172">
        <v>46</v>
      </c>
    </row>
    <row r="52" spans="1:101" ht="76.5" x14ac:dyDescent="0.25">
      <c r="A52" s="1644"/>
      <c r="B52" s="1660"/>
      <c r="C52" s="1661"/>
      <c r="D52" s="115" t="s">
        <v>4831</v>
      </c>
      <c r="E52" s="115">
        <v>22</v>
      </c>
      <c r="F52" s="116" t="s">
        <v>4957</v>
      </c>
      <c r="G52" s="124" t="s">
        <v>4958</v>
      </c>
      <c r="H52" s="183" t="s">
        <v>55</v>
      </c>
      <c r="I52" s="184" t="s">
        <v>4896</v>
      </c>
      <c r="J52" s="171"/>
      <c r="K52" s="171"/>
      <c r="L52" s="171"/>
      <c r="M52" s="171">
        <v>41</v>
      </c>
      <c r="N52" s="171">
        <v>18</v>
      </c>
      <c r="O52" s="172">
        <v>16</v>
      </c>
    </row>
    <row r="53" spans="1:101" ht="25.5" x14ac:dyDescent="0.25">
      <c r="A53" s="1644"/>
      <c r="B53" s="1660"/>
      <c r="C53" s="1661"/>
      <c r="D53" s="115" t="s">
        <v>4831</v>
      </c>
      <c r="E53" s="115">
        <v>23</v>
      </c>
      <c r="F53" s="116" t="s">
        <v>4959</v>
      </c>
      <c r="G53" s="124" t="s">
        <v>4960</v>
      </c>
      <c r="H53" s="183" t="s">
        <v>55</v>
      </c>
      <c r="I53" s="184" t="s">
        <v>4896</v>
      </c>
      <c r="J53" s="171"/>
      <c r="K53" s="171"/>
      <c r="L53" s="171"/>
      <c r="M53" s="171">
        <v>11</v>
      </c>
      <c r="N53" s="171">
        <v>20</v>
      </c>
      <c r="O53" s="172">
        <v>20</v>
      </c>
    </row>
    <row r="54" spans="1:101" ht="39" thickBot="1" x14ac:dyDescent="0.3">
      <c r="A54" s="1645"/>
      <c r="B54" s="134" t="s">
        <v>4829</v>
      </c>
      <c r="C54" s="1662"/>
      <c r="D54" s="119" t="s">
        <v>4831</v>
      </c>
      <c r="E54" s="119">
        <v>24</v>
      </c>
      <c r="F54" s="125" t="s">
        <v>4961</v>
      </c>
      <c r="G54" s="210" t="s">
        <v>4962</v>
      </c>
      <c r="H54" s="193" t="s">
        <v>4928</v>
      </c>
      <c r="I54" s="194" t="s">
        <v>4838</v>
      </c>
      <c r="J54" s="171"/>
      <c r="K54" s="171"/>
      <c r="L54" s="171"/>
      <c r="M54" s="171">
        <v>2.0175438596491229</v>
      </c>
      <c r="N54" s="171">
        <v>1.7882352941176471</v>
      </c>
      <c r="O54" s="172">
        <v>1.8235294117647058</v>
      </c>
    </row>
    <row r="55" spans="1:101" ht="63.75" x14ac:dyDescent="0.25">
      <c r="A55" s="1663" t="s">
        <v>4963</v>
      </c>
      <c r="B55" s="151"/>
      <c r="C55" s="1641" t="s">
        <v>4946</v>
      </c>
      <c r="D55" s="115" t="s">
        <v>4831</v>
      </c>
      <c r="E55" s="115">
        <v>25</v>
      </c>
      <c r="F55" s="118" t="s">
        <v>4964</v>
      </c>
      <c r="G55" s="124" t="s">
        <v>4965</v>
      </c>
      <c r="H55" s="183" t="s">
        <v>4932</v>
      </c>
      <c r="I55" s="184" t="s">
        <v>4847</v>
      </c>
      <c r="J55" s="171"/>
      <c r="K55" s="171"/>
      <c r="L55" s="171"/>
      <c r="M55" s="171" t="s">
        <v>4844</v>
      </c>
      <c r="N55" s="171">
        <v>726171</v>
      </c>
      <c r="O55" s="172">
        <v>835746</v>
      </c>
      <c r="P55" s="433">
        <f>SUM(Q55:CW55)</f>
        <v>1550403</v>
      </c>
      <c r="Q55">
        <f>SUMIFS('База практик'!$DP$5:$DP$311,'База практик'!$E$5:$E$311,Расчеты!Q$1)</f>
        <v>0</v>
      </c>
      <c r="R55">
        <f>SUMIFS('База практик'!$DP$5:$DP$311,'База практик'!$E$5:$E$311,Расчеты!R$1)</f>
        <v>0</v>
      </c>
      <c r="S55">
        <f>SUMIFS('База практик'!$DP$5:$DP$311,'База практик'!$E$5:$E$311,Расчеты!S$1)</f>
        <v>0</v>
      </c>
      <c r="T55">
        <f>SUMIFS('База практик'!$DP$5:$DP$311,'База практик'!$E$5:$E$311,Расчеты!T$1)</f>
        <v>0</v>
      </c>
      <c r="U55">
        <f>SUMIFS('База практик'!$DP$5:$DP$311,'База практик'!$E$5:$E$311,Расчеты!U$1)</f>
        <v>35531</v>
      </c>
      <c r="V55">
        <f>SUMIFS('База практик'!$DP$5:$DP$311,'База практик'!$E$5:$E$311,Расчеты!V$1)</f>
        <v>0</v>
      </c>
      <c r="W55">
        <f>SUMIFS('База практик'!$DP$5:$DP$311,'База практик'!$E$5:$E$311,Расчеты!W$1)</f>
        <v>16291</v>
      </c>
      <c r="X55">
        <f>SUMIFS('База практик'!$DP$5:$DP$311,'База практик'!$E$5:$E$311,Расчеты!X$1)</f>
        <v>0</v>
      </c>
      <c r="Y55">
        <f>SUMIFS('База практик'!$DP$5:$DP$311,'База практик'!$E$5:$E$311,Расчеты!Y$1)</f>
        <v>0</v>
      </c>
      <c r="Z55">
        <f>SUMIFS('База практик'!$DP$5:$DP$311,'База практик'!$E$5:$E$311,Расчеты!Z$1)</f>
        <v>0</v>
      </c>
      <c r="AA55">
        <f>SUMIFS('База практик'!$DP$5:$DP$311,'База практик'!$E$5:$E$311,Расчеты!AA$1)</f>
        <v>20440</v>
      </c>
      <c r="AB55">
        <f>SUMIFS('База практик'!$DP$5:$DP$311,'База практик'!$E$5:$E$311,Расчеты!AB$1)</f>
        <v>207308</v>
      </c>
      <c r="AC55">
        <f>SUMIFS('База практик'!$DP$5:$DP$311,'База практик'!$E$5:$E$311,Расчеты!AC$1)</f>
        <v>0</v>
      </c>
      <c r="AD55">
        <f>SUMIFS('База практик'!$DP$5:$DP$311,'База практик'!$E$5:$E$311,Расчеты!AD$1)</f>
        <v>0</v>
      </c>
      <c r="AE55">
        <f>SUMIFS('База практик'!$DP$5:$DP$311,'База практик'!$E$5:$E$311,Расчеты!AE$1)</f>
        <v>0</v>
      </c>
      <c r="AF55">
        <f>SUMIFS('База практик'!$DP$5:$DP$311,'База практик'!$E$5:$E$311,Расчеты!AF$1)</f>
        <v>0</v>
      </c>
      <c r="AG55">
        <f>SUMIFS('База практик'!$DP$5:$DP$311,'База практик'!$E$5:$E$311,Расчеты!AG$1)</f>
        <v>0</v>
      </c>
      <c r="AH55">
        <f>SUMIFS('База практик'!$DP$5:$DP$311,'База практик'!$E$5:$E$311,Расчеты!AH$1)</f>
        <v>0</v>
      </c>
      <c r="AI55">
        <f>SUMIFS('База практик'!$DP$5:$DP$311,'База практик'!$E$5:$E$311,Расчеты!AI$1)</f>
        <v>0</v>
      </c>
      <c r="AJ55">
        <f>SUMIFS('База практик'!$DP$5:$DP$311,'База практик'!$E$5:$E$311,Расчеты!AJ$1)</f>
        <v>0</v>
      </c>
      <c r="AK55">
        <f>SUMIFS('База практик'!$DP$5:$DP$311,'База практик'!$E$5:$E$311,Расчеты!AK$1)</f>
        <v>0</v>
      </c>
      <c r="AL55">
        <f>SUMIFS('База практик'!$DP$5:$DP$311,'База практик'!$E$5:$E$311,Расчеты!AL$1)</f>
        <v>1463</v>
      </c>
      <c r="AM55">
        <f>SUMIFS('База практик'!$DP$5:$DP$311,'База практик'!$E$5:$E$311,Расчеты!AM$1)</f>
        <v>0</v>
      </c>
      <c r="AN55">
        <f>SUMIFS('База практик'!$DP$5:$DP$311,'База практик'!$E$5:$E$311,Расчеты!AN$1)</f>
        <v>0</v>
      </c>
      <c r="AO55">
        <f>SUMIFS('База практик'!$DP$5:$DP$311,'База практик'!$E$5:$E$311,Расчеты!AO$1)</f>
        <v>0</v>
      </c>
      <c r="AP55">
        <f>SUMIFS('База практик'!$DP$5:$DP$311,'База практик'!$E$5:$E$311,Расчеты!AP$1)</f>
        <v>0</v>
      </c>
      <c r="AQ55">
        <f>SUMIFS('База практик'!$DP$5:$DP$311,'База практик'!$E$5:$E$311,Расчеты!AQ$1)</f>
        <v>0</v>
      </c>
      <c r="AR55">
        <f>SUMIFS('База практик'!$DP$5:$DP$311,'База практик'!$E$5:$E$311,Расчеты!AR$1)</f>
        <v>0</v>
      </c>
      <c r="AS55">
        <f>SUMIFS('База практик'!$DP$5:$DP$311,'База практик'!$E$5:$E$311,Расчеты!AS$1)</f>
        <v>0</v>
      </c>
      <c r="AT55">
        <f>SUMIFS('База практик'!$DP$5:$DP$311,'База практик'!$E$5:$E$311,Расчеты!AT$1)</f>
        <v>0</v>
      </c>
      <c r="AU55">
        <f>SUMIFS('База практик'!$DP$5:$DP$311,'База практик'!$E$5:$E$311,Расчеты!AU$1)</f>
        <v>450</v>
      </c>
      <c r="AV55">
        <f>SUMIFS('База практик'!$DP$5:$DP$311,'База практик'!$E$5:$E$311,Расчеты!AV$1)</f>
        <v>0</v>
      </c>
      <c r="AW55">
        <f>SUMIFS('База практик'!$DP$5:$DP$311,'База практик'!$E$5:$E$311,Расчеты!AW$1)</f>
        <v>0</v>
      </c>
      <c r="AX55">
        <f>SUMIFS('База практик'!$DP$5:$DP$311,'База практик'!$E$5:$E$311,Расчеты!AX$1)</f>
        <v>57000</v>
      </c>
      <c r="AY55">
        <f>SUMIFS('База практик'!$DP$5:$DP$311,'База практик'!$E$5:$E$311,Расчеты!AY$1)</f>
        <v>0</v>
      </c>
      <c r="AZ55">
        <f>SUMIFS('База практик'!$DP$5:$DP$311,'База практик'!$E$5:$E$311,Расчеты!AZ$1)</f>
        <v>0</v>
      </c>
      <c r="BA55">
        <f>SUMIFS('База практик'!$DP$5:$DP$311,'База практик'!$E$5:$E$311,Расчеты!BA$1)</f>
        <v>0</v>
      </c>
      <c r="BB55">
        <f>SUMIFS('База практик'!$DP$5:$DP$311,'База практик'!$E$5:$E$311,Расчеты!BB$1)</f>
        <v>0</v>
      </c>
      <c r="BC55">
        <f>SUMIFS('База практик'!$DP$5:$DP$311,'База практик'!$E$5:$E$311,Расчеты!BC$1)</f>
        <v>0</v>
      </c>
      <c r="BD55">
        <f>SUMIFS('База практик'!$DP$5:$DP$311,'База практик'!$E$5:$E$311,Расчеты!BD$1)</f>
        <v>0</v>
      </c>
      <c r="BE55">
        <f>SUMIFS('База практик'!$DP$5:$DP$311,'База практик'!$E$5:$E$311,Расчеты!BE$1)</f>
        <v>0</v>
      </c>
      <c r="BF55">
        <f>SUMIFS('База практик'!$DP$5:$DP$311,'База практик'!$E$5:$E$311,Расчеты!BF$1)</f>
        <v>0</v>
      </c>
      <c r="BG55">
        <f>SUMIFS('База практик'!$DP$5:$DP$311,'База практик'!$E$5:$E$311,Расчеты!BG$1)</f>
        <v>216114</v>
      </c>
      <c r="BH55">
        <f>SUMIFS('База практик'!$DP$5:$DP$311,'База практик'!$E$5:$E$311,Расчеты!BH$1)</f>
        <v>0</v>
      </c>
      <c r="BI55">
        <f>SUMIFS('База практик'!$DP$5:$DP$311,'База практик'!$E$5:$E$311,Расчеты!BI$1)</f>
        <v>0</v>
      </c>
      <c r="BJ55">
        <f>SUMIFS('База практик'!$DP$5:$DP$311,'База практик'!$E$5:$E$311,Расчеты!BJ$1)</f>
        <v>160951</v>
      </c>
      <c r="BK55">
        <f>SUMIFS('База практик'!$DP$5:$DP$311,'База практик'!$E$5:$E$311,Расчеты!BK$1)</f>
        <v>0</v>
      </c>
      <c r="BL55">
        <f>SUMIFS('База практик'!$DP$5:$DP$311,'База практик'!$E$5:$E$311,Расчеты!BL$1)</f>
        <v>0</v>
      </c>
      <c r="BM55">
        <f>SUMIFS('База практик'!$DP$5:$DP$311,'База практик'!$E$5:$E$311,Расчеты!BM$1)</f>
        <v>6973</v>
      </c>
      <c r="BN55">
        <f>SUMIFS('База практик'!$DP$5:$DP$311,'База практик'!$E$5:$E$311,Расчеты!BN$1)</f>
        <v>19118</v>
      </c>
      <c r="BO55">
        <f>SUMIFS('База практик'!$DP$5:$DP$311,'База практик'!$E$5:$E$311,Расчеты!BO$1)</f>
        <v>0</v>
      </c>
      <c r="BP55">
        <f>SUMIFS('База практик'!$DP$5:$DP$311,'База практик'!$E$5:$E$311,Расчеты!BP$1)</f>
        <v>0</v>
      </c>
      <c r="BQ55">
        <f>SUMIFS('База практик'!$DP$5:$DP$311,'База практик'!$E$5:$E$311,Расчеты!BQ$1)</f>
        <v>0</v>
      </c>
      <c r="BR55">
        <f>SUMIFS('База практик'!$DP$5:$DP$311,'База практик'!$E$5:$E$311,Расчеты!BR$1)</f>
        <v>0</v>
      </c>
      <c r="BS55">
        <f>SUMIFS('База практик'!$DP$5:$DP$311,'База практик'!$E$5:$E$311,Расчеты!BS$1)</f>
        <v>0</v>
      </c>
      <c r="BT55">
        <f>SUMIFS('База практик'!$DP$5:$DP$311,'База практик'!$E$5:$E$311,Расчеты!BT$1)</f>
        <v>0</v>
      </c>
      <c r="BU55">
        <f>SUMIFS('База практик'!$DP$5:$DP$311,'База практик'!$E$5:$E$311,Расчеты!BU$1)</f>
        <v>0</v>
      </c>
      <c r="BV55">
        <f>SUMIFS('База практик'!$DP$5:$DP$311,'База практик'!$E$5:$E$311,Расчеты!BV$1)</f>
        <v>4976</v>
      </c>
      <c r="BW55">
        <f>SUMIFS('База практик'!$DP$5:$DP$311,'База практик'!$E$5:$E$311,Расчеты!BW$1)</f>
        <v>0</v>
      </c>
      <c r="BX55">
        <f>SUMIFS('База практик'!$DP$5:$DP$311,'База практик'!$E$5:$E$311,Расчеты!BX$1)</f>
        <v>0</v>
      </c>
      <c r="BY55">
        <f>SUMIFS('База практик'!$DP$5:$DP$311,'База практик'!$E$5:$E$311,Расчеты!BY$1)</f>
        <v>0</v>
      </c>
      <c r="BZ55">
        <f>SUMIFS('База практик'!$DP$5:$DP$311,'База практик'!$E$5:$E$311,Расчеты!BZ$1)</f>
        <v>20117</v>
      </c>
      <c r="CA55">
        <f>SUMIFS('База практик'!$DP$5:$DP$311,'База практик'!$E$5:$E$311,Расчеты!CA$1)</f>
        <v>6600</v>
      </c>
      <c r="CB55">
        <f>SUMIFS('База практик'!$DP$5:$DP$311,'База практик'!$E$5:$E$311,Расчеты!CB$1)</f>
        <v>0</v>
      </c>
      <c r="CC55">
        <f>SUMIFS('База практик'!$DP$5:$DP$311,'База практик'!$E$5:$E$311,Расчеты!CC$1)</f>
        <v>0</v>
      </c>
      <c r="CD55">
        <f>SUMIFS('База практик'!$DP$5:$DP$311,'База практик'!$E$5:$E$311,Расчеты!CD$1)</f>
        <v>0</v>
      </c>
      <c r="CE55">
        <f>SUMIFS('База практик'!$DP$5:$DP$311,'База практик'!$E$5:$E$311,Расчеты!CE$1)</f>
        <v>5555</v>
      </c>
      <c r="CF55">
        <f>SUMIFS('База практик'!$DP$5:$DP$311,'База практик'!$E$5:$E$311,Расчеты!CF$1)</f>
        <v>106</v>
      </c>
      <c r="CG55">
        <f>SUMIFS('База практик'!$DP$5:$DP$311,'База практик'!$E$5:$E$311,Расчеты!CG$1)</f>
        <v>0</v>
      </c>
      <c r="CH55">
        <f>SUMIFS('База практик'!$DP$5:$DP$311,'База практик'!$E$5:$E$311,Расчеты!CH$1)</f>
        <v>0</v>
      </c>
      <c r="CI55">
        <f>SUMIFS('База практик'!$DP$5:$DP$311,'База практик'!$E$5:$E$311,Расчеты!CI$1)</f>
        <v>0</v>
      </c>
      <c r="CJ55">
        <f>SUMIFS('База практик'!$DP$5:$DP$311,'База практик'!$E$5:$E$311,Расчеты!CJ$1)</f>
        <v>518000</v>
      </c>
      <c r="CK55">
        <f>SUMIFS('База практик'!$DP$5:$DP$311,'База практик'!$E$5:$E$311,Расчеты!CK$1)</f>
        <v>0</v>
      </c>
      <c r="CL55">
        <f>SUMIFS('База практик'!$DP$5:$DP$311,'База практик'!$E$5:$E$311,Расчеты!CL$1)</f>
        <v>8430</v>
      </c>
      <c r="CM55">
        <f>SUMIFS('База практик'!$DP$5:$DP$311,'База практик'!$E$5:$E$311,Расчеты!CM$1)</f>
        <v>0</v>
      </c>
      <c r="CN55">
        <f>SUMIFS('База практик'!$DP$5:$DP$311,'База практик'!$E$5:$E$311,Расчеты!CN$1)</f>
        <v>85584</v>
      </c>
      <c r="CO55">
        <f>SUMIFS('База практик'!$DP$5:$DP$311,'База практик'!$E$5:$E$311,Расчеты!CO$1)</f>
        <v>1</v>
      </c>
      <c r="CP55">
        <f>SUMIFS('База практик'!$DP$5:$DP$311,'База практик'!$E$5:$E$311,Расчеты!CP$1)</f>
        <v>0</v>
      </c>
      <c r="CQ55">
        <f>SUMIFS('База практик'!$DP$5:$DP$311,'База практик'!$E$5:$E$311,Расчеты!CQ$1)</f>
        <v>77231</v>
      </c>
      <c r="CR55">
        <f>SUMIFS('База практик'!$DP$5:$DP$311,'База практик'!$E$5:$E$311,Расчеты!CR$1)</f>
        <v>68039</v>
      </c>
      <c r="CS55">
        <f>SUMIFS('База практик'!$DP$5:$DP$311,'База практик'!$E$5:$E$311,Расчеты!CS$1)</f>
        <v>0</v>
      </c>
      <c r="CT55">
        <f>SUMIFS('База практик'!$DP$5:$DP$311,'База практик'!$E$5:$E$311,Расчеты!CT$1)</f>
        <v>0</v>
      </c>
      <c r="CU55">
        <f>SUMIFS('База практик'!$DP$5:$DP$311,'База практик'!$E$5:$E$311,Расчеты!CU$1)</f>
        <v>1103</v>
      </c>
      <c r="CV55">
        <f>SUMIFS('База практик'!$DP$5:$DP$311,'База практик'!$E$5:$E$311,Расчеты!CV$1)</f>
        <v>13022</v>
      </c>
      <c r="CW55">
        <f>SUMIFS('База практик'!$DP$5:$DP$311,'База практик'!$E$5:$E$311,Расчеты!CW$1)</f>
        <v>0</v>
      </c>
    </row>
    <row r="56" spans="1:101" ht="76.5" x14ac:dyDescent="0.25">
      <c r="A56" s="1664"/>
      <c r="B56" s="151"/>
      <c r="C56" s="1642"/>
      <c r="D56" s="115" t="s">
        <v>4831</v>
      </c>
      <c r="E56" s="115">
        <v>26</v>
      </c>
      <c r="F56" s="118" t="s">
        <v>4966</v>
      </c>
      <c r="G56" s="124" t="s">
        <v>4967</v>
      </c>
      <c r="H56" s="183" t="s">
        <v>4932</v>
      </c>
      <c r="I56" s="184" t="s">
        <v>4847</v>
      </c>
      <c r="J56" s="171"/>
      <c r="K56" s="171"/>
      <c r="L56" s="171"/>
      <c r="M56" s="171" t="s">
        <v>4844</v>
      </c>
      <c r="N56" s="171">
        <v>1260482</v>
      </c>
      <c r="O56" s="172">
        <v>887656.6</v>
      </c>
      <c r="P56" s="433">
        <f t="shared" ref="P56:P62" si="7">SUM(Q56:CW56)</f>
        <v>1366143</v>
      </c>
      <c r="Q56">
        <f>SUMIFS('База практик'!$DS$5:$DS$311,'База практик'!$E$5:$E$311,Расчеты!Q$1)</f>
        <v>0</v>
      </c>
      <c r="R56">
        <f>SUMIFS('База практик'!$DS$5:$DS$311,'База практик'!$E$5:$E$311,Расчеты!R$1)</f>
        <v>0</v>
      </c>
      <c r="S56">
        <f>SUMIFS('База практик'!$DS$5:$DS$311,'База практик'!$E$5:$E$311,Расчеты!S$1)</f>
        <v>24150</v>
      </c>
      <c r="T56">
        <f>SUMIFS('База практик'!$DS$5:$DS$311,'База практик'!$E$5:$E$311,Расчеты!T$1)</f>
        <v>12845</v>
      </c>
      <c r="U56">
        <f>SUMIFS('База практик'!$DS$5:$DS$311,'База практик'!$E$5:$E$311,Расчеты!U$1)</f>
        <v>0</v>
      </c>
      <c r="V56">
        <f>SUMIFS('База практик'!$DS$5:$DS$311,'База практик'!$E$5:$E$311,Расчеты!V$1)</f>
        <v>257</v>
      </c>
      <c r="W56">
        <f>SUMIFS('База практик'!$DS$5:$DS$311,'База практик'!$E$5:$E$311,Расчеты!W$1)</f>
        <v>100205</v>
      </c>
      <c r="X56">
        <f>SUMIFS('База практик'!$DS$5:$DS$311,'База практик'!$E$5:$E$311,Расчеты!X$1)</f>
        <v>0</v>
      </c>
      <c r="Y56">
        <f>SUMIFS('База практик'!$DS$5:$DS$311,'База практик'!$E$5:$E$311,Расчеты!Y$1)</f>
        <v>25000</v>
      </c>
      <c r="Z56">
        <f>SUMIFS('База практик'!$DS$5:$DS$311,'База практик'!$E$5:$E$311,Расчеты!Z$1)</f>
        <v>0</v>
      </c>
      <c r="AA56">
        <f>SUMIFS('База практик'!$DS$5:$DS$311,'База практик'!$E$5:$E$311,Расчеты!AA$1)</f>
        <v>26845</v>
      </c>
      <c r="AB56">
        <f>SUMIFS('База практик'!$DS$5:$DS$311,'База практик'!$E$5:$E$311,Расчеты!AB$1)</f>
        <v>0</v>
      </c>
      <c r="AC56">
        <f>SUMIFS('База практик'!$DS$5:$DS$311,'База практик'!$E$5:$E$311,Расчеты!AC$1)</f>
        <v>0</v>
      </c>
      <c r="AD56">
        <f>SUMIFS('База практик'!$DS$5:$DS$311,'База практик'!$E$5:$E$311,Расчеты!AD$1)</f>
        <v>92275</v>
      </c>
      <c r="AE56">
        <f>SUMIFS('База практик'!$DS$5:$DS$311,'База практик'!$E$5:$E$311,Расчеты!AE$1)</f>
        <v>117818</v>
      </c>
      <c r="AF56">
        <f>SUMIFS('База практик'!$DS$5:$DS$311,'База практик'!$E$5:$E$311,Расчеты!AF$1)</f>
        <v>0</v>
      </c>
      <c r="AG56">
        <f>SUMIFS('База практик'!$DS$5:$DS$311,'База практик'!$E$5:$E$311,Расчеты!AG$1)</f>
        <v>1284</v>
      </c>
      <c r="AH56">
        <f>SUMIFS('База практик'!$DS$5:$DS$311,'База практик'!$E$5:$E$311,Расчеты!AH$1)</f>
        <v>15717</v>
      </c>
      <c r="AI56">
        <f>SUMIFS('База практик'!$DS$5:$DS$311,'База практик'!$E$5:$E$311,Расчеты!AI$1)</f>
        <v>151</v>
      </c>
      <c r="AJ56">
        <f>SUMIFS('База практик'!$DS$5:$DS$311,'База практик'!$E$5:$E$311,Расчеты!AJ$1)</f>
        <v>0</v>
      </c>
      <c r="AK56">
        <f>SUMIFS('База практик'!$DS$5:$DS$311,'База практик'!$E$5:$E$311,Расчеты!AK$1)</f>
        <v>0</v>
      </c>
      <c r="AL56">
        <f>SUMIFS('База практик'!$DS$5:$DS$311,'База практик'!$E$5:$E$311,Расчеты!AL$1)</f>
        <v>3582</v>
      </c>
      <c r="AM56">
        <f>SUMIFS('База практик'!$DS$5:$DS$311,'База практик'!$E$5:$E$311,Расчеты!AM$1)</f>
        <v>15115</v>
      </c>
      <c r="AN56">
        <f>SUMIFS('База практик'!$DS$5:$DS$311,'База практик'!$E$5:$E$311,Расчеты!AN$1)</f>
        <v>14265</v>
      </c>
      <c r="AO56">
        <f>SUMIFS('База практик'!$DS$5:$DS$311,'База практик'!$E$5:$E$311,Расчеты!AO$1)</f>
        <v>0</v>
      </c>
      <c r="AP56">
        <f>SUMIFS('База практик'!$DS$5:$DS$311,'База практик'!$E$5:$E$311,Расчеты!AP$1)</f>
        <v>0</v>
      </c>
      <c r="AQ56">
        <f>SUMIFS('База практик'!$DS$5:$DS$311,'База практик'!$E$5:$E$311,Расчеты!AQ$1)</f>
        <v>24686</v>
      </c>
      <c r="AR56">
        <f>SUMIFS('База практик'!$DS$5:$DS$311,'База практик'!$E$5:$E$311,Расчеты!AR$1)</f>
        <v>14998</v>
      </c>
      <c r="AS56">
        <f>SUMIFS('База практик'!$DS$5:$DS$311,'База практик'!$E$5:$E$311,Расчеты!AS$1)</f>
        <v>0</v>
      </c>
      <c r="AT56">
        <f>SUMIFS('База практик'!$DS$5:$DS$311,'База практик'!$E$5:$E$311,Расчеты!AT$1)</f>
        <v>19297</v>
      </c>
      <c r="AU56">
        <f>SUMIFS('База практик'!$DS$5:$DS$311,'База практик'!$E$5:$E$311,Расчеты!AU$1)</f>
        <v>76761</v>
      </c>
      <c r="AV56">
        <f>SUMIFS('База практик'!$DS$5:$DS$311,'База практик'!$E$5:$E$311,Расчеты!AV$1)</f>
        <v>7372</v>
      </c>
      <c r="AW56">
        <f>SUMIFS('База практик'!$DS$5:$DS$311,'База практик'!$E$5:$E$311,Расчеты!AW$1)</f>
        <v>15938</v>
      </c>
      <c r="AX56">
        <f>SUMIFS('База практик'!$DS$5:$DS$311,'База практик'!$E$5:$E$311,Расчеты!AX$1)</f>
        <v>7150</v>
      </c>
      <c r="AY56">
        <f>SUMIFS('База практик'!$DS$5:$DS$311,'База практик'!$E$5:$E$311,Расчеты!AY$1)</f>
        <v>0</v>
      </c>
      <c r="AZ56">
        <f>SUMIFS('База практик'!$DS$5:$DS$311,'База практик'!$E$5:$E$311,Расчеты!AZ$1)</f>
        <v>0</v>
      </c>
      <c r="BA56">
        <f>SUMIFS('База практик'!$DS$5:$DS$311,'База практик'!$E$5:$E$311,Расчеты!BA$1)</f>
        <v>13676</v>
      </c>
      <c r="BB56">
        <f>SUMIFS('База практик'!$DS$5:$DS$311,'База практик'!$E$5:$E$311,Расчеты!BB$1)</f>
        <v>0</v>
      </c>
      <c r="BC56">
        <f>SUMIFS('База практик'!$DS$5:$DS$311,'База практик'!$E$5:$E$311,Расчеты!BC$1)</f>
        <v>0</v>
      </c>
      <c r="BD56">
        <f>SUMIFS('База практик'!$DS$5:$DS$311,'База практик'!$E$5:$E$311,Расчеты!BD$1)</f>
        <v>10647</v>
      </c>
      <c r="BE56">
        <f>SUMIFS('База практик'!$DS$5:$DS$311,'База практик'!$E$5:$E$311,Расчеты!BE$1)</f>
        <v>0</v>
      </c>
      <c r="BF56">
        <f>SUMIFS('База практик'!$DS$5:$DS$311,'База практик'!$E$5:$E$311,Расчеты!BF$1)</f>
        <v>0</v>
      </c>
      <c r="BG56">
        <f>SUMIFS('База практик'!$DS$5:$DS$311,'База практик'!$E$5:$E$311,Расчеты!BG$1)</f>
        <v>0</v>
      </c>
      <c r="BH56">
        <f>SUMIFS('База практик'!$DS$5:$DS$311,'База практик'!$E$5:$E$311,Расчеты!BH$1)</f>
        <v>0</v>
      </c>
      <c r="BI56">
        <f>SUMIFS('База практик'!$DS$5:$DS$311,'База практик'!$E$5:$E$311,Расчеты!BI$1)</f>
        <v>493</v>
      </c>
      <c r="BJ56">
        <f>SUMIFS('База практик'!$DS$5:$DS$311,'База практик'!$E$5:$E$311,Расчеты!BJ$1)</f>
        <v>0</v>
      </c>
      <c r="BK56">
        <f>SUMIFS('База практик'!$DS$5:$DS$311,'База практик'!$E$5:$E$311,Расчеты!BK$1)</f>
        <v>34081</v>
      </c>
      <c r="BL56">
        <f>SUMIFS('База практик'!$DS$5:$DS$311,'База практик'!$E$5:$E$311,Расчеты!BL$1)</f>
        <v>23300</v>
      </c>
      <c r="BM56">
        <f>SUMIFS('База практик'!$DS$5:$DS$311,'База практик'!$E$5:$E$311,Расчеты!BM$1)</f>
        <v>9156</v>
      </c>
      <c r="BN56">
        <f>SUMIFS('База практик'!$DS$5:$DS$311,'База практик'!$E$5:$E$311,Расчеты!BN$1)</f>
        <v>1441</v>
      </c>
      <c r="BO56">
        <f>SUMIFS('База практик'!$DS$5:$DS$311,'База практик'!$E$5:$E$311,Расчеты!BO$1)</f>
        <v>2719</v>
      </c>
      <c r="BP56">
        <f>SUMIFS('База практик'!$DS$5:$DS$311,'База практик'!$E$5:$E$311,Расчеты!BP$1)</f>
        <v>0</v>
      </c>
      <c r="BQ56">
        <f>SUMIFS('База практик'!$DS$5:$DS$311,'База практик'!$E$5:$E$311,Расчеты!BQ$1)</f>
        <v>0</v>
      </c>
      <c r="BR56">
        <f>SUMIFS('База практик'!$DS$5:$DS$311,'База практик'!$E$5:$E$311,Расчеты!BR$1)</f>
        <v>0</v>
      </c>
      <c r="BS56">
        <f>SUMIFS('База практик'!$DS$5:$DS$311,'База практик'!$E$5:$E$311,Расчеты!BS$1)</f>
        <v>0</v>
      </c>
      <c r="BT56">
        <f>SUMIFS('База практик'!$DS$5:$DS$311,'База практик'!$E$5:$E$311,Расчеты!BT$1)</f>
        <v>34835</v>
      </c>
      <c r="BU56">
        <f>SUMIFS('База практик'!$DS$5:$DS$311,'База практик'!$E$5:$E$311,Расчеты!BU$1)</f>
        <v>7419</v>
      </c>
      <c r="BV56">
        <f>SUMIFS('База практик'!$DS$5:$DS$311,'База практик'!$E$5:$E$311,Расчеты!BV$1)</f>
        <v>0</v>
      </c>
      <c r="BW56">
        <f>SUMIFS('База практик'!$DS$5:$DS$311,'База практик'!$E$5:$E$311,Расчеты!BW$1)</f>
        <v>120</v>
      </c>
      <c r="BX56">
        <f>SUMIFS('База практик'!$DS$5:$DS$311,'База практик'!$E$5:$E$311,Расчеты!BX$1)</f>
        <v>35267</v>
      </c>
      <c r="BY56">
        <f>SUMIFS('База практик'!$DS$5:$DS$311,'База практик'!$E$5:$E$311,Расчеты!BY$1)</f>
        <v>0</v>
      </c>
      <c r="BZ56">
        <f>SUMIFS('База практик'!$DS$5:$DS$311,'База практик'!$E$5:$E$311,Расчеты!BZ$1)</f>
        <v>5021</v>
      </c>
      <c r="CA56">
        <f>SUMIFS('База практик'!$DS$5:$DS$311,'База практик'!$E$5:$E$311,Расчеты!CA$1)</f>
        <v>1600</v>
      </c>
      <c r="CB56">
        <f>SUMIFS('База практик'!$DS$5:$DS$311,'База практик'!$E$5:$E$311,Расчеты!CB$1)</f>
        <v>0</v>
      </c>
      <c r="CC56">
        <f>SUMIFS('База практик'!$DS$5:$DS$311,'База практик'!$E$5:$E$311,Расчеты!CC$1)</f>
        <v>0</v>
      </c>
      <c r="CD56">
        <f>SUMIFS('База практик'!$DS$5:$DS$311,'База практик'!$E$5:$E$311,Расчеты!CD$1)</f>
        <v>0</v>
      </c>
      <c r="CE56">
        <f>SUMIFS('База практик'!$DS$5:$DS$311,'База практик'!$E$5:$E$311,Расчеты!CE$1)</f>
        <v>193285</v>
      </c>
      <c r="CF56">
        <f>SUMIFS('База практик'!$DS$5:$DS$311,'База практик'!$E$5:$E$311,Расчеты!CF$1)</f>
        <v>9318</v>
      </c>
      <c r="CG56">
        <f>SUMIFS('База практик'!$DS$5:$DS$311,'База практик'!$E$5:$E$311,Расчеты!CG$1)</f>
        <v>151</v>
      </c>
      <c r="CH56">
        <f>SUMIFS('База практик'!$DS$5:$DS$311,'База практик'!$E$5:$E$311,Расчеты!CH$1)</f>
        <v>0</v>
      </c>
      <c r="CI56">
        <f>SUMIFS('База практик'!$DS$5:$DS$311,'База практик'!$E$5:$E$311,Расчеты!CI$1)</f>
        <v>0</v>
      </c>
      <c r="CJ56">
        <f>SUMIFS('База практик'!$DS$5:$DS$311,'База практик'!$E$5:$E$311,Расчеты!CJ$1)</f>
        <v>0</v>
      </c>
      <c r="CK56">
        <f>SUMIFS('База практик'!$DS$5:$DS$311,'База практик'!$E$5:$E$311,Расчеты!CK$1)</f>
        <v>0</v>
      </c>
      <c r="CL56">
        <f>SUMIFS('База практик'!$DS$5:$DS$311,'База практик'!$E$5:$E$311,Расчеты!CL$1)</f>
        <v>1049</v>
      </c>
      <c r="CM56">
        <f>SUMIFS('База практик'!$DS$5:$DS$311,'База практик'!$E$5:$E$311,Расчеты!CM$1)</f>
        <v>13681</v>
      </c>
      <c r="CN56">
        <f>SUMIFS('База практик'!$DS$5:$DS$311,'База практик'!$E$5:$E$311,Расчеты!CN$1)</f>
        <v>77</v>
      </c>
      <c r="CO56">
        <f>SUMIFS('База практик'!$DS$5:$DS$311,'База практик'!$E$5:$E$311,Расчеты!CO$1)</f>
        <v>129290</v>
      </c>
      <c r="CP56">
        <f>SUMIFS('База практик'!$DS$5:$DS$311,'База практик'!$E$5:$E$311,Расчеты!CP$1)</f>
        <v>0</v>
      </c>
      <c r="CQ56">
        <f>SUMIFS('База практик'!$DS$5:$DS$311,'База практик'!$E$5:$E$311,Расчеты!CQ$1)</f>
        <v>1994</v>
      </c>
      <c r="CR56">
        <f>SUMIFS('База практик'!$DS$5:$DS$311,'База практик'!$E$5:$E$311,Расчеты!CR$1)</f>
        <v>25</v>
      </c>
      <c r="CS56">
        <f>SUMIFS('База практик'!$DS$5:$DS$311,'База практик'!$E$5:$E$311,Расчеты!CS$1)</f>
        <v>0</v>
      </c>
      <c r="CT56">
        <f>SUMIFS('База практик'!$DS$5:$DS$311,'База практик'!$E$5:$E$311,Расчеты!CT$1)</f>
        <v>82981</v>
      </c>
      <c r="CU56">
        <f>SUMIFS('База практик'!$DS$5:$DS$311,'База практик'!$E$5:$E$311,Расчеты!CU$1)</f>
        <v>143</v>
      </c>
      <c r="CV56">
        <f>SUMIFS('База практик'!$DS$5:$DS$311,'База практик'!$E$5:$E$311,Расчеты!CV$1)</f>
        <v>113627</v>
      </c>
      <c r="CW56">
        <f>SUMIFS('База практик'!$DS$5:$DS$311,'База практик'!$E$5:$E$311,Расчеты!CW$1)</f>
        <v>25036</v>
      </c>
    </row>
    <row r="57" spans="1:101" ht="75" customHeight="1" x14ac:dyDescent="0.25">
      <c r="A57" s="1664"/>
      <c r="B57" s="383"/>
      <c r="C57" s="1642"/>
      <c r="D57" s="115"/>
      <c r="E57" s="115"/>
      <c r="F57" s="118"/>
      <c r="G57" s="124" t="s">
        <v>241</v>
      </c>
      <c r="H57" s="183" t="s">
        <v>4932</v>
      </c>
      <c r="I57" s="184" t="s">
        <v>4847</v>
      </c>
      <c r="J57" s="171"/>
      <c r="K57" s="171"/>
      <c r="L57" s="171"/>
      <c r="M57" s="171" t="s">
        <v>4844</v>
      </c>
      <c r="N57" s="171" t="s">
        <v>4844</v>
      </c>
      <c r="O57" s="171" t="s">
        <v>4844</v>
      </c>
      <c r="P57" s="433">
        <f t="shared" si="7"/>
        <v>17240.099999999999</v>
      </c>
      <c r="Q57">
        <f>SUMIFS('База практик'!$DV$5:$DV$311,'База практик'!$E$5:$E$311,Расчеты!Q$1)</f>
        <v>0</v>
      </c>
      <c r="R57">
        <f>SUMIFS('База практик'!$DV$5:$DV$311,'База практик'!$E$5:$E$311,Расчеты!R$1)</f>
        <v>0</v>
      </c>
      <c r="S57">
        <f>SUMIFS('База практик'!$DV$5:$DV$311,'База практик'!$E$5:$E$311,Расчеты!S$1)</f>
        <v>0</v>
      </c>
      <c r="T57">
        <f>SUMIFS('База практик'!$DV$5:$DV$311,'База практик'!$E$5:$E$311,Расчеты!T$1)</f>
        <v>0</v>
      </c>
      <c r="U57">
        <f>SUMIFS('База практик'!$DV$5:$DV$311,'База практик'!$E$5:$E$311,Расчеты!U$1)</f>
        <v>0</v>
      </c>
      <c r="V57">
        <f>SUMIFS('База практик'!$DV$5:$DV$311,'База практик'!$E$5:$E$311,Расчеты!V$1)</f>
        <v>0</v>
      </c>
      <c r="W57">
        <f>SUMIFS('База практик'!$DV$5:$DV$311,'База практик'!$E$5:$E$311,Расчеты!W$1)</f>
        <v>0</v>
      </c>
      <c r="X57">
        <f>SUMIFS('База практик'!$DV$5:$DV$311,'База практик'!$E$5:$E$311,Расчеты!X$1)</f>
        <v>0</v>
      </c>
      <c r="Y57">
        <f>SUMIFS('База практик'!$DV$5:$DV$311,'База практик'!$E$5:$E$311,Расчеты!Y$1)</f>
        <v>0</v>
      </c>
      <c r="Z57">
        <f>SUMIFS('База практик'!$DV$5:$DV$311,'База практик'!$E$5:$E$311,Расчеты!Z$1)</f>
        <v>0</v>
      </c>
      <c r="AA57">
        <f>SUMIFS('База практик'!$DV$5:$DV$311,'База практик'!$E$5:$E$311,Расчеты!AA$1)</f>
        <v>0</v>
      </c>
      <c r="AB57">
        <f>SUMIFS('База практик'!$DV$5:$DV$311,'База практик'!$E$5:$E$311,Расчеты!AB$1)</f>
        <v>0</v>
      </c>
      <c r="AC57">
        <f>SUMIFS('База практик'!$DV$5:$DV$311,'База практик'!$E$5:$E$311,Расчеты!AC$1)</f>
        <v>0</v>
      </c>
      <c r="AD57">
        <f>SUMIFS('База практик'!$DV$5:$DV$311,'База практик'!$E$5:$E$311,Расчеты!AD$1)</f>
        <v>0</v>
      </c>
      <c r="AE57">
        <f>SUMIFS('База практик'!$DV$5:$DV$311,'База практик'!$E$5:$E$311,Расчеты!AE$1)</f>
        <v>21</v>
      </c>
      <c r="AF57">
        <f>SUMIFS('База практик'!$DV$5:$DV$311,'База практик'!$E$5:$E$311,Расчеты!AF$1)</f>
        <v>0</v>
      </c>
      <c r="AG57">
        <f>SUMIFS('База практик'!$DV$5:$DV$311,'База практик'!$E$5:$E$311,Расчеты!AG$1)</f>
        <v>1352</v>
      </c>
      <c r="AH57">
        <f>SUMIFS('База практик'!$DV$5:$DV$311,'База практик'!$E$5:$E$311,Расчеты!AH$1)</f>
        <v>0</v>
      </c>
      <c r="AI57">
        <f>SUMIFS('База практик'!$DV$5:$DV$311,'База практик'!$E$5:$E$311,Расчеты!AI$1)</f>
        <v>0</v>
      </c>
      <c r="AJ57">
        <f>SUMIFS('База практик'!$DV$5:$DV$311,'База практик'!$E$5:$E$311,Расчеты!AJ$1)</f>
        <v>0</v>
      </c>
      <c r="AK57">
        <f>SUMIFS('База практик'!$DV$5:$DV$311,'База практик'!$E$5:$E$311,Расчеты!AK$1)</f>
        <v>0</v>
      </c>
      <c r="AL57">
        <f>SUMIFS('База практик'!$DV$5:$DV$311,'База практик'!$E$5:$E$311,Расчеты!AL$1)</f>
        <v>0</v>
      </c>
      <c r="AM57">
        <f>SUMIFS('База практик'!$DV$5:$DV$311,'База практик'!$E$5:$E$311,Расчеты!AM$1)</f>
        <v>0</v>
      </c>
      <c r="AN57">
        <f>SUMIFS('База практик'!$DV$5:$DV$311,'База практик'!$E$5:$E$311,Расчеты!AN$1)</f>
        <v>221</v>
      </c>
      <c r="AO57">
        <f>SUMIFS('База практик'!$DV$5:$DV$311,'База практик'!$E$5:$E$311,Расчеты!AO$1)</f>
        <v>0</v>
      </c>
      <c r="AP57">
        <f>SUMIFS('База практик'!$DV$5:$DV$311,'База практик'!$E$5:$E$311,Расчеты!AP$1)</f>
        <v>0</v>
      </c>
      <c r="AQ57">
        <f>SUMIFS('База практик'!$DV$5:$DV$311,'База практик'!$E$5:$E$311,Расчеты!AQ$1)</f>
        <v>15327</v>
      </c>
      <c r="AR57">
        <f>SUMIFS('База практик'!$DV$5:$DV$311,'База практик'!$E$5:$E$311,Расчеты!AR$1)</f>
        <v>0</v>
      </c>
      <c r="AS57">
        <f>SUMIFS('База практик'!$DV$5:$DV$311,'База практик'!$E$5:$E$311,Расчеты!AS$1)</f>
        <v>0</v>
      </c>
      <c r="AT57">
        <f>SUMIFS('База практик'!$DV$5:$DV$311,'База практик'!$E$5:$E$311,Расчеты!AT$1)</f>
        <v>0</v>
      </c>
      <c r="AU57">
        <f>SUMIFS('База практик'!$DV$5:$DV$311,'База практик'!$E$5:$E$311,Расчеты!AU$1)</f>
        <v>0</v>
      </c>
      <c r="AV57">
        <f>SUMIFS('База практик'!$DV$5:$DV$311,'База практик'!$E$5:$E$311,Расчеты!AV$1)</f>
        <v>0</v>
      </c>
      <c r="AW57">
        <f>SUMIFS('База практик'!$DV$5:$DV$311,'База практик'!$E$5:$E$311,Расчеты!AW$1)</f>
        <v>0</v>
      </c>
      <c r="AX57">
        <f>SUMIFS('База практик'!$DV$5:$DV$311,'База практик'!$E$5:$E$311,Расчеты!AX$1)</f>
        <v>0</v>
      </c>
      <c r="AY57">
        <f>SUMIFS('База практик'!$DV$5:$DV$311,'База практик'!$E$5:$E$311,Расчеты!AY$1)</f>
        <v>0</v>
      </c>
      <c r="AZ57">
        <f>SUMIFS('База практик'!$DV$5:$DV$311,'База практик'!$E$5:$E$311,Расчеты!AZ$1)</f>
        <v>0</v>
      </c>
      <c r="BA57">
        <f>SUMIFS('База практик'!$DV$5:$DV$311,'База практик'!$E$5:$E$311,Расчеты!BA$1)</f>
        <v>0</v>
      </c>
      <c r="BB57">
        <f>SUMIFS('База практик'!$DV$5:$DV$311,'База практик'!$E$5:$E$311,Расчеты!BB$1)</f>
        <v>0</v>
      </c>
      <c r="BC57">
        <f>SUMIFS('База практик'!$DV$5:$DV$311,'База практик'!$E$5:$E$311,Расчеты!BC$1)</f>
        <v>0</v>
      </c>
      <c r="BD57">
        <f>SUMIFS('База практик'!$DV$5:$DV$311,'База практик'!$E$5:$E$311,Расчеты!BD$1)</f>
        <v>0</v>
      </c>
      <c r="BE57">
        <f>SUMIFS('База практик'!$DV$5:$DV$311,'База практик'!$E$5:$E$311,Расчеты!BE$1)</f>
        <v>0</v>
      </c>
      <c r="BF57">
        <f>SUMIFS('База практик'!$DV$5:$DV$311,'База практик'!$E$5:$E$311,Расчеты!BF$1)</f>
        <v>0</v>
      </c>
      <c r="BG57">
        <f>SUMIFS('База практик'!$DV$5:$DV$311,'База практик'!$E$5:$E$311,Расчеты!BG$1)</f>
        <v>0</v>
      </c>
      <c r="BH57">
        <f>SUMIFS('База практик'!$DV$5:$DV$311,'База практик'!$E$5:$E$311,Расчеты!BH$1)</f>
        <v>0</v>
      </c>
      <c r="BI57">
        <f>SUMIFS('База практик'!$DV$5:$DV$311,'База практик'!$E$5:$E$311,Расчеты!BI$1)</f>
        <v>0</v>
      </c>
      <c r="BJ57">
        <f>SUMIFS('База практик'!$DV$5:$DV$311,'База практик'!$E$5:$E$311,Расчеты!BJ$1)</f>
        <v>0</v>
      </c>
      <c r="BK57">
        <f>SUMIFS('База практик'!$DV$5:$DV$311,'База практик'!$E$5:$E$311,Расчеты!BK$1)</f>
        <v>9.1</v>
      </c>
      <c r="BL57">
        <f>SUMIFS('База практик'!$DV$5:$DV$311,'База практик'!$E$5:$E$311,Расчеты!BL$1)</f>
        <v>0</v>
      </c>
      <c r="BM57">
        <f>SUMIFS('База практик'!$DV$5:$DV$311,'База практик'!$E$5:$E$311,Расчеты!BM$1)</f>
        <v>0</v>
      </c>
      <c r="BN57">
        <f>SUMIFS('База практик'!$DV$5:$DV$311,'База практик'!$E$5:$E$311,Расчеты!BN$1)</f>
        <v>0</v>
      </c>
      <c r="BO57">
        <f>SUMIFS('База практик'!$DV$5:$DV$311,'База практик'!$E$5:$E$311,Расчеты!BO$1)</f>
        <v>0</v>
      </c>
      <c r="BP57">
        <f>SUMIFS('База практик'!$DV$5:$DV$311,'База практик'!$E$5:$E$311,Расчеты!BP$1)</f>
        <v>0</v>
      </c>
      <c r="BQ57">
        <f>SUMIFS('База практик'!$DV$5:$DV$311,'База практик'!$E$5:$E$311,Расчеты!BQ$1)</f>
        <v>0</v>
      </c>
      <c r="BR57">
        <f>SUMIFS('База практик'!$DV$5:$DV$311,'База практик'!$E$5:$E$311,Расчеты!BR$1)</f>
        <v>0</v>
      </c>
      <c r="BS57">
        <f>SUMIFS('База практик'!$DV$5:$DV$311,'База практик'!$E$5:$E$311,Расчеты!BS$1)</f>
        <v>148</v>
      </c>
      <c r="BT57">
        <f>SUMIFS('База практик'!$DV$5:$DV$311,'База практик'!$E$5:$E$311,Расчеты!BT$1)</f>
        <v>0</v>
      </c>
      <c r="BU57">
        <f>SUMIFS('База практик'!$DV$5:$DV$311,'База практик'!$E$5:$E$311,Расчеты!BU$1)</f>
        <v>0</v>
      </c>
      <c r="BV57">
        <f>SUMIFS('База практик'!$DV$5:$DV$311,'База практик'!$E$5:$E$311,Расчеты!BV$1)</f>
        <v>12</v>
      </c>
      <c r="BW57">
        <f>SUMIFS('База практик'!$DV$5:$DV$311,'База практик'!$E$5:$E$311,Расчеты!BW$1)</f>
        <v>0</v>
      </c>
      <c r="BX57">
        <f>SUMIFS('База практик'!$DV$5:$DV$311,'База практик'!$E$5:$E$311,Расчеты!BX$1)</f>
        <v>0</v>
      </c>
      <c r="BY57">
        <f>SUMIFS('База практик'!$DV$5:$DV$311,'База практик'!$E$5:$E$311,Расчеты!BY$1)</f>
        <v>0</v>
      </c>
      <c r="BZ57">
        <f>SUMIFS('База практик'!$DV$5:$DV$311,'База практик'!$E$5:$E$311,Расчеты!BZ$1)</f>
        <v>0</v>
      </c>
      <c r="CA57">
        <f>SUMIFS('База практик'!$DV$5:$DV$311,'База практик'!$E$5:$E$311,Расчеты!CA$1)</f>
        <v>0</v>
      </c>
      <c r="CB57">
        <f>SUMIFS('База практик'!$DV$5:$DV$311,'База практик'!$E$5:$E$311,Расчеты!CB$1)</f>
        <v>100</v>
      </c>
      <c r="CC57">
        <f>SUMIFS('База практик'!$DV$5:$DV$311,'База практик'!$E$5:$E$311,Расчеты!CC$1)</f>
        <v>0</v>
      </c>
      <c r="CD57">
        <f>SUMIFS('База практик'!$DV$5:$DV$311,'База практик'!$E$5:$E$311,Расчеты!CD$1)</f>
        <v>0</v>
      </c>
      <c r="CE57">
        <f>SUMIFS('База практик'!$DV$5:$DV$311,'База практик'!$E$5:$E$311,Расчеты!CE$1)</f>
        <v>0</v>
      </c>
      <c r="CF57">
        <f>SUMIFS('База практик'!$DV$5:$DV$311,'База практик'!$E$5:$E$311,Расчеты!CF$1)</f>
        <v>0</v>
      </c>
      <c r="CG57">
        <f>SUMIFS('База практик'!$DV$5:$DV$311,'База практик'!$E$5:$E$311,Расчеты!CG$1)</f>
        <v>0</v>
      </c>
      <c r="CH57">
        <f>SUMIFS('База практик'!$DV$5:$DV$311,'База практик'!$E$5:$E$311,Расчеты!CH$1)</f>
        <v>0</v>
      </c>
      <c r="CI57">
        <f>SUMIFS('База практик'!$DV$5:$DV$311,'База практик'!$E$5:$E$311,Расчеты!CI$1)</f>
        <v>0</v>
      </c>
      <c r="CJ57">
        <f>SUMIFS('База практик'!$DV$5:$DV$311,'База практик'!$E$5:$E$311,Расчеты!CJ$1)</f>
        <v>0</v>
      </c>
      <c r="CK57">
        <f>SUMIFS('База практик'!$DV$5:$DV$311,'База практик'!$E$5:$E$311,Расчеты!CK$1)</f>
        <v>0</v>
      </c>
      <c r="CL57">
        <f>SUMIFS('База практик'!$DV$5:$DV$311,'База практик'!$E$5:$E$311,Расчеты!CL$1)</f>
        <v>0</v>
      </c>
      <c r="CM57">
        <f>SUMIFS('База практик'!$DV$5:$DV$311,'База практик'!$E$5:$E$311,Расчеты!CM$1)</f>
        <v>0</v>
      </c>
      <c r="CN57">
        <f>SUMIFS('База практик'!$DV$5:$DV$311,'База практик'!$E$5:$E$311,Расчеты!CN$1)</f>
        <v>0</v>
      </c>
      <c r="CO57">
        <f>SUMIFS('База практик'!$DV$5:$DV$311,'База практик'!$E$5:$E$311,Расчеты!CO$1)</f>
        <v>15</v>
      </c>
      <c r="CP57">
        <f>SUMIFS('База практик'!$DV$5:$DV$311,'База практик'!$E$5:$E$311,Расчеты!CP$1)</f>
        <v>0</v>
      </c>
      <c r="CQ57">
        <f>SUMIFS('База практик'!$DV$5:$DV$311,'База практик'!$E$5:$E$311,Расчеты!CQ$1)</f>
        <v>35</v>
      </c>
      <c r="CR57">
        <f>SUMIFS('База практик'!$DV$5:$DV$311,'База практик'!$E$5:$E$311,Расчеты!CR$1)</f>
        <v>0</v>
      </c>
      <c r="CS57">
        <f>SUMIFS('База практик'!$DV$5:$DV$311,'База практик'!$E$5:$E$311,Расчеты!CS$1)</f>
        <v>0</v>
      </c>
      <c r="CT57">
        <f>SUMIFS('База практик'!$DV$5:$DV$311,'База практик'!$E$5:$E$311,Расчеты!CT$1)</f>
        <v>0</v>
      </c>
      <c r="CU57">
        <f>SUMIFS('База практик'!$DV$5:$DV$311,'База практик'!$E$5:$E$311,Расчеты!CU$1)</f>
        <v>0</v>
      </c>
      <c r="CV57">
        <f>SUMIFS('База практик'!$DV$5:$DV$311,'База практик'!$E$5:$E$311,Расчеты!CV$1)</f>
        <v>0</v>
      </c>
      <c r="CW57">
        <f>SUMIFS('База практик'!$DV$5:$DV$311,'База практик'!$E$5:$E$311,Расчеты!CW$1)</f>
        <v>0</v>
      </c>
    </row>
    <row r="58" spans="1:101" ht="51" x14ac:dyDescent="0.25">
      <c r="A58" s="1664"/>
      <c r="B58" s="151"/>
      <c r="C58" s="1642"/>
      <c r="D58" s="115" t="s">
        <v>4831</v>
      </c>
      <c r="E58" s="115">
        <v>27</v>
      </c>
      <c r="F58" s="118" t="s">
        <v>4968</v>
      </c>
      <c r="G58" s="124" t="s">
        <v>4969</v>
      </c>
      <c r="H58" s="183" t="s">
        <v>4932</v>
      </c>
      <c r="I58" s="184" t="s">
        <v>4847</v>
      </c>
      <c r="J58" s="171"/>
      <c r="K58" s="171"/>
      <c r="L58" s="171"/>
      <c r="M58" s="171" t="s">
        <v>4844</v>
      </c>
      <c r="N58" s="171">
        <v>1128567</v>
      </c>
      <c r="O58" s="172">
        <v>699475</v>
      </c>
      <c r="P58" s="433">
        <f t="shared" si="7"/>
        <v>11</v>
      </c>
      <c r="Q58">
        <f>SUMIFS('База практик'!$DY$5:$DY$311,'База практик'!$E$5:$E$311,Расчеты!Q$1)</f>
        <v>0</v>
      </c>
      <c r="R58">
        <f>SUMIFS('База практик'!$DY$5:$DY$311,'База практик'!$E$5:$E$311,Расчеты!R$1)</f>
        <v>0</v>
      </c>
      <c r="S58">
        <f>SUMIFS('База практик'!$DY$5:$DY$311,'База практик'!$E$5:$E$311,Расчеты!S$1)</f>
        <v>0</v>
      </c>
      <c r="T58">
        <f>SUMIFS('База практик'!$DY$5:$DY$311,'База практик'!$E$5:$E$311,Расчеты!T$1)</f>
        <v>0</v>
      </c>
      <c r="U58">
        <f>SUMIFS('База практик'!$DY$5:$DY$311,'База практик'!$E$5:$E$311,Расчеты!U$1)</f>
        <v>0</v>
      </c>
      <c r="V58">
        <f>SUMIFS('База практик'!$DY$5:$DY$311,'База практик'!$E$5:$E$311,Расчеты!V$1)</f>
        <v>0</v>
      </c>
      <c r="W58">
        <f>SUMIFS('База практик'!$DY$5:$DY$311,'База практик'!$E$5:$E$311,Расчеты!W$1)</f>
        <v>0</v>
      </c>
      <c r="X58">
        <f>SUMIFS('База практик'!$DY$5:$DY$311,'База практик'!$E$5:$E$311,Расчеты!X$1)</f>
        <v>0</v>
      </c>
      <c r="Y58">
        <f>SUMIFS('База практик'!$DY$5:$DY$311,'База практик'!$E$5:$E$311,Расчеты!Y$1)</f>
        <v>0</v>
      </c>
      <c r="Z58">
        <f>SUMIFS('База практик'!$DY$5:$DY$311,'База практик'!$E$5:$E$311,Расчеты!Z$1)</f>
        <v>0</v>
      </c>
      <c r="AA58">
        <f>SUMIFS('База практик'!$DY$5:$DY$311,'База практик'!$E$5:$E$311,Расчеты!AA$1)</f>
        <v>0</v>
      </c>
      <c r="AB58">
        <f>SUMIFS('База практик'!$DY$5:$DY$311,'База практик'!$E$5:$E$311,Расчеты!AB$1)</f>
        <v>0</v>
      </c>
      <c r="AC58">
        <f>SUMIFS('База практик'!$DY$5:$DY$311,'База практик'!$E$5:$E$311,Расчеты!AC$1)</f>
        <v>0</v>
      </c>
      <c r="AD58">
        <f>SUMIFS('База практик'!$DY$5:$DY$311,'База практик'!$E$5:$E$311,Расчеты!AD$1)</f>
        <v>0</v>
      </c>
      <c r="AE58">
        <f>SUMIFS('База практик'!$DY$5:$DY$311,'База практик'!$E$5:$E$311,Расчеты!AE$1)</f>
        <v>0</v>
      </c>
      <c r="AF58">
        <f>SUMIFS('База практик'!$DY$5:$DY$311,'База практик'!$E$5:$E$311,Расчеты!AF$1)</f>
        <v>0</v>
      </c>
      <c r="AG58">
        <f>SUMIFS('База практик'!$DY$5:$DY$311,'База практик'!$E$5:$E$311,Расчеты!AG$1)</f>
        <v>0</v>
      </c>
      <c r="AH58">
        <f>SUMIFS('База практик'!$DY$5:$DY$311,'База практик'!$E$5:$E$311,Расчеты!AH$1)</f>
        <v>0</v>
      </c>
      <c r="AI58">
        <f>SUMIFS('База практик'!$DY$5:$DY$311,'База практик'!$E$5:$E$311,Расчеты!AI$1)</f>
        <v>0</v>
      </c>
      <c r="AJ58">
        <f>SUMIFS('База практик'!$DY$5:$DY$311,'База практик'!$E$5:$E$311,Расчеты!AJ$1)</f>
        <v>0</v>
      </c>
      <c r="AK58">
        <f>SUMIFS('База практик'!$DY$5:$DY$311,'База практик'!$E$5:$E$311,Расчеты!AK$1)</f>
        <v>0</v>
      </c>
      <c r="AL58">
        <f>SUMIFS('База практик'!$DY$5:$DY$311,'База практик'!$E$5:$E$311,Расчеты!AL$1)</f>
        <v>0</v>
      </c>
      <c r="AM58">
        <f>SUMIFS('База практик'!$DY$5:$DY$311,'База практик'!$E$5:$E$311,Расчеты!AM$1)</f>
        <v>0</v>
      </c>
      <c r="AN58">
        <f>SUMIFS('База практик'!$DY$5:$DY$311,'База практик'!$E$5:$E$311,Расчеты!AN$1)</f>
        <v>0</v>
      </c>
      <c r="AO58">
        <f>SUMIFS('База практик'!$DY$5:$DY$311,'База практик'!$E$5:$E$311,Расчеты!AO$1)</f>
        <v>0</v>
      </c>
      <c r="AP58">
        <f>SUMIFS('База практик'!$DY$5:$DY$311,'База практик'!$E$5:$E$311,Расчеты!AP$1)</f>
        <v>0</v>
      </c>
      <c r="AQ58">
        <f>SUMIFS('База практик'!$DY$5:$DY$311,'База практик'!$E$5:$E$311,Расчеты!AQ$1)</f>
        <v>0</v>
      </c>
      <c r="AR58">
        <f>SUMIFS('База практик'!$DY$5:$DY$311,'База практик'!$E$5:$E$311,Расчеты!AR$1)</f>
        <v>0</v>
      </c>
      <c r="AS58">
        <f>SUMIFS('База практик'!$DY$5:$DY$311,'База практик'!$E$5:$E$311,Расчеты!AS$1)</f>
        <v>0</v>
      </c>
      <c r="AT58">
        <f>SUMIFS('База практик'!$DY$5:$DY$311,'База практик'!$E$5:$E$311,Расчеты!AT$1)</f>
        <v>0</v>
      </c>
      <c r="AU58">
        <f>SUMIFS('База практик'!$DY$5:$DY$311,'База практик'!$E$5:$E$311,Расчеты!AU$1)</f>
        <v>0</v>
      </c>
      <c r="AV58">
        <f>SUMIFS('База практик'!$DY$5:$DY$311,'База практик'!$E$5:$E$311,Расчеты!AV$1)</f>
        <v>0</v>
      </c>
      <c r="AW58">
        <f>SUMIFS('База практик'!$DY$5:$DY$311,'База практик'!$E$5:$E$311,Расчеты!AW$1)</f>
        <v>0</v>
      </c>
      <c r="AX58">
        <f>SUMIFS('База практик'!$DY$5:$DY$311,'База практик'!$E$5:$E$311,Расчеты!AX$1)</f>
        <v>0</v>
      </c>
      <c r="AY58">
        <f>SUMIFS('База практик'!$DY$5:$DY$311,'База практик'!$E$5:$E$311,Расчеты!AY$1)</f>
        <v>0</v>
      </c>
      <c r="AZ58">
        <f>SUMIFS('База практик'!$DY$5:$DY$311,'База практик'!$E$5:$E$311,Расчеты!AZ$1)</f>
        <v>0</v>
      </c>
      <c r="BA58">
        <f>SUMIFS('База практик'!$DY$5:$DY$311,'База практик'!$E$5:$E$311,Расчеты!BA$1)</f>
        <v>0</v>
      </c>
      <c r="BB58">
        <f>SUMIFS('База практик'!$DY$5:$DY$311,'База практик'!$E$5:$E$311,Расчеты!BB$1)</f>
        <v>0</v>
      </c>
      <c r="BC58">
        <f>SUMIFS('База практик'!$DY$5:$DY$311,'База практик'!$E$5:$E$311,Расчеты!BC$1)</f>
        <v>0</v>
      </c>
      <c r="BD58">
        <f>SUMIFS('База практик'!$DY$5:$DY$311,'База практик'!$E$5:$E$311,Расчеты!BD$1)</f>
        <v>0</v>
      </c>
      <c r="BE58">
        <f>SUMIFS('База практик'!$DY$5:$DY$311,'База практик'!$E$5:$E$311,Расчеты!BE$1)</f>
        <v>0</v>
      </c>
      <c r="BF58">
        <f>SUMIFS('База практик'!$DY$5:$DY$311,'База практик'!$E$5:$E$311,Расчеты!BF$1)</f>
        <v>0</v>
      </c>
      <c r="BG58">
        <f>SUMIFS('База практик'!$DY$5:$DY$311,'База практик'!$E$5:$E$311,Расчеты!BG$1)</f>
        <v>0</v>
      </c>
      <c r="BH58">
        <f>SUMIFS('База практик'!$DY$5:$DY$311,'База практик'!$E$5:$E$311,Расчеты!BH$1)</f>
        <v>0</v>
      </c>
      <c r="BI58">
        <f>SUMIFS('База практик'!$DY$5:$DY$311,'База практик'!$E$5:$E$311,Расчеты!BI$1)</f>
        <v>0</v>
      </c>
      <c r="BJ58">
        <f>SUMIFS('База практик'!$DY$5:$DY$311,'База практик'!$E$5:$E$311,Расчеты!BJ$1)</f>
        <v>0</v>
      </c>
      <c r="BK58">
        <f>SUMIFS('База практик'!$DY$5:$DY$311,'База практик'!$E$5:$E$311,Расчеты!BK$1)</f>
        <v>0</v>
      </c>
      <c r="BL58">
        <f>SUMIFS('База практик'!$DY$5:$DY$311,'База практик'!$E$5:$E$311,Расчеты!BL$1)</f>
        <v>0</v>
      </c>
      <c r="BM58">
        <f>SUMIFS('База практик'!$DY$5:$DY$311,'База практик'!$E$5:$E$311,Расчеты!BM$1)</f>
        <v>0</v>
      </c>
      <c r="BN58">
        <f>SUMIFS('База практик'!$DY$5:$DY$311,'База практик'!$E$5:$E$311,Расчеты!BN$1)</f>
        <v>0</v>
      </c>
      <c r="BO58">
        <f>SUMIFS('База практик'!$DY$5:$DY$311,'База практик'!$E$5:$E$311,Расчеты!BO$1)</f>
        <v>0</v>
      </c>
      <c r="BP58">
        <f>SUMIFS('База практик'!$DY$5:$DY$311,'База практик'!$E$5:$E$311,Расчеты!BP$1)</f>
        <v>0</v>
      </c>
      <c r="BQ58">
        <f>SUMIFS('База практик'!$DY$5:$DY$311,'База практик'!$E$5:$E$311,Расчеты!BQ$1)</f>
        <v>0</v>
      </c>
      <c r="BR58">
        <f>SUMIFS('База практик'!$DY$5:$DY$311,'База практик'!$E$5:$E$311,Расчеты!BR$1)</f>
        <v>0</v>
      </c>
      <c r="BS58">
        <f>SUMIFS('База практик'!$DY$5:$DY$311,'База практик'!$E$5:$E$311,Расчеты!BS$1)</f>
        <v>0</v>
      </c>
      <c r="BT58">
        <f>SUMIFS('База практик'!$DY$5:$DY$311,'База практик'!$E$5:$E$311,Расчеты!BT$1)</f>
        <v>0</v>
      </c>
      <c r="BU58">
        <f>SUMIFS('База практик'!$DY$5:$DY$311,'База практик'!$E$5:$E$311,Расчеты!BU$1)</f>
        <v>0</v>
      </c>
      <c r="BV58">
        <f>SUMIFS('База практик'!$DY$5:$DY$311,'База практик'!$E$5:$E$311,Расчеты!BV$1)</f>
        <v>0</v>
      </c>
      <c r="BW58">
        <f>SUMIFS('База практик'!$DY$5:$DY$311,'База практик'!$E$5:$E$311,Расчеты!BW$1)</f>
        <v>0</v>
      </c>
      <c r="BX58">
        <f>SUMIFS('База практик'!$DY$5:$DY$311,'База практик'!$E$5:$E$311,Расчеты!BX$1)</f>
        <v>0</v>
      </c>
      <c r="BY58">
        <f>SUMIFS('База практик'!$DY$5:$DY$311,'База практик'!$E$5:$E$311,Расчеты!BY$1)</f>
        <v>0</v>
      </c>
      <c r="BZ58">
        <f>SUMIFS('База практик'!$DY$5:$DY$311,'База практик'!$E$5:$E$311,Расчеты!BZ$1)</f>
        <v>0</v>
      </c>
      <c r="CA58">
        <f>SUMIFS('База практик'!$DY$5:$DY$311,'База практик'!$E$5:$E$311,Расчеты!CA$1)</f>
        <v>0</v>
      </c>
      <c r="CB58">
        <f>SUMIFS('База практик'!$DY$5:$DY$311,'База практик'!$E$5:$E$311,Расчеты!CB$1)</f>
        <v>0</v>
      </c>
      <c r="CC58">
        <f>SUMIFS('База практик'!$DY$5:$DY$311,'База практик'!$E$5:$E$311,Расчеты!CC$1)</f>
        <v>0</v>
      </c>
      <c r="CD58">
        <f>SUMIFS('База практик'!$DY$5:$DY$311,'База практик'!$E$5:$E$311,Расчеты!CD$1)</f>
        <v>0</v>
      </c>
      <c r="CE58">
        <f>SUMIFS('База практик'!$DY$5:$DY$311,'База практик'!$E$5:$E$311,Расчеты!CE$1)</f>
        <v>0</v>
      </c>
      <c r="CF58">
        <f>SUMIFS('База практик'!$DY$5:$DY$311,'База практик'!$E$5:$E$311,Расчеты!CF$1)</f>
        <v>0</v>
      </c>
      <c r="CG58">
        <f>SUMIFS('База практик'!$DY$5:$DY$311,'База практик'!$E$5:$E$311,Расчеты!CG$1)</f>
        <v>0</v>
      </c>
      <c r="CH58">
        <f>SUMIFS('База практик'!$DY$5:$DY$311,'База практик'!$E$5:$E$311,Расчеты!CH$1)</f>
        <v>0</v>
      </c>
      <c r="CI58">
        <f>SUMIFS('База практик'!$DY$5:$DY$311,'База практик'!$E$5:$E$311,Расчеты!CI$1)</f>
        <v>0</v>
      </c>
      <c r="CJ58">
        <f>SUMIFS('База практик'!$DY$5:$DY$311,'База практик'!$E$5:$E$311,Расчеты!CJ$1)</f>
        <v>0</v>
      </c>
      <c r="CK58">
        <f>SUMIFS('База практик'!$DY$5:$DY$311,'База практик'!$E$5:$E$311,Расчеты!CK$1)</f>
        <v>0</v>
      </c>
      <c r="CL58">
        <f>SUMIFS('База практик'!$DY$5:$DY$311,'База практик'!$E$5:$E$311,Расчеты!CL$1)</f>
        <v>0</v>
      </c>
      <c r="CM58">
        <f>SUMIFS('База практик'!$DY$5:$DY$311,'База практик'!$E$5:$E$311,Расчеты!CM$1)</f>
        <v>0</v>
      </c>
      <c r="CN58">
        <f>SUMIFS('База практик'!$DY$5:$DY$311,'База практик'!$E$5:$E$311,Расчеты!CN$1)</f>
        <v>11</v>
      </c>
      <c r="CO58">
        <f>SUMIFS('База практик'!$DY$5:$DY$311,'База практик'!$E$5:$E$311,Расчеты!CO$1)</f>
        <v>0</v>
      </c>
      <c r="CP58">
        <f>SUMIFS('База практик'!$DY$5:$DY$311,'База практик'!$E$5:$E$311,Расчеты!CP$1)</f>
        <v>0</v>
      </c>
      <c r="CQ58">
        <f>SUMIFS('База практик'!$DY$5:$DY$311,'База практик'!$E$5:$E$311,Расчеты!CQ$1)</f>
        <v>0</v>
      </c>
      <c r="CR58">
        <f>SUMIFS('База практик'!$DY$5:$DY$311,'База практик'!$E$5:$E$311,Расчеты!CR$1)</f>
        <v>0</v>
      </c>
      <c r="CS58">
        <f>SUMIFS('База практик'!$DY$5:$DY$311,'База практик'!$E$5:$E$311,Расчеты!CS$1)</f>
        <v>0</v>
      </c>
      <c r="CT58">
        <f>SUMIFS('База практик'!$DY$5:$DY$311,'База практик'!$E$5:$E$311,Расчеты!CT$1)</f>
        <v>0</v>
      </c>
      <c r="CU58">
        <f>SUMIFS('База практик'!$DY$5:$DY$311,'База практик'!$E$5:$E$311,Расчеты!CU$1)</f>
        <v>0</v>
      </c>
      <c r="CV58">
        <f>SUMIFS('База практик'!$DY$5:$DY$311,'База практик'!$E$5:$E$311,Расчеты!CV$1)</f>
        <v>0</v>
      </c>
      <c r="CW58">
        <f>SUMIFS('База практик'!$DY$5:$DY$311,'База практик'!$E$5:$E$311,Расчеты!CW$1)</f>
        <v>0</v>
      </c>
    </row>
    <row r="59" spans="1:101" ht="63.75" x14ac:dyDescent="0.25">
      <c r="A59" s="1664"/>
      <c r="B59" s="151"/>
      <c r="C59" s="1642"/>
      <c r="D59" s="115" t="s">
        <v>4831</v>
      </c>
      <c r="E59" s="115">
        <v>28</v>
      </c>
      <c r="F59" s="118" t="s">
        <v>4970</v>
      </c>
      <c r="G59" s="124" t="s">
        <v>4971</v>
      </c>
      <c r="H59" s="183" t="s">
        <v>4932</v>
      </c>
      <c r="I59" s="184" t="s">
        <v>4847</v>
      </c>
      <c r="J59" s="171"/>
      <c r="K59" s="171"/>
      <c r="L59" s="171"/>
      <c r="M59" s="171" t="s">
        <v>4844</v>
      </c>
      <c r="N59" s="171">
        <v>20769</v>
      </c>
      <c r="O59" s="172">
        <v>21938</v>
      </c>
      <c r="P59" s="433">
        <f t="shared" si="7"/>
        <v>637</v>
      </c>
      <c r="Q59">
        <f>SUMIFS('База практик'!$EB$5:$EB$311,'База практик'!$E$5:$E$311,Расчеты!Q$1)</f>
        <v>0</v>
      </c>
      <c r="R59">
        <f>SUMIFS('База практик'!$EB$5:$EB$311,'База практик'!$E$5:$E$311,Расчеты!R$1)</f>
        <v>15</v>
      </c>
      <c r="S59">
        <f>SUMIFS('База практик'!$EB$5:$EB$311,'База практик'!$E$5:$E$311,Расчеты!S$1)</f>
        <v>0</v>
      </c>
      <c r="T59">
        <f>SUMIFS('База практик'!$EB$5:$EB$311,'База практик'!$E$5:$E$311,Расчеты!T$1)</f>
        <v>0</v>
      </c>
      <c r="U59">
        <f>SUMIFS('База практик'!$EB$5:$EB$311,'База практик'!$E$5:$E$311,Расчеты!U$1)</f>
        <v>0</v>
      </c>
      <c r="V59">
        <f>SUMIFS('База практик'!$EB$5:$EB$311,'База практик'!$E$5:$E$311,Расчеты!V$1)</f>
        <v>0</v>
      </c>
      <c r="W59">
        <f>SUMIFS('База практик'!$EB$5:$EB$311,'База практик'!$E$5:$E$311,Расчеты!W$1)</f>
        <v>0</v>
      </c>
      <c r="X59">
        <f>SUMIFS('База практик'!$EB$5:$EB$311,'База практик'!$E$5:$E$311,Расчеты!X$1)</f>
        <v>0</v>
      </c>
      <c r="Y59">
        <f>SUMIFS('База практик'!$EB$5:$EB$311,'База практик'!$E$5:$E$311,Расчеты!Y$1)</f>
        <v>0</v>
      </c>
      <c r="Z59">
        <f>SUMIFS('База практик'!$EB$5:$EB$311,'База практик'!$E$5:$E$311,Расчеты!Z$1)</f>
        <v>0</v>
      </c>
      <c r="AA59">
        <f>SUMIFS('База практик'!$EB$5:$EB$311,'База практик'!$E$5:$E$311,Расчеты!AA$1)</f>
        <v>0</v>
      </c>
      <c r="AB59">
        <f>SUMIFS('База практик'!$EB$5:$EB$311,'База практик'!$E$5:$E$311,Расчеты!AB$1)</f>
        <v>0</v>
      </c>
      <c r="AC59">
        <f>SUMIFS('База практик'!$EB$5:$EB$311,'База практик'!$E$5:$E$311,Расчеты!AC$1)</f>
        <v>0</v>
      </c>
      <c r="AD59">
        <f>SUMIFS('База практик'!$EB$5:$EB$311,'База практик'!$E$5:$E$311,Расчеты!AD$1)</f>
        <v>0</v>
      </c>
      <c r="AE59">
        <f>SUMIFS('База практик'!$EB$5:$EB$311,'База практик'!$E$5:$E$311,Расчеты!AE$1)</f>
        <v>0</v>
      </c>
      <c r="AF59">
        <f>SUMIFS('База практик'!$EB$5:$EB$311,'База практик'!$E$5:$E$311,Расчеты!AF$1)</f>
        <v>0</v>
      </c>
      <c r="AG59">
        <f>SUMIFS('База практик'!$EB$5:$EB$311,'База практик'!$E$5:$E$311,Расчеты!AG$1)</f>
        <v>0</v>
      </c>
      <c r="AH59">
        <f>SUMIFS('База практик'!$EB$5:$EB$311,'База практик'!$E$5:$E$311,Расчеты!AH$1)</f>
        <v>0</v>
      </c>
      <c r="AI59">
        <f>SUMIFS('База практик'!$EB$5:$EB$311,'База практик'!$E$5:$E$311,Расчеты!AI$1)</f>
        <v>0</v>
      </c>
      <c r="AJ59">
        <f>SUMIFS('База практик'!$EB$5:$EB$311,'База практик'!$E$5:$E$311,Расчеты!AJ$1)</f>
        <v>0</v>
      </c>
      <c r="AK59">
        <f>SUMIFS('База практик'!$EB$5:$EB$311,'База практик'!$E$5:$E$311,Расчеты!AK$1)</f>
        <v>0</v>
      </c>
      <c r="AL59">
        <f>SUMIFS('База практик'!$EB$5:$EB$311,'База практик'!$E$5:$E$311,Расчеты!AL$1)</f>
        <v>0</v>
      </c>
      <c r="AM59">
        <f>SUMIFS('База практик'!$EB$5:$EB$311,'База практик'!$E$5:$E$311,Расчеты!AM$1)</f>
        <v>0</v>
      </c>
      <c r="AN59">
        <f>SUMIFS('База практик'!$EB$5:$EB$311,'База практик'!$E$5:$E$311,Расчеты!AN$1)</f>
        <v>0</v>
      </c>
      <c r="AO59">
        <f>SUMIFS('База практик'!$EB$5:$EB$311,'База практик'!$E$5:$E$311,Расчеты!AO$1)</f>
        <v>0</v>
      </c>
      <c r="AP59">
        <f>SUMIFS('База практик'!$EB$5:$EB$311,'База практик'!$E$5:$E$311,Расчеты!AP$1)</f>
        <v>0</v>
      </c>
      <c r="AQ59">
        <f>SUMIFS('База практик'!$EB$5:$EB$311,'База практик'!$E$5:$E$311,Расчеты!AQ$1)</f>
        <v>0</v>
      </c>
      <c r="AR59">
        <f>SUMIFS('База практик'!$EB$5:$EB$311,'База практик'!$E$5:$E$311,Расчеты!AR$1)</f>
        <v>0</v>
      </c>
      <c r="AS59">
        <f>SUMIFS('База практик'!$EB$5:$EB$311,'База практик'!$E$5:$E$311,Расчеты!AS$1)</f>
        <v>0</v>
      </c>
      <c r="AT59">
        <f>SUMIFS('База практик'!$EB$5:$EB$311,'База практик'!$E$5:$E$311,Расчеты!AT$1)</f>
        <v>40</v>
      </c>
      <c r="AU59">
        <f>SUMIFS('База практик'!$EB$5:$EB$311,'База практик'!$E$5:$E$311,Расчеты!AU$1)</f>
        <v>0</v>
      </c>
      <c r="AV59">
        <f>SUMIFS('База практик'!$EB$5:$EB$311,'База практик'!$E$5:$E$311,Расчеты!AV$1)</f>
        <v>0</v>
      </c>
      <c r="AW59">
        <f>SUMIFS('База практик'!$EB$5:$EB$311,'База практик'!$E$5:$E$311,Расчеты!AW$1)</f>
        <v>0</v>
      </c>
      <c r="AX59">
        <f>SUMIFS('База практик'!$EB$5:$EB$311,'База практик'!$E$5:$E$311,Расчеты!AX$1)</f>
        <v>0</v>
      </c>
      <c r="AY59">
        <f>SUMIFS('База практик'!$EB$5:$EB$311,'База практик'!$E$5:$E$311,Расчеты!AY$1)</f>
        <v>0</v>
      </c>
      <c r="AZ59">
        <f>SUMIFS('База практик'!$EB$5:$EB$311,'База практик'!$E$5:$E$311,Расчеты!AZ$1)</f>
        <v>0</v>
      </c>
      <c r="BA59">
        <f>SUMIFS('База практик'!$EB$5:$EB$311,'База практик'!$E$5:$E$311,Расчеты!BA$1)</f>
        <v>0</v>
      </c>
      <c r="BB59">
        <f>SUMIFS('База практик'!$EB$5:$EB$311,'База практик'!$E$5:$E$311,Расчеты!BB$1)</f>
        <v>0</v>
      </c>
      <c r="BC59">
        <f>SUMIFS('База практик'!$EB$5:$EB$311,'База практик'!$E$5:$E$311,Расчеты!BC$1)</f>
        <v>0</v>
      </c>
      <c r="BD59">
        <f>SUMIFS('База практик'!$EB$5:$EB$311,'База практик'!$E$5:$E$311,Расчеты!BD$1)</f>
        <v>0</v>
      </c>
      <c r="BE59">
        <f>SUMIFS('База практик'!$EB$5:$EB$311,'База практик'!$E$5:$E$311,Расчеты!BE$1)</f>
        <v>0</v>
      </c>
      <c r="BF59">
        <f>SUMIFS('База практик'!$EB$5:$EB$311,'База практик'!$E$5:$E$311,Расчеты!BF$1)</f>
        <v>0</v>
      </c>
      <c r="BG59">
        <f>SUMIFS('База практик'!$EB$5:$EB$311,'База практик'!$E$5:$E$311,Расчеты!BG$1)</f>
        <v>0</v>
      </c>
      <c r="BH59">
        <f>SUMIFS('База практик'!$EB$5:$EB$311,'База практик'!$E$5:$E$311,Расчеты!BH$1)</f>
        <v>0</v>
      </c>
      <c r="BI59">
        <f>SUMIFS('База практик'!$EB$5:$EB$311,'База практик'!$E$5:$E$311,Расчеты!BI$1)</f>
        <v>0</v>
      </c>
      <c r="BJ59">
        <f>SUMIFS('База практик'!$EB$5:$EB$311,'База практик'!$E$5:$E$311,Расчеты!BJ$1)</f>
        <v>0</v>
      </c>
      <c r="BK59">
        <f>SUMIFS('База практик'!$EB$5:$EB$311,'База практик'!$E$5:$E$311,Расчеты!BK$1)</f>
        <v>100</v>
      </c>
      <c r="BL59">
        <f>SUMIFS('База практик'!$EB$5:$EB$311,'База практик'!$E$5:$E$311,Расчеты!BL$1)</f>
        <v>0</v>
      </c>
      <c r="BM59">
        <f>SUMIFS('База практик'!$EB$5:$EB$311,'База практик'!$E$5:$E$311,Расчеты!BM$1)</f>
        <v>0</v>
      </c>
      <c r="BN59">
        <f>SUMIFS('База практик'!$EB$5:$EB$311,'База практик'!$E$5:$E$311,Расчеты!BN$1)</f>
        <v>0</v>
      </c>
      <c r="BO59">
        <f>SUMIFS('База практик'!$EB$5:$EB$311,'База практик'!$E$5:$E$311,Расчеты!BO$1)</f>
        <v>0</v>
      </c>
      <c r="BP59">
        <f>SUMIFS('База практик'!$EB$5:$EB$311,'База практик'!$E$5:$E$311,Расчеты!BP$1)</f>
        <v>0</v>
      </c>
      <c r="BQ59">
        <f>SUMIFS('База практик'!$EB$5:$EB$311,'База практик'!$E$5:$E$311,Расчеты!BQ$1)</f>
        <v>0</v>
      </c>
      <c r="BR59">
        <f>SUMIFS('База практик'!$EB$5:$EB$311,'База практик'!$E$5:$E$311,Расчеты!BR$1)</f>
        <v>0</v>
      </c>
      <c r="BS59">
        <f>SUMIFS('База практик'!$EB$5:$EB$311,'База практик'!$E$5:$E$311,Расчеты!BS$1)</f>
        <v>0</v>
      </c>
      <c r="BT59">
        <f>SUMIFS('База практик'!$EB$5:$EB$311,'База практик'!$E$5:$E$311,Расчеты!BT$1)</f>
        <v>0</v>
      </c>
      <c r="BU59">
        <f>SUMIFS('База практик'!$EB$5:$EB$311,'База практик'!$E$5:$E$311,Расчеты!BU$1)</f>
        <v>0</v>
      </c>
      <c r="BV59">
        <f>SUMIFS('База практик'!$EB$5:$EB$311,'База практик'!$E$5:$E$311,Расчеты!BV$1)</f>
        <v>0</v>
      </c>
      <c r="BW59">
        <f>SUMIFS('База практик'!$EB$5:$EB$311,'База практик'!$E$5:$E$311,Расчеты!BW$1)</f>
        <v>180</v>
      </c>
      <c r="BX59">
        <f>SUMIFS('База практик'!$EB$5:$EB$311,'База практик'!$E$5:$E$311,Расчеты!BX$1)</f>
        <v>0</v>
      </c>
      <c r="BY59">
        <f>SUMIFS('База практик'!$EB$5:$EB$311,'База практик'!$E$5:$E$311,Расчеты!BY$1)</f>
        <v>0</v>
      </c>
      <c r="BZ59">
        <f>SUMIFS('База практик'!$EB$5:$EB$311,'База практик'!$E$5:$E$311,Расчеты!BZ$1)</f>
        <v>0</v>
      </c>
      <c r="CA59">
        <f>SUMIFS('База практик'!$EB$5:$EB$311,'База практик'!$E$5:$E$311,Расчеты!CA$1)</f>
        <v>0</v>
      </c>
      <c r="CB59">
        <f>SUMIFS('База практик'!$EB$5:$EB$311,'База практик'!$E$5:$E$311,Расчеты!CB$1)</f>
        <v>0</v>
      </c>
      <c r="CC59">
        <f>SUMIFS('База практик'!$EB$5:$EB$311,'База практик'!$E$5:$E$311,Расчеты!CC$1)</f>
        <v>0</v>
      </c>
      <c r="CD59">
        <f>SUMIFS('База практик'!$EB$5:$EB$311,'База практик'!$E$5:$E$311,Расчеты!CD$1)</f>
        <v>0</v>
      </c>
      <c r="CE59">
        <f>SUMIFS('База практик'!$EB$5:$EB$311,'База практик'!$E$5:$E$311,Расчеты!CE$1)</f>
        <v>0</v>
      </c>
      <c r="CF59">
        <f>SUMIFS('База практик'!$EB$5:$EB$311,'База практик'!$E$5:$E$311,Расчеты!CF$1)</f>
        <v>0</v>
      </c>
      <c r="CG59">
        <f>SUMIFS('База практик'!$EB$5:$EB$311,'База практик'!$E$5:$E$311,Расчеты!CG$1)</f>
        <v>0</v>
      </c>
      <c r="CH59">
        <f>SUMIFS('База практик'!$EB$5:$EB$311,'База практик'!$E$5:$E$311,Расчеты!CH$1)</f>
        <v>0</v>
      </c>
      <c r="CI59">
        <f>SUMIFS('База практик'!$EB$5:$EB$311,'База практик'!$E$5:$E$311,Расчеты!CI$1)</f>
        <v>0</v>
      </c>
      <c r="CJ59">
        <f>SUMIFS('База практик'!$EB$5:$EB$311,'База практик'!$E$5:$E$311,Расчеты!CJ$1)</f>
        <v>0</v>
      </c>
      <c r="CK59">
        <f>SUMIFS('База практик'!$EB$5:$EB$311,'База практик'!$E$5:$E$311,Расчеты!CK$1)</f>
        <v>0</v>
      </c>
      <c r="CL59">
        <f>SUMIFS('База практик'!$EB$5:$EB$311,'База практик'!$E$5:$E$311,Расчеты!CL$1)</f>
        <v>0</v>
      </c>
      <c r="CM59">
        <f>SUMIFS('База практик'!$EB$5:$EB$311,'База практик'!$E$5:$E$311,Расчеты!CM$1)</f>
        <v>0</v>
      </c>
      <c r="CN59">
        <f>SUMIFS('База практик'!$EB$5:$EB$311,'База практик'!$E$5:$E$311,Расчеты!CN$1)</f>
        <v>233</v>
      </c>
      <c r="CO59">
        <f>SUMIFS('База практик'!$EB$5:$EB$311,'База практик'!$E$5:$E$311,Расчеты!CO$1)</f>
        <v>0</v>
      </c>
      <c r="CP59">
        <f>SUMIFS('База практик'!$EB$5:$EB$311,'База практик'!$E$5:$E$311,Расчеты!CP$1)</f>
        <v>0</v>
      </c>
      <c r="CQ59">
        <f>SUMIFS('База практик'!$EB$5:$EB$311,'База практик'!$E$5:$E$311,Расчеты!CQ$1)</f>
        <v>69</v>
      </c>
      <c r="CR59">
        <f>SUMIFS('База практик'!$EB$5:$EB$311,'База практик'!$E$5:$E$311,Расчеты!CR$1)</f>
        <v>0</v>
      </c>
      <c r="CS59">
        <f>SUMIFS('База практик'!$EB$5:$EB$311,'База практик'!$E$5:$E$311,Расчеты!CS$1)</f>
        <v>0</v>
      </c>
      <c r="CT59">
        <f>SUMIFS('База практик'!$EB$5:$EB$311,'База практик'!$E$5:$E$311,Расчеты!CT$1)</f>
        <v>0</v>
      </c>
      <c r="CU59">
        <f>SUMIFS('База практик'!$EB$5:$EB$311,'База практик'!$E$5:$E$311,Расчеты!CU$1)</f>
        <v>0</v>
      </c>
      <c r="CV59">
        <f>SUMIFS('База практик'!$EB$5:$EB$311,'База практик'!$E$5:$E$311,Расчеты!CV$1)</f>
        <v>0</v>
      </c>
      <c r="CW59">
        <f>SUMIFS('База практик'!$EB$5:$EB$311,'База практик'!$E$5:$E$311,Расчеты!CW$1)</f>
        <v>0</v>
      </c>
    </row>
    <row r="60" spans="1:101" ht="63.75" x14ac:dyDescent="0.25">
      <c r="A60" s="1664"/>
      <c r="B60" s="151"/>
      <c r="C60" s="1642"/>
      <c r="D60" s="115" t="s">
        <v>4831</v>
      </c>
      <c r="E60" s="115">
        <v>29</v>
      </c>
      <c r="F60" s="118" t="s">
        <v>4972</v>
      </c>
      <c r="G60" s="124" t="s">
        <v>4973</v>
      </c>
      <c r="H60" s="183" t="s">
        <v>4932</v>
      </c>
      <c r="I60" s="184" t="s">
        <v>4847</v>
      </c>
      <c r="J60" s="171"/>
      <c r="K60" s="171"/>
      <c r="L60" s="171"/>
      <c r="M60" s="171" t="s">
        <v>4844</v>
      </c>
      <c r="N60" s="171">
        <v>11830</v>
      </c>
      <c r="O60" s="172">
        <v>3552</v>
      </c>
      <c r="P60" s="433">
        <f t="shared" si="7"/>
        <v>60004</v>
      </c>
      <c r="Q60">
        <f>SUMIFS('База практик'!$EE$5:$EE$311,'База практик'!$E$5:$E$311,Расчеты!Q$1)</f>
        <v>0</v>
      </c>
      <c r="R60">
        <f>SUMIFS('База практик'!$EE$5:$EE$311,'База практик'!$E$5:$E$311,Расчеты!R$1)</f>
        <v>18</v>
      </c>
      <c r="S60">
        <f>SUMIFS('База практик'!$EE$5:$EE$311,'База практик'!$E$5:$E$311,Расчеты!S$1)</f>
        <v>13</v>
      </c>
      <c r="T60">
        <f>SUMIFS('База практик'!$EE$5:$EE$311,'База практик'!$E$5:$E$311,Расчеты!T$1)</f>
        <v>0</v>
      </c>
      <c r="U60">
        <f>SUMIFS('База практик'!$EE$5:$EE$311,'База практик'!$E$5:$E$311,Расчеты!U$1)</f>
        <v>0</v>
      </c>
      <c r="V60">
        <f>SUMIFS('База практик'!$EE$5:$EE$311,'База практик'!$E$5:$E$311,Расчеты!V$1)</f>
        <v>0</v>
      </c>
      <c r="W60">
        <f>SUMIFS('База практик'!$EE$5:$EE$311,'База практик'!$E$5:$E$311,Расчеты!W$1)</f>
        <v>0</v>
      </c>
      <c r="X60">
        <f>SUMIFS('База практик'!$EE$5:$EE$311,'База практик'!$E$5:$E$311,Расчеты!X$1)</f>
        <v>0</v>
      </c>
      <c r="Y60">
        <f>SUMIFS('База практик'!$EE$5:$EE$311,'База практик'!$E$5:$E$311,Расчеты!Y$1)</f>
        <v>0</v>
      </c>
      <c r="Z60">
        <f>SUMIFS('База практик'!$EE$5:$EE$311,'База практик'!$E$5:$E$311,Расчеты!Z$1)</f>
        <v>12</v>
      </c>
      <c r="AA60">
        <f>SUMIFS('База практик'!$EE$5:$EE$311,'База практик'!$E$5:$E$311,Расчеты!AA$1)</f>
        <v>12</v>
      </c>
      <c r="AB60">
        <f>SUMIFS('База практик'!$EE$5:$EE$311,'База практик'!$E$5:$E$311,Расчеты!AB$1)</f>
        <v>0</v>
      </c>
      <c r="AC60">
        <f>SUMIFS('База практик'!$EE$5:$EE$311,'База практик'!$E$5:$E$311,Расчеты!AC$1)</f>
        <v>0</v>
      </c>
      <c r="AD60">
        <f>SUMIFS('База практик'!$EE$5:$EE$311,'База практик'!$E$5:$E$311,Расчеты!AD$1)</f>
        <v>0</v>
      </c>
      <c r="AE60">
        <f>SUMIFS('База практик'!$EE$5:$EE$311,'База практик'!$E$5:$E$311,Расчеты!AE$1)</f>
        <v>0</v>
      </c>
      <c r="AF60">
        <f>SUMIFS('База практик'!$EE$5:$EE$311,'База практик'!$E$5:$E$311,Расчеты!AF$1)</f>
        <v>0</v>
      </c>
      <c r="AG60">
        <f>SUMIFS('База практик'!$EE$5:$EE$311,'База практик'!$E$5:$E$311,Расчеты!AG$1)</f>
        <v>0</v>
      </c>
      <c r="AH60">
        <f>SUMIFS('База практик'!$EE$5:$EE$311,'База практик'!$E$5:$E$311,Расчеты!AH$1)</f>
        <v>0</v>
      </c>
      <c r="AI60">
        <f>SUMIFS('База практик'!$EE$5:$EE$311,'База практик'!$E$5:$E$311,Расчеты!AI$1)</f>
        <v>0</v>
      </c>
      <c r="AJ60">
        <f>SUMIFS('База практик'!$EE$5:$EE$311,'База практик'!$E$5:$E$311,Расчеты!AJ$1)</f>
        <v>0</v>
      </c>
      <c r="AK60">
        <f>SUMIFS('База практик'!$EE$5:$EE$311,'База практик'!$E$5:$E$311,Расчеты!AK$1)</f>
        <v>0</v>
      </c>
      <c r="AL60">
        <f>SUMIFS('База практик'!$EE$5:$EE$311,'База практик'!$E$5:$E$311,Расчеты!AL$1)</f>
        <v>91</v>
      </c>
      <c r="AM60">
        <f>SUMIFS('База практик'!$EE$5:$EE$311,'База практик'!$E$5:$E$311,Расчеты!AM$1)</f>
        <v>0</v>
      </c>
      <c r="AN60">
        <f>SUMIFS('База практик'!$EE$5:$EE$311,'База практик'!$E$5:$E$311,Расчеты!AN$1)</f>
        <v>5</v>
      </c>
      <c r="AO60">
        <f>SUMIFS('База практик'!$EE$5:$EE$311,'База практик'!$E$5:$E$311,Расчеты!AO$1)</f>
        <v>0</v>
      </c>
      <c r="AP60">
        <f>SUMIFS('База практик'!$EE$5:$EE$311,'База практик'!$E$5:$E$311,Расчеты!AP$1)</f>
        <v>0</v>
      </c>
      <c r="AQ60">
        <f>SUMIFS('База практик'!$EE$5:$EE$311,'База практик'!$E$5:$E$311,Расчеты!AQ$1)</f>
        <v>0</v>
      </c>
      <c r="AR60">
        <f>SUMIFS('База практик'!$EE$5:$EE$311,'База практик'!$E$5:$E$311,Расчеты!AR$1)</f>
        <v>8</v>
      </c>
      <c r="AS60">
        <f>SUMIFS('База практик'!$EE$5:$EE$311,'База практик'!$E$5:$E$311,Расчеты!AS$1)</f>
        <v>18</v>
      </c>
      <c r="AT60">
        <f>SUMIFS('База практик'!$EE$5:$EE$311,'База практик'!$E$5:$E$311,Расчеты!AT$1)</f>
        <v>16</v>
      </c>
      <c r="AU60">
        <f>SUMIFS('База практик'!$EE$5:$EE$311,'База практик'!$E$5:$E$311,Расчеты!AU$1)</f>
        <v>64</v>
      </c>
      <c r="AV60">
        <f>SUMIFS('База практик'!$EE$5:$EE$311,'База практик'!$E$5:$E$311,Расчеты!AV$1)</f>
        <v>38</v>
      </c>
      <c r="AW60">
        <f>SUMIFS('База практик'!$EE$5:$EE$311,'База практик'!$E$5:$E$311,Расчеты!AW$1)</f>
        <v>14</v>
      </c>
      <c r="AX60">
        <f>SUMIFS('База практик'!$EE$5:$EE$311,'База практик'!$E$5:$E$311,Расчеты!AX$1)</f>
        <v>57000</v>
      </c>
      <c r="AY60">
        <f>SUMIFS('База практик'!$EE$5:$EE$311,'База практик'!$E$5:$E$311,Расчеты!AY$1)</f>
        <v>0</v>
      </c>
      <c r="AZ60">
        <f>SUMIFS('База практик'!$EE$5:$EE$311,'База практик'!$E$5:$E$311,Расчеты!AZ$1)</f>
        <v>0</v>
      </c>
      <c r="BA60">
        <f>SUMIFS('База практик'!$EE$5:$EE$311,'База практик'!$E$5:$E$311,Расчеты!BA$1)</f>
        <v>1695</v>
      </c>
      <c r="BB60">
        <f>SUMIFS('База практик'!$EE$5:$EE$311,'База практик'!$E$5:$E$311,Расчеты!BB$1)</f>
        <v>249</v>
      </c>
      <c r="BC60">
        <f>SUMIFS('База практик'!$EE$5:$EE$311,'База практик'!$E$5:$E$311,Расчеты!BC$1)</f>
        <v>0</v>
      </c>
      <c r="BD60">
        <f>SUMIFS('База практик'!$EE$5:$EE$311,'База практик'!$E$5:$E$311,Расчеты!BD$1)</f>
        <v>0</v>
      </c>
      <c r="BE60">
        <f>SUMIFS('База практик'!$EE$5:$EE$311,'База практик'!$E$5:$E$311,Расчеты!BE$1)</f>
        <v>0</v>
      </c>
      <c r="BF60">
        <f>SUMIFS('База практик'!$EE$5:$EE$311,'База практик'!$E$5:$E$311,Расчеты!BF$1)</f>
        <v>0</v>
      </c>
      <c r="BG60">
        <f>SUMIFS('База практик'!$EE$5:$EE$311,'База практик'!$E$5:$E$311,Расчеты!BG$1)</f>
        <v>0</v>
      </c>
      <c r="BH60">
        <f>SUMIFS('База практик'!$EE$5:$EE$311,'База практик'!$E$5:$E$311,Расчеты!BH$1)</f>
        <v>0</v>
      </c>
      <c r="BI60">
        <f>SUMIFS('База практик'!$EE$5:$EE$311,'База практик'!$E$5:$E$311,Расчеты!BI$1)</f>
        <v>0</v>
      </c>
      <c r="BJ60">
        <f>SUMIFS('База практик'!$EE$5:$EE$311,'База практик'!$E$5:$E$311,Расчеты!BJ$1)</f>
        <v>0</v>
      </c>
      <c r="BK60">
        <f>SUMIFS('База практик'!$EE$5:$EE$311,'База практик'!$E$5:$E$311,Расчеты!BK$1)</f>
        <v>13</v>
      </c>
      <c r="BL60">
        <f>SUMIFS('База практик'!$EE$5:$EE$311,'База практик'!$E$5:$E$311,Расчеты!BL$1)</f>
        <v>0</v>
      </c>
      <c r="BM60">
        <f>SUMIFS('База практик'!$EE$5:$EE$311,'База практик'!$E$5:$E$311,Расчеты!BM$1)</f>
        <v>0</v>
      </c>
      <c r="BN60">
        <f>SUMIFS('База практик'!$EE$5:$EE$311,'База практик'!$E$5:$E$311,Расчеты!BN$1)</f>
        <v>26</v>
      </c>
      <c r="BO60">
        <f>SUMIFS('База практик'!$EE$5:$EE$311,'База практик'!$E$5:$E$311,Расчеты!BO$1)</f>
        <v>0</v>
      </c>
      <c r="BP60">
        <f>SUMIFS('База практик'!$EE$5:$EE$311,'База практик'!$E$5:$E$311,Расчеты!BP$1)</f>
        <v>0</v>
      </c>
      <c r="BQ60">
        <f>SUMIFS('База практик'!$EE$5:$EE$311,'База практик'!$E$5:$E$311,Расчеты!BQ$1)</f>
        <v>0</v>
      </c>
      <c r="BR60">
        <f>SUMIFS('База практик'!$EE$5:$EE$311,'База практик'!$E$5:$E$311,Расчеты!BR$1)</f>
        <v>0</v>
      </c>
      <c r="BS60">
        <f>SUMIFS('База практик'!$EE$5:$EE$311,'База практик'!$E$5:$E$311,Расчеты!BS$1)</f>
        <v>0</v>
      </c>
      <c r="BT60">
        <f>SUMIFS('База практик'!$EE$5:$EE$311,'База практик'!$E$5:$E$311,Расчеты!BT$1)</f>
        <v>5</v>
      </c>
      <c r="BU60">
        <f>SUMIFS('База практик'!$EE$5:$EE$311,'База практик'!$E$5:$E$311,Расчеты!BU$1)</f>
        <v>6</v>
      </c>
      <c r="BV60">
        <f>SUMIFS('База практик'!$EE$5:$EE$311,'База практик'!$E$5:$E$311,Расчеты!BV$1)</f>
        <v>21</v>
      </c>
      <c r="BW60">
        <f>SUMIFS('База практик'!$EE$5:$EE$311,'База практик'!$E$5:$E$311,Расчеты!BW$1)</f>
        <v>0</v>
      </c>
      <c r="BX60">
        <f>SUMIFS('База практик'!$EE$5:$EE$311,'База практик'!$E$5:$E$311,Расчеты!BX$1)</f>
        <v>17</v>
      </c>
      <c r="BY60">
        <f>SUMIFS('База практик'!$EE$5:$EE$311,'База практик'!$E$5:$E$311,Расчеты!BY$1)</f>
        <v>13</v>
      </c>
      <c r="BZ60">
        <f>SUMIFS('База практик'!$EE$5:$EE$311,'База практик'!$E$5:$E$311,Расчеты!BZ$1)</f>
        <v>11</v>
      </c>
      <c r="CA60">
        <f>SUMIFS('База практик'!$EE$5:$EE$311,'База практик'!$E$5:$E$311,Расчеты!CA$1)</f>
        <v>92</v>
      </c>
      <c r="CB60">
        <f>SUMIFS('База практик'!$EE$5:$EE$311,'База практик'!$E$5:$E$311,Расчеты!CB$1)</f>
        <v>16</v>
      </c>
      <c r="CC60">
        <f>SUMIFS('База практик'!$EE$5:$EE$311,'База практик'!$E$5:$E$311,Расчеты!CC$1)</f>
        <v>0</v>
      </c>
      <c r="CD60">
        <f>SUMIFS('База практик'!$EE$5:$EE$311,'База практик'!$E$5:$E$311,Расчеты!CD$1)</f>
        <v>0</v>
      </c>
      <c r="CE60">
        <f>SUMIFS('База практик'!$EE$5:$EE$311,'База практик'!$E$5:$E$311,Расчеты!CE$1)</f>
        <v>68</v>
      </c>
      <c r="CF60">
        <f>SUMIFS('База практик'!$EE$5:$EE$311,'База практик'!$E$5:$E$311,Расчеты!CF$1)</f>
        <v>8</v>
      </c>
      <c r="CG60">
        <f>SUMIFS('База практик'!$EE$5:$EE$311,'База практик'!$E$5:$E$311,Расчеты!CG$1)</f>
        <v>0</v>
      </c>
      <c r="CH60">
        <f>SUMIFS('База практик'!$EE$5:$EE$311,'База практик'!$E$5:$E$311,Расчеты!CH$1)</f>
        <v>21</v>
      </c>
      <c r="CI60">
        <f>SUMIFS('База практик'!$EE$5:$EE$311,'База практик'!$E$5:$E$311,Расчеты!CI$1)</f>
        <v>6</v>
      </c>
      <c r="CJ60">
        <f>SUMIFS('База практик'!$EE$5:$EE$311,'База практик'!$E$5:$E$311,Расчеты!CJ$1)</f>
        <v>0</v>
      </c>
      <c r="CK60">
        <f>SUMIFS('База практик'!$EE$5:$EE$311,'База практик'!$E$5:$E$311,Расчеты!CK$1)</f>
        <v>0</v>
      </c>
      <c r="CL60">
        <f>SUMIFS('База практик'!$EE$5:$EE$311,'База практик'!$E$5:$E$311,Расчеты!CL$1)</f>
        <v>5</v>
      </c>
      <c r="CM60">
        <f>SUMIFS('База практик'!$EE$5:$EE$311,'База практик'!$E$5:$E$311,Расчеты!CM$1)</f>
        <v>14</v>
      </c>
      <c r="CN60">
        <f>SUMIFS('База практик'!$EE$5:$EE$311,'База практик'!$E$5:$E$311,Расчеты!CN$1)</f>
        <v>30</v>
      </c>
      <c r="CO60">
        <f>SUMIFS('База практик'!$EE$5:$EE$311,'База практик'!$E$5:$E$311,Расчеты!CO$1)</f>
        <v>14</v>
      </c>
      <c r="CP60">
        <f>SUMIFS('База практик'!$EE$5:$EE$311,'База практик'!$E$5:$E$311,Расчеты!CP$1)</f>
        <v>0</v>
      </c>
      <c r="CQ60">
        <f>SUMIFS('База практик'!$EE$5:$EE$311,'База практик'!$E$5:$E$311,Расчеты!CQ$1)</f>
        <v>119</v>
      </c>
      <c r="CR60">
        <f>SUMIFS('База практик'!$EE$5:$EE$311,'База практик'!$E$5:$E$311,Расчеты!CR$1)</f>
        <v>0</v>
      </c>
      <c r="CS60">
        <f>SUMIFS('База практик'!$EE$5:$EE$311,'База практик'!$E$5:$E$311,Расчеты!CS$1)</f>
        <v>0</v>
      </c>
      <c r="CT60">
        <f>SUMIFS('База практик'!$EE$5:$EE$311,'База практик'!$E$5:$E$311,Расчеты!CT$1)</f>
        <v>34</v>
      </c>
      <c r="CU60">
        <f>SUMIFS('База практик'!$EE$5:$EE$311,'База практик'!$E$5:$E$311,Расчеты!CU$1)</f>
        <v>34</v>
      </c>
      <c r="CV60">
        <f>SUMIFS('База практик'!$EE$5:$EE$311,'База практик'!$E$5:$E$311,Расчеты!CV$1)</f>
        <v>149</v>
      </c>
      <c r="CW60">
        <f>SUMIFS('База практик'!$EE$5:$EE$311,'База практик'!$E$5:$E$311,Расчеты!CW$1)</f>
        <v>29</v>
      </c>
    </row>
    <row r="61" spans="1:101" ht="54.95" customHeight="1" x14ac:dyDescent="0.25">
      <c r="A61" s="1664"/>
      <c r="B61" s="151"/>
      <c r="C61" s="1642"/>
      <c r="D61" s="115" t="s">
        <v>4831</v>
      </c>
      <c r="E61" s="115">
        <v>30</v>
      </c>
      <c r="F61" s="118" t="s">
        <v>4974</v>
      </c>
      <c r="G61" s="124" t="s">
        <v>4975</v>
      </c>
      <c r="H61" s="183" t="s">
        <v>4932</v>
      </c>
      <c r="I61" s="184" t="s">
        <v>4847</v>
      </c>
      <c r="J61" s="171"/>
      <c r="K61" s="171"/>
      <c r="L61" s="171"/>
      <c r="M61" s="171" t="s">
        <v>4844</v>
      </c>
      <c r="N61" s="171">
        <v>123816</v>
      </c>
      <c r="O61" s="172">
        <v>127749</v>
      </c>
      <c r="P61" s="433">
        <f t="shared" si="7"/>
        <v>840</v>
      </c>
      <c r="Q61">
        <f>SUMIFS('База практик'!$EH$5:$EH$311,'База практик'!$E$5:$E$311,Расчеты!Q$1)</f>
        <v>13</v>
      </c>
      <c r="R61">
        <f>SUMIFS('База практик'!$EH$5:$EH$311,'База практик'!$E$5:$E$311,Расчеты!R$1)</f>
        <v>0</v>
      </c>
      <c r="S61">
        <f>SUMIFS('База практик'!$EH$5:$EH$311,'База практик'!$E$5:$E$311,Расчеты!S$1)</f>
        <v>0</v>
      </c>
      <c r="T61">
        <f>SUMIFS('База практик'!$EH$5:$EH$311,'База практик'!$E$5:$E$311,Расчеты!T$1)</f>
        <v>0</v>
      </c>
      <c r="U61">
        <f>SUMIFS('База практик'!$EH$5:$EH$311,'База практик'!$E$5:$E$311,Расчеты!U$1)</f>
        <v>0</v>
      </c>
      <c r="V61">
        <f>SUMIFS('База практик'!$EH$5:$EH$311,'База практик'!$E$5:$E$311,Расчеты!V$1)</f>
        <v>0</v>
      </c>
      <c r="W61">
        <f>SUMIFS('База практик'!$EH$5:$EH$311,'База практик'!$E$5:$E$311,Расчеты!W$1)</f>
        <v>44</v>
      </c>
      <c r="X61">
        <f>SUMIFS('База практик'!$EH$5:$EH$311,'База практик'!$E$5:$E$311,Расчеты!X$1)</f>
        <v>0</v>
      </c>
      <c r="Y61">
        <f>SUMIFS('База практик'!$EH$5:$EH$311,'База практик'!$E$5:$E$311,Расчеты!Y$1)</f>
        <v>0</v>
      </c>
      <c r="Z61">
        <f>SUMIFS('База практик'!$EH$5:$EH$311,'База практик'!$E$5:$E$311,Расчеты!Z$1)</f>
        <v>0</v>
      </c>
      <c r="AA61">
        <f>SUMIFS('База практик'!$EH$5:$EH$311,'База практик'!$E$5:$E$311,Расчеты!AA$1)</f>
        <v>0</v>
      </c>
      <c r="AB61">
        <f>SUMIFS('База практик'!$EH$5:$EH$311,'База практик'!$E$5:$E$311,Расчеты!AB$1)</f>
        <v>0</v>
      </c>
      <c r="AC61">
        <f>SUMIFS('База практик'!$EH$5:$EH$311,'База практик'!$E$5:$E$311,Расчеты!AC$1)</f>
        <v>14</v>
      </c>
      <c r="AD61">
        <f>SUMIFS('База практик'!$EH$5:$EH$311,'База практик'!$E$5:$E$311,Расчеты!AD$1)</f>
        <v>7</v>
      </c>
      <c r="AE61">
        <f>SUMIFS('База практик'!$EH$5:$EH$311,'База практик'!$E$5:$E$311,Расчеты!AE$1)</f>
        <v>0</v>
      </c>
      <c r="AF61">
        <f>SUMIFS('База практик'!$EH$5:$EH$311,'База практик'!$E$5:$E$311,Расчеты!AF$1)</f>
        <v>0</v>
      </c>
      <c r="AG61">
        <f>SUMIFS('База практик'!$EH$5:$EH$311,'База практик'!$E$5:$E$311,Расчеты!AG$1)</f>
        <v>0</v>
      </c>
      <c r="AH61">
        <f>SUMIFS('База практик'!$EH$5:$EH$311,'База практик'!$E$5:$E$311,Расчеты!AH$1)</f>
        <v>0</v>
      </c>
      <c r="AI61">
        <f>SUMIFS('База практик'!$EH$5:$EH$311,'База практик'!$E$5:$E$311,Расчеты!AI$1)</f>
        <v>0</v>
      </c>
      <c r="AJ61">
        <f>SUMIFS('База практик'!$EH$5:$EH$311,'База практик'!$E$5:$E$311,Расчеты!AJ$1)</f>
        <v>0</v>
      </c>
      <c r="AK61">
        <f>SUMIFS('База практик'!$EH$5:$EH$311,'База практик'!$E$5:$E$311,Расчеты!AK$1)</f>
        <v>0</v>
      </c>
      <c r="AL61">
        <f>SUMIFS('База практик'!$EH$5:$EH$311,'База практик'!$E$5:$E$311,Расчеты!AL$1)</f>
        <v>14</v>
      </c>
      <c r="AM61">
        <f>SUMIFS('База практик'!$EH$5:$EH$311,'База практик'!$E$5:$E$311,Расчеты!AM$1)</f>
        <v>0</v>
      </c>
      <c r="AN61">
        <f>SUMIFS('База практик'!$EH$5:$EH$311,'База практик'!$E$5:$E$311,Расчеты!AN$1)</f>
        <v>0</v>
      </c>
      <c r="AO61">
        <f>SUMIFS('База практик'!$EH$5:$EH$311,'База практик'!$E$5:$E$311,Расчеты!AO$1)</f>
        <v>0</v>
      </c>
      <c r="AP61">
        <f>SUMIFS('База практик'!$EH$5:$EH$311,'База практик'!$E$5:$E$311,Расчеты!AP$1)</f>
        <v>0</v>
      </c>
      <c r="AQ61">
        <f>SUMIFS('База практик'!$EH$5:$EH$311,'База практик'!$E$5:$E$311,Расчеты!AQ$1)</f>
        <v>0</v>
      </c>
      <c r="AR61">
        <f>SUMIFS('База практик'!$EH$5:$EH$311,'База практик'!$E$5:$E$311,Расчеты!AR$1)</f>
        <v>0</v>
      </c>
      <c r="AS61">
        <f>SUMIFS('База практик'!$EH$5:$EH$311,'База практик'!$E$5:$E$311,Расчеты!AS$1)</f>
        <v>0</v>
      </c>
      <c r="AT61">
        <f>SUMIFS('База практик'!$EH$5:$EH$311,'База практик'!$E$5:$E$311,Расчеты!AT$1)</f>
        <v>0</v>
      </c>
      <c r="AU61">
        <f>SUMIFS('База практик'!$EH$5:$EH$311,'База практик'!$E$5:$E$311,Расчеты!AU$1)</f>
        <v>0</v>
      </c>
      <c r="AV61">
        <f>SUMIFS('База практик'!$EH$5:$EH$311,'База практик'!$E$5:$E$311,Расчеты!AV$1)</f>
        <v>0</v>
      </c>
      <c r="AW61">
        <f>SUMIFS('База практик'!$EH$5:$EH$311,'База практик'!$E$5:$E$311,Расчеты!AW$1)</f>
        <v>0</v>
      </c>
      <c r="AX61">
        <f>SUMIFS('База практик'!$EH$5:$EH$311,'База практик'!$E$5:$E$311,Расчеты!AX$1)</f>
        <v>0</v>
      </c>
      <c r="AY61">
        <f>SUMIFS('База практик'!$EH$5:$EH$311,'База практик'!$E$5:$E$311,Расчеты!AY$1)</f>
        <v>0</v>
      </c>
      <c r="AZ61">
        <f>SUMIFS('База практик'!$EH$5:$EH$311,'База практик'!$E$5:$E$311,Расчеты!AZ$1)</f>
        <v>15</v>
      </c>
      <c r="BA61">
        <f>SUMIFS('База практик'!$EH$5:$EH$311,'База практик'!$E$5:$E$311,Расчеты!BA$1)</f>
        <v>0</v>
      </c>
      <c r="BB61">
        <f>SUMIFS('База практик'!$EH$5:$EH$311,'База практик'!$E$5:$E$311,Расчеты!BB$1)</f>
        <v>0</v>
      </c>
      <c r="BC61">
        <f>SUMIFS('База практик'!$EH$5:$EH$311,'База практик'!$E$5:$E$311,Расчеты!BC$1)</f>
        <v>0</v>
      </c>
      <c r="BD61">
        <f>SUMIFS('База практик'!$EH$5:$EH$311,'База практик'!$E$5:$E$311,Расчеты!BD$1)</f>
        <v>0</v>
      </c>
      <c r="BE61">
        <f>SUMIFS('База практик'!$EH$5:$EH$311,'База практик'!$E$5:$E$311,Расчеты!BE$1)</f>
        <v>0</v>
      </c>
      <c r="BF61">
        <f>SUMIFS('База практик'!$EH$5:$EH$311,'База практик'!$E$5:$E$311,Расчеты!BF$1)</f>
        <v>0</v>
      </c>
      <c r="BG61">
        <f>SUMIFS('База практик'!$EH$5:$EH$311,'База практик'!$E$5:$E$311,Расчеты!BG$1)</f>
        <v>13</v>
      </c>
      <c r="BH61">
        <f>SUMIFS('База практик'!$EH$5:$EH$311,'База практик'!$E$5:$E$311,Расчеты!BH$1)</f>
        <v>11</v>
      </c>
      <c r="BI61">
        <f>SUMIFS('База практик'!$EH$5:$EH$311,'База практик'!$E$5:$E$311,Расчеты!BI$1)</f>
        <v>0</v>
      </c>
      <c r="BJ61">
        <f>SUMIFS('База практик'!$EH$5:$EH$311,'База практик'!$E$5:$E$311,Расчеты!BJ$1)</f>
        <v>10</v>
      </c>
      <c r="BK61">
        <f>SUMIFS('База практик'!$EH$5:$EH$311,'База практик'!$E$5:$E$311,Расчеты!BK$1)</f>
        <v>36</v>
      </c>
      <c r="BL61">
        <f>SUMIFS('База практик'!$EH$5:$EH$311,'База практик'!$E$5:$E$311,Расчеты!BL$1)</f>
        <v>0</v>
      </c>
      <c r="BM61">
        <f>SUMIFS('База практик'!$EH$5:$EH$311,'База практик'!$E$5:$E$311,Расчеты!BM$1)</f>
        <v>0</v>
      </c>
      <c r="BN61">
        <f>SUMIFS('База практик'!$EH$5:$EH$311,'База практик'!$E$5:$E$311,Расчеты!BN$1)</f>
        <v>15</v>
      </c>
      <c r="BO61">
        <f>SUMIFS('База практик'!$EH$5:$EH$311,'База практик'!$E$5:$E$311,Расчеты!BO$1)</f>
        <v>0</v>
      </c>
      <c r="BP61">
        <f>SUMIFS('База практик'!$EH$5:$EH$311,'База практик'!$E$5:$E$311,Расчеты!BP$1)</f>
        <v>0</v>
      </c>
      <c r="BQ61">
        <f>SUMIFS('База практик'!$EH$5:$EH$311,'База практик'!$E$5:$E$311,Расчеты!BQ$1)</f>
        <v>11</v>
      </c>
      <c r="BR61">
        <f>SUMIFS('База практик'!$EH$5:$EH$311,'База практик'!$E$5:$E$311,Расчеты!BR$1)</f>
        <v>0</v>
      </c>
      <c r="BS61">
        <f>SUMIFS('База практик'!$EH$5:$EH$311,'База практик'!$E$5:$E$311,Расчеты!BS$1)</f>
        <v>7</v>
      </c>
      <c r="BT61">
        <f>SUMIFS('База практик'!$EH$5:$EH$311,'База практик'!$E$5:$E$311,Расчеты!BT$1)</f>
        <v>0</v>
      </c>
      <c r="BU61">
        <f>SUMIFS('База практик'!$EH$5:$EH$311,'База практик'!$E$5:$E$311,Расчеты!BU$1)</f>
        <v>8</v>
      </c>
      <c r="BV61">
        <f>SUMIFS('База практик'!$EH$5:$EH$311,'База практик'!$E$5:$E$311,Расчеты!BV$1)</f>
        <v>33</v>
      </c>
      <c r="BW61">
        <f>SUMIFS('База практик'!$EH$5:$EH$311,'База практик'!$E$5:$E$311,Расчеты!BW$1)</f>
        <v>0</v>
      </c>
      <c r="BX61">
        <f>SUMIFS('База практик'!$EH$5:$EH$311,'База практик'!$E$5:$E$311,Расчеты!BX$1)</f>
        <v>0</v>
      </c>
      <c r="BY61">
        <f>SUMIFS('База практик'!$EH$5:$EH$311,'База практик'!$E$5:$E$311,Расчеты!BY$1)</f>
        <v>0</v>
      </c>
      <c r="BZ61">
        <f>SUMIFS('База практик'!$EH$5:$EH$311,'База практик'!$E$5:$E$311,Расчеты!BZ$1)</f>
        <v>0</v>
      </c>
      <c r="CA61">
        <f>SUMIFS('База практик'!$EH$5:$EH$311,'База практик'!$E$5:$E$311,Расчеты!CA$1)</f>
        <v>17</v>
      </c>
      <c r="CB61">
        <f>SUMIFS('База практик'!$EH$5:$EH$311,'База практик'!$E$5:$E$311,Расчеты!CB$1)</f>
        <v>0</v>
      </c>
      <c r="CC61">
        <f>SUMIFS('База практик'!$EH$5:$EH$311,'База практик'!$E$5:$E$311,Расчеты!CC$1)</f>
        <v>0</v>
      </c>
      <c r="CD61">
        <f>SUMIFS('База практик'!$EH$5:$EH$311,'База практик'!$E$5:$E$311,Расчеты!CD$1)</f>
        <v>7</v>
      </c>
      <c r="CE61">
        <f>SUMIFS('База практик'!$EH$5:$EH$311,'База практик'!$E$5:$E$311,Расчеты!CE$1)</f>
        <v>0</v>
      </c>
      <c r="CF61">
        <f>SUMIFS('База практик'!$EH$5:$EH$311,'База практик'!$E$5:$E$311,Расчеты!CF$1)</f>
        <v>0</v>
      </c>
      <c r="CG61">
        <f>SUMIFS('База практик'!$EH$5:$EH$311,'База практик'!$E$5:$E$311,Расчеты!CG$1)</f>
        <v>0</v>
      </c>
      <c r="CH61">
        <f>SUMIFS('База практик'!$EH$5:$EH$311,'База практик'!$E$5:$E$311,Расчеты!CH$1)</f>
        <v>0</v>
      </c>
      <c r="CI61">
        <f>SUMIFS('База практик'!$EH$5:$EH$311,'База практик'!$E$5:$E$311,Расчеты!CI$1)</f>
        <v>0</v>
      </c>
      <c r="CJ61">
        <f>SUMIFS('База практик'!$EH$5:$EH$311,'База практик'!$E$5:$E$311,Расчеты!CJ$1)</f>
        <v>16</v>
      </c>
      <c r="CK61">
        <f>SUMIFS('База практик'!$EH$5:$EH$311,'База практик'!$E$5:$E$311,Расчеты!CK$1)</f>
        <v>0</v>
      </c>
      <c r="CL61">
        <f>SUMIFS('База практик'!$EH$5:$EH$311,'База практик'!$E$5:$E$311,Расчеты!CL$1)</f>
        <v>0</v>
      </c>
      <c r="CM61">
        <f>SUMIFS('База практик'!$EH$5:$EH$311,'База практик'!$E$5:$E$311,Расчеты!CM$1)</f>
        <v>46</v>
      </c>
      <c r="CN61">
        <f>SUMIFS('База практик'!$EH$5:$EH$311,'База практик'!$E$5:$E$311,Расчеты!CN$1)</f>
        <v>3</v>
      </c>
      <c r="CO61">
        <f>SUMIFS('База практик'!$EH$5:$EH$311,'База практик'!$E$5:$E$311,Расчеты!CO$1)</f>
        <v>15</v>
      </c>
      <c r="CP61">
        <f>SUMIFS('База практик'!$EH$5:$EH$311,'База практик'!$E$5:$E$311,Расчеты!CP$1)</f>
        <v>0</v>
      </c>
      <c r="CQ61">
        <f>SUMIFS('База практик'!$EH$5:$EH$311,'База практик'!$E$5:$E$311,Расчеты!CQ$1)</f>
        <v>344</v>
      </c>
      <c r="CR61">
        <f>SUMIFS('База практик'!$EH$5:$EH$311,'База практик'!$E$5:$E$311,Расчеты!CR$1)</f>
        <v>0</v>
      </c>
      <c r="CS61">
        <f>SUMIFS('База практик'!$EH$5:$EH$311,'База практик'!$E$5:$E$311,Расчеты!CS$1)</f>
        <v>0</v>
      </c>
      <c r="CT61">
        <f>SUMIFS('База практик'!$EH$5:$EH$311,'База практик'!$E$5:$E$311,Расчеты!CT$1)</f>
        <v>15</v>
      </c>
      <c r="CU61">
        <f>SUMIFS('База практик'!$EH$5:$EH$311,'База практик'!$E$5:$E$311,Расчеты!CU$1)</f>
        <v>10</v>
      </c>
      <c r="CV61">
        <f>SUMIFS('База практик'!$EH$5:$EH$311,'База практик'!$E$5:$E$311,Расчеты!CV$1)</f>
        <v>80</v>
      </c>
      <c r="CW61">
        <f>SUMIFS('База практик'!$EH$5:$EH$311,'База практик'!$E$5:$E$311,Расчеты!CW$1)</f>
        <v>36</v>
      </c>
    </row>
    <row r="62" spans="1:101" ht="51" x14ac:dyDescent="0.25">
      <c r="A62" s="1664"/>
      <c r="B62" s="151"/>
      <c r="C62" s="1642"/>
      <c r="D62" s="115" t="s">
        <v>4831</v>
      </c>
      <c r="E62" s="115">
        <v>31</v>
      </c>
      <c r="F62" s="118" t="s">
        <v>4976</v>
      </c>
      <c r="G62" s="124" t="s">
        <v>4977</v>
      </c>
      <c r="H62" s="183" t="s">
        <v>4932</v>
      </c>
      <c r="I62" s="184" t="s">
        <v>4847</v>
      </c>
      <c r="J62" s="171"/>
      <c r="K62" s="171"/>
      <c r="L62" s="171"/>
      <c r="M62" s="171" t="s">
        <v>4844</v>
      </c>
      <c r="N62" s="171">
        <v>1545240</v>
      </c>
      <c r="O62" s="172">
        <v>524824</v>
      </c>
      <c r="P62" s="433">
        <f t="shared" si="7"/>
        <v>642817</v>
      </c>
      <c r="Q62">
        <f>SUMIFS('База практик'!$EK$5:$EK$311,'База практик'!$E$5:$E$311,Расчеты!Q$1)</f>
        <v>0</v>
      </c>
      <c r="R62">
        <f>SUMIFS('База практик'!$EK$5:$EK$311,'База практик'!$E$5:$E$311,Расчеты!R$1)</f>
        <v>0</v>
      </c>
      <c r="S62">
        <f>SUMIFS('База практик'!$EK$5:$EK$311,'База практик'!$E$5:$E$311,Расчеты!S$1)</f>
        <v>1476</v>
      </c>
      <c r="T62">
        <f>SUMIFS('База практик'!$EK$5:$EK$311,'База практик'!$E$5:$E$311,Расчеты!T$1)</f>
        <v>0</v>
      </c>
      <c r="U62">
        <f>SUMIFS('База практик'!$EK$5:$EK$311,'База практик'!$E$5:$E$311,Расчеты!U$1)</f>
        <v>0</v>
      </c>
      <c r="V62">
        <f>SUMIFS('База практик'!$EK$5:$EK$311,'База практик'!$E$5:$E$311,Расчеты!V$1)</f>
        <v>0</v>
      </c>
      <c r="W62">
        <f>SUMIFS('База практик'!$EK$5:$EK$311,'База практик'!$E$5:$E$311,Расчеты!W$1)</f>
        <v>0</v>
      </c>
      <c r="X62">
        <f>SUMIFS('База практик'!$EK$5:$EK$311,'База практик'!$E$5:$E$311,Расчеты!X$1)</f>
        <v>0</v>
      </c>
      <c r="Y62">
        <f>SUMIFS('База практик'!$EK$5:$EK$311,'База практик'!$E$5:$E$311,Расчеты!Y$1)</f>
        <v>0</v>
      </c>
      <c r="Z62">
        <f>SUMIFS('База практик'!$EK$5:$EK$311,'База практик'!$E$5:$E$311,Расчеты!Z$1)</f>
        <v>0</v>
      </c>
      <c r="AA62">
        <f>SUMIFS('База практик'!$EK$5:$EK$311,'База практик'!$E$5:$E$311,Расчеты!AA$1)</f>
        <v>10489</v>
      </c>
      <c r="AB62">
        <f>SUMIFS('База практик'!$EK$5:$EK$311,'База практик'!$E$5:$E$311,Расчеты!AB$1)</f>
        <v>0</v>
      </c>
      <c r="AC62">
        <f>SUMIFS('База практик'!$EK$5:$EK$311,'База практик'!$E$5:$E$311,Расчеты!AC$1)</f>
        <v>0</v>
      </c>
      <c r="AD62">
        <f>SUMIFS('База практик'!$EK$5:$EK$311,'База практик'!$E$5:$E$311,Расчеты!AD$1)</f>
        <v>12</v>
      </c>
      <c r="AE62">
        <f>SUMIFS('База практик'!$EK$5:$EK$311,'База практик'!$E$5:$E$311,Расчеты!AE$1)</f>
        <v>0</v>
      </c>
      <c r="AF62">
        <f>SUMIFS('База практик'!$EK$5:$EK$311,'База практик'!$E$5:$E$311,Расчеты!AF$1)</f>
        <v>0</v>
      </c>
      <c r="AG62">
        <f>SUMIFS('База практик'!$EK$5:$EK$311,'База практик'!$E$5:$E$311,Расчеты!AG$1)</f>
        <v>0</v>
      </c>
      <c r="AH62">
        <f>SUMIFS('База практик'!$EK$5:$EK$311,'База практик'!$E$5:$E$311,Расчеты!AH$1)</f>
        <v>0</v>
      </c>
      <c r="AI62">
        <f>SUMIFS('База практик'!$EK$5:$EK$311,'База практик'!$E$5:$E$311,Расчеты!AI$1)</f>
        <v>0</v>
      </c>
      <c r="AJ62">
        <f>SUMIFS('База практик'!$EK$5:$EK$311,'База практик'!$E$5:$E$311,Расчеты!AJ$1)</f>
        <v>0</v>
      </c>
      <c r="AK62">
        <f>SUMIFS('База практик'!$EK$5:$EK$311,'База практик'!$E$5:$E$311,Расчеты!AK$1)</f>
        <v>0</v>
      </c>
      <c r="AL62">
        <f>SUMIFS('База практик'!$EK$5:$EK$311,'База практик'!$E$5:$E$311,Расчеты!AL$1)</f>
        <v>0</v>
      </c>
      <c r="AM62">
        <f>SUMIFS('База практик'!$EK$5:$EK$311,'База практик'!$E$5:$E$311,Расчеты!AM$1)</f>
        <v>0</v>
      </c>
      <c r="AN62">
        <f>SUMIFS('База практик'!$EK$5:$EK$311,'База практик'!$E$5:$E$311,Расчеты!AN$1)</f>
        <v>0</v>
      </c>
      <c r="AO62">
        <f>SUMIFS('База практик'!$EK$5:$EK$311,'База практик'!$E$5:$E$311,Расчеты!AO$1)</f>
        <v>0</v>
      </c>
      <c r="AP62">
        <f>SUMIFS('База практик'!$EK$5:$EK$311,'База практик'!$E$5:$E$311,Расчеты!AP$1)</f>
        <v>0</v>
      </c>
      <c r="AQ62">
        <f>SUMIFS('База практик'!$EK$5:$EK$311,'База практик'!$E$5:$E$311,Расчеты!AQ$1)</f>
        <v>0</v>
      </c>
      <c r="AR62">
        <f>SUMIFS('База практик'!$EK$5:$EK$311,'База практик'!$E$5:$E$311,Расчеты!AR$1)</f>
        <v>0</v>
      </c>
      <c r="AS62">
        <f>SUMIFS('База практик'!$EK$5:$EK$311,'База практик'!$E$5:$E$311,Расчеты!AS$1)</f>
        <v>0</v>
      </c>
      <c r="AT62">
        <f>SUMIFS('База практик'!$EK$5:$EK$311,'База практик'!$E$5:$E$311,Расчеты!AT$1)</f>
        <v>0</v>
      </c>
      <c r="AU62">
        <f>SUMIFS('База практик'!$EK$5:$EK$311,'База практик'!$E$5:$E$311,Расчеты!AU$1)</f>
        <v>0</v>
      </c>
      <c r="AV62">
        <f>SUMIFS('База практик'!$EK$5:$EK$311,'База практик'!$E$5:$E$311,Расчеты!AV$1)</f>
        <v>0</v>
      </c>
      <c r="AW62">
        <f>SUMIFS('База практик'!$EK$5:$EK$311,'База практик'!$E$5:$E$311,Расчеты!AW$1)</f>
        <v>0</v>
      </c>
      <c r="AX62">
        <f>SUMIFS('База практик'!$EK$5:$EK$311,'База практик'!$E$5:$E$311,Расчеты!AX$1)</f>
        <v>0</v>
      </c>
      <c r="AY62">
        <f>SUMIFS('База практик'!$EK$5:$EK$311,'База практик'!$E$5:$E$311,Расчеты!AY$1)</f>
        <v>0</v>
      </c>
      <c r="AZ62">
        <f>SUMIFS('База практик'!$EK$5:$EK$311,'База практик'!$E$5:$E$311,Расчеты!AZ$1)</f>
        <v>0</v>
      </c>
      <c r="BA62">
        <f>SUMIFS('База практик'!$EK$5:$EK$311,'База практик'!$E$5:$E$311,Расчеты!BA$1)</f>
        <v>0</v>
      </c>
      <c r="BB62">
        <f>SUMIFS('База практик'!$EK$5:$EK$311,'База практик'!$E$5:$E$311,Расчеты!BB$1)</f>
        <v>0</v>
      </c>
      <c r="BC62">
        <f>SUMIFS('База практик'!$EK$5:$EK$311,'База практик'!$E$5:$E$311,Расчеты!BC$1)</f>
        <v>0</v>
      </c>
      <c r="BD62">
        <f>SUMIFS('База практик'!$EK$5:$EK$311,'База практик'!$E$5:$E$311,Расчеты!BD$1)</f>
        <v>17723</v>
      </c>
      <c r="BE62">
        <f>SUMIFS('База практик'!$EK$5:$EK$311,'База практик'!$E$5:$E$311,Расчеты!BE$1)</f>
        <v>0</v>
      </c>
      <c r="BF62">
        <f>SUMIFS('База практик'!$EK$5:$EK$311,'База практик'!$E$5:$E$311,Расчеты!BF$1)</f>
        <v>0</v>
      </c>
      <c r="BG62">
        <f>SUMIFS('База практик'!$EK$5:$EK$311,'База практик'!$E$5:$E$311,Расчеты!BG$1)</f>
        <v>0</v>
      </c>
      <c r="BH62">
        <f>SUMIFS('База практик'!$EK$5:$EK$311,'База практик'!$E$5:$E$311,Расчеты!BH$1)</f>
        <v>0</v>
      </c>
      <c r="BI62">
        <f>SUMIFS('База практик'!$EK$5:$EK$311,'База практик'!$E$5:$E$311,Расчеты!BI$1)</f>
        <v>0</v>
      </c>
      <c r="BJ62">
        <f>SUMIFS('База практик'!$EK$5:$EK$311,'База практик'!$E$5:$E$311,Расчеты!BJ$1)</f>
        <v>0</v>
      </c>
      <c r="BK62">
        <f>SUMIFS('База практик'!$EK$5:$EK$311,'База практик'!$E$5:$E$311,Расчеты!BK$1)</f>
        <v>67</v>
      </c>
      <c r="BL62">
        <f>SUMIFS('База практик'!$EK$5:$EK$311,'База практик'!$E$5:$E$311,Расчеты!BL$1)</f>
        <v>0</v>
      </c>
      <c r="BM62">
        <f>SUMIFS('База практик'!$EK$5:$EK$311,'База практик'!$E$5:$E$311,Расчеты!BM$1)</f>
        <v>0</v>
      </c>
      <c r="BN62">
        <f>SUMIFS('База практик'!$EK$5:$EK$311,'База практик'!$E$5:$E$311,Расчеты!BN$1)</f>
        <v>0</v>
      </c>
      <c r="BO62">
        <f>SUMIFS('База практик'!$EK$5:$EK$311,'База практик'!$E$5:$E$311,Расчеты!BO$1)</f>
        <v>0</v>
      </c>
      <c r="BP62">
        <f>SUMIFS('База практик'!$EK$5:$EK$311,'База практик'!$E$5:$E$311,Расчеты!BP$1)</f>
        <v>22</v>
      </c>
      <c r="BQ62">
        <f>SUMIFS('База практик'!$EK$5:$EK$311,'База практик'!$E$5:$E$311,Расчеты!BQ$1)</f>
        <v>0</v>
      </c>
      <c r="BR62">
        <f>SUMIFS('База практик'!$EK$5:$EK$311,'База практик'!$E$5:$E$311,Расчеты!BR$1)</f>
        <v>0</v>
      </c>
      <c r="BS62">
        <f>SUMIFS('База практик'!$EK$5:$EK$311,'База практик'!$E$5:$E$311,Расчеты!BS$1)</f>
        <v>0</v>
      </c>
      <c r="BT62">
        <f>SUMIFS('База практик'!$EK$5:$EK$311,'База практик'!$E$5:$E$311,Расчеты!BT$1)</f>
        <v>0</v>
      </c>
      <c r="BU62">
        <f>SUMIFS('База практик'!$EK$5:$EK$311,'База практик'!$E$5:$E$311,Расчеты!BU$1)</f>
        <v>0</v>
      </c>
      <c r="BV62">
        <f>SUMIFS('База практик'!$EK$5:$EK$311,'База практик'!$E$5:$E$311,Расчеты!BV$1)</f>
        <v>4206</v>
      </c>
      <c r="BW62">
        <f>SUMIFS('База практик'!$EK$5:$EK$311,'База практик'!$E$5:$E$311,Расчеты!BW$1)</f>
        <v>2889</v>
      </c>
      <c r="BX62">
        <f>SUMIFS('База практик'!$EK$5:$EK$311,'База практик'!$E$5:$E$311,Расчеты!BX$1)</f>
        <v>0</v>
      </c>
      <c r="BY62">
        <f>SUMIFS('База практик'!$EK$5:$EK$311,'База практик'!$E$5:$E$311,Расчеты!BY$1)</f>
        <v>0</v>
      </c>
      <c r="BZ62">
        <f>SUMIFS('База практик'!$EK$5:$EK$311,'База практик'!$E$5:$E$311,Расчеты!BZ$1)</f>
        <v>8607</v>
      </c>
      <c r="CA62">
        <f>SUMIFS('База практик'!$EK$5:$EK$311,'База практик'!$E$5:$E$311,Расчеты!CA$1)</f>
        <v>596180</v>
      </c>
      <c r="CB62">
        <f>SUMIFS('База практик'!$EK$5:$EK$311,'База практик'!$E$5:$E$311,Расчеты!CB$1)</f>
        <v>0</v>
      </c>
      <c r="CC62">
        <f>SUMIFS('База практик'!$EK$5:$EK$311,'База практик'!$E$5:$E$311,Расчеты!CC$1)</f>
        <v>0</v>
      </c>
      <c r="CD62">
        <f>SUMIFS('База практик'!$EK$5:$EK$311,'База практик'!$E$5:$E$311,Расчеты!CD$1)</f>
        <v>0</v>
      </c>
      <c r="CE62">
        <f>SUMIFS('База практик'!$EK$5:$EK$311,'База практик'!$E$5:$E$311,Расчеты!CE$1)</f>
        <v>0</v>
      </c>
      <c r="CF62">
        <f>SUMIFS('База практик'!$EK$5:$EK$311,'База практик'!$E$5:$E$311,Расчеты!CF$1)</f>
        <v>0</v>
      </c>
      <c r="CG62">
        <f>SUMIFS('База практик'!$EK$5:$EK$311,'База практик'!$E$5:$E$311,Расчеты!CG$1)</f>
        <v>35</v>
      </c>
      <c r="CH62">
        <f>SUMIFS('База практик'!$EK$5:$EK$311,'База практик'!$E$5:$E$311,Расчеты!CH$1)</f>
        <v>0</v>
      </c>
      <c r="CI62">
        <f>SUMIFS('База практик'!$EK$5:$EK$311,'База практик'!$E$5:$E$311,Расчеты!CI$1)</f>
        <v>0</v>
      </c>
      <c r="CJ62">
        <f>SUMIFS('База практик'!$EK$5:$EK$311,'База практик'!$E$5:$E$311,Расчеты!CJ$1)</f>
        <v>0</v>
      </c>
      <c r="CK62">
        <f>SUMIFS('База практик'!$EK$5:$EK$311,'База практик'!$E$5:$E$311,Расчеты!CK$1)</f>
        <v>0</v>
      </c>
      <c r="CL62">
        <f>SUMIFS('База практик'!$EK$5:$EK$311,'База практик'!$E$5:$E$311,Расчеты!CL$1)</f>
        <v>0</v>
      </c>
      <c r="CM62">
        <f>SUMIFS('База практик'!$EK$5:$EK$311,'База практик'!$E$5:$E$311,Расчеты!CM$1)</f>
        <v>1049</v>
      </c>
      <c r="CN62">
        <f>SUMIFS('База практик'!$EK$5:$EK$311,'База практик'!$E$5:$E$311,Расчеты!CN$1)</f>
        <v>0</v>
      </c>
      <c r="CO62">
        <f>SUMIFS('База практик'!$EK$5:$EK$311,'База практик'!$E$5:$E$311,Расчеты!CO$1)</f>
        <v>0</v>
      </c>
      <c r="CP62">
        <f>SUMIFS('База практик'!$EK$5:$EK$311,'База практик'!$E$5:$E$311,Расчеты!CP$1)</f>
        <v>0</v>
      </c>
      <c r="CQ62">
        <f>SUMIFS('База практик'!$EK$5:$EK$311,'База практик'!$E$5:$E$311,Расчеты!CQ$1)</f>
        <v>0</v>
      </c>
      <c r="CR62">
        <f>SUMIFS('База практик'!$EK$5:$EK$311,'База практик'!$E$5:$E$311,Расчеты!CR$1)</f>
        <v>0</v>
      </c>
      <c r="CS62">
        <f>SUMIFS('База практик'!$EK$5:$EK$311,'База практик'!$E$5:$E$311,Расчеты!CS$1)</f>
        <v>0</v>
      </c>
      <c r="CT62">
        <f>SUMIFS('База практик'!$EK$5:$EK$311,'База практик'!$E$5:$E$311,Расчеты!CT$1)</f>
        <v>0</v>
      </c>
      <c r="CU62">
        <f>SUMIFS('База практик'!$EK$5:$EK$311,'База практик'!$E$5:$E$311,Расчеты!CU$1)</f>
        <v>0</v>
      </c>
      <c r="CV62">
        <f>SUMIFS('База практик'!$EK$5:$EK$311,'База практик'!$E$5:$E$311,Расчеты!CV$1)</f>
        <v>62</v>
      </c>
      <c r="CW62">
        <f>SUMIFS('База практик'!$EK$5:$EK$311,'База практик'!$E$5:$E$311,Расчеты!CW$1)</f>
        <v>0</v>
      </c>
    </row>
    <row r="63" spans="1:101" ht="51.75" thickBot="1" x14ac:dyDescent="0.3">
      <c r="A63" s="1665"/>
      <c r="B63" s="134" t="s">
        <v>4829</v>
      </c>
      <c r="C63" s="1656"/>
      <c r="D63" s="119" t="s">
        <v>4831</v>
      </c>
      <c r="E63" s="119">
        <v>32</v>
      </c>
      <c r="F63" s="120" t="s">
        <v>4978</v>
      </c>
      <c r="G63" s="126" t="s">
        <v>4979</v>
      </c>
      <c r="H63" s="193" t="s">
        <v>4932</v>
      </c>
      <c r="I63" s="194" t="s">
        <v>4838</v>
      </c>
      <c r="J63" s="171"/>
      <c r="K63" s="171"/>
      <c r="L63" s="171"/>
      <c r="M63" s="171" t="s">
        <v>4844</v>
      </c>
      <c r="N63" s="171">
        <v>4816875</v>
      </c>
      <c r="O63" s="172">
        <v>3100940.6</v>
      </c>
      <c r="P63" s="433">
        <f>SUM(P55:P62)</f>
        <v>3638095.1</v>
      </c>
      <c r="Q63" s="433">
        <f t="shared" ref="Q63:CB63" si="8">SUM(Q55:Q62)</f>
        <v>13</v>
      </c>
      <c r="R63" s="433">
        <f t="shared" si="8"/>
        <v>33</v>
      </c>
      <c r="S63" s="433">
        <f t="shared" si="8"/>
        <v>25639</v>
      </c>
      <c r="T63" s="433">
        <f t="shared" si="8"/>
        <v>12845</v>
      </c>
      <c r="U63" s="433">
        <f t="shared" si="8"/>
        <v>35531</v>
      </c>
      <c r="V63" s="433">
        <f t="shared" si="8"/>
        <v>257</v>
      </c>
      <c r="W63" s="433">
        <f t="shared" si="8"/>
        <v>116540</v>
      </c>
      <c r="X63" s="433">
        <f t="shared" si="8"/>
        <v>0</v>
      </c>
      <c r="Y63" s="433">
        <f t="shared" si="8"/>
        <v>25000</v>
      </c>
      <c r="Z63" s="433">
        <f t="shared" si="8"/>
        <v>12</v>
      </c>
      <c r="AA63" s="433">
        <f t="shared" si="8"/>
        <v>57786</v>
      </c>
      <c r="AB63" s="433">
        <f t="shared" si="8"/>
        <v>207308</v>
      </c>
      <c r="AC63" s="433">
        <f t="shared" si="8"/>
        <v>14</v>
      </c>
      <c r="AD63" s="433">
        <f t="shared" si="8"/>
        <v>92294</v>
      </c>
      <c r="AE63" s="433">
        <f t="shared" si="8"/>
        <v>117839</v>
      </c>
      <c r="AF63" s="433">
        <f t="shared" si="8"/>
        <v>0</v>
      </c>
      <c r="AG63" s="433">
        <f t="shared" si="8"/>
        <v>2636</v>
      </c>
      <c r="AH63" s="433">
        <f t="shared" si="8"/>
        <v>15717</v>
      </c>
      <c r="AI63" s="433">
        <f t="shared" si="8"/>
        <v>151</v>
      </c>
      <c r="AJ63" s="433">
        <f t="shared" si="8"/>
        <v>0</v>
      </c>
      <c r="AK63" s="433">
        <f t="shared" si="8"/>
        <v>0</v>
      </c>
      <c r="AL63" s="433">
        <f t="shared" si="8"/>
        <v>5150</v>
      </c>
      <c r="AM63" s="433">
        <f t="shared" si="8"/>
        <v>15115</v>
      </c>
      <c r="AN63" s="433">
        <f t="shared" si="8"/>
        <v>14491</v>
      </c>
      <c r="AO63" s="433">
        <f t="shared" si="8"/>
        <v>0</v>
      </c>
      <c r="AP63" s="433">
        <f t="shared" si="8"/>
        <v>0</v>
      </c>
      <c r="AQ63" s="433">
        <f t="shared" si="8"/>
        <v>40013</v>
      </c>
      <c r="AR63" s="433">
        <f t="shared" si="8"/>
        <v>15006</v>
      </c>
      <c r="AS63" s="433">
        <f t="shared" si="8"/>
        <v>18</v>
      </c>
      <c r="AT63" s="433">
        <f t="shared" si="8"/>
        <v>19353</v>
      </c>
      <c r="AU63" s="433">
        <f t="shared" si="8"/>
        <v>77275</v>
      </c>
      <c r="AV63" s="433">
        <f t="shared" si="8"/>
        <v>7410</v>
      </c>
      <c r="AW63" s="433">
        <f t="shared" si="8"/>
        <v>15952</v>
      </c>
      <c r="AX63" s="433">
        <f t="shared" si="8"/>
        <v>121150</v>
      </c>
      <c r="AY63" s="433">
        <f t="shared" si="8"/>
        <v>0</v>
      </c>
      <c r="AZ63" s="433">
        <f t="shared" si="8"/>
        <v>15</v>
      </c>
      <c r="BA63" s="433">
        <f t="shared" si="8"/>
        <v>15371</v>
      </c>
      <c r="BB63" s="433">
        <f t="shared" si="8"/>
        <v>249</v>
      </c>
      <c r="BC63" s="433">
        <f t="shared" si="8"/>
        <v>0</v>
      </c>
      <c r="BD63" s="433">
        <f t="shared" si="8"/>
        <v>28370</v>
      </c>
      <c r="BE63" s="433">
        <f t="shared" si="8"/>
        <v>0</v>
      </c>
      <c r="BF63" s="433">
        <f t="shared" si="8"/>
        <v>0</v>
      </c>
      <c r="BG63" s="433">
        <f t="shared" si="8"/>
        <v>216127</v>
      </c>
      <c r="BH63" s="433">
        <f t="shared" si="8"/>
        <v>11</v>
      </c>
      <c r="BI63" s="433">
        <f t="shared" si="8"/>
        <v>493</v>
      </c>
      <c r="BJ63" s="433">
        <f t="shared" si="8"/>
        <v>160961</v>
      </c>
      <c r="BK63" s="433">
        <f t="shared" si="8"/>
        <v>34306.1</v>
      </c>
      <c r="BL63" s="433">
        <f t="shared" si="8"/>
        <v>23300</v>
      </c>
      <c r="BM63" s="433">
        <f t="shared" si="8"/>
        <v>16129</v>
      </c>
      <c r="BN63" s="433">
        <f t="shared" si="8"/>
        <v>20600</v>
      </c>
      <c r="BO63" s="433">
        <f t="shared" si="8"/>
        <v>2719</v>
      </c>
      <c r="BP63" s="433">
        <f t="shared" si="8"/>
        <v>22</v>
      </c>
      <c r="BQ63" s="433">
        <f t="shared" si="8"/>
        <v>11</v>
      </c>
      <c r="BR63" s="433">
        <f t="shared" si="8"/>
        <v>0</v>
      </c>
      <c r="BS63" s="433">
        <f t="shared" si="8"/>
        <v>155</v>
      </c>
      <c r="BT63" s="433">
        <f t="shared" si="8"/>
        <v>34840</v>
      </c>
      <c r="BU63" s="433">
        <f t="shared" si="8"/>
        <v>7433</v>
      </c>
      <c r="BV63" s="433">
        <f t="shared" si="8"/>
        <v>9248</v>
      </c>
      <c r="BW63" s="433">
        <f t="shared" si="8"/>
        <v>3189</v>
      </c>
      <c r="BX63" s="433">
        <f t="shared" si="8"/>
        <v>35284</v>
      </c>
      <c r="BY63" s="433">
        <f t="shared" si="8"/>
        <v>13</v>
      </c>
      <c r="BZ63" s="433">
        <f t="shared" si="8"/>
        <v>33756</v>
      </c>
      <c r="CA63" s="433">
        <f t="shared" si="8"/>
        <v>604489</v>
      </c>
      <c r="CB63" s="433">
        <f t="shared" si="8"/>
        <v>116</v>
      </c>
      <c r="CC63" s="433">
        <f t="shared" ref="CC63:CW63" si="9">SUM(CC55:CC62)</f>
        <v>0</v>
      </c>
      <c r="CD63" s="433">
        <f t="shared" si="9"/>
        <v>7</v>
      </c>
      <c r="CE63" s="433">
        <f t="shared" si="9"/>
        <v>198908</v>
      </c>
      <c r="CF63" s="433">
        <f t="shared" si="9"/>
        <v>9432</v>
      </c>
      <c r="CG63" s="433">
        <f t="shared" si="9"/>
        <v>186</v>
      </c>
      <c r="CH63" s="433">
        <f t="shared" si="9"/>
        <v>21</v>
      </c>
      <c r="CI63" s="433">
        <f t="shared" si="9"/>
        <v>6</v>
      </c>
      <c r="CJ63" s="433">
        <f t="shared" si="9"/>
        <v>518016</v>
      </c>
      <c r="CK63" s="433">
        <f t="shared" si="9"/>
        <v>0</v>
      </c>
      <c r="CL63" s="433">
        <f t="shared" si="9"/>
        <v>9484</v>
      </c>
      <c r="CM63" s="433">
        <f t="shared" si="9"/>
        <v>14790</v>
      </c>
      <c r="CN63" s="433">
        <f t="shared" si="9"/>
        <v>85938</v>
      </c>
      <c r="CO63" s="433">
        <f t="shared" si="9"/>
        <v>129335</v>
      </c>
      <c r="CP63" s="433">
        <f t="shared" si="9"/>
        <v>0</v>
      </c>
      <c r="CQ63" s="433">
        <f t="shared" si="9"/>
        <v>79792</v>
      </c>
      <c r="CR63" s="433">
        <f t="shared" si="9"/>
        <v>68064</v>
      </c>
      <c r="CS63" s="433">
        <f t="shared" si="9"/>
        <v>0</v>
      </c>
      <c r="CT63" s="433">
        <f t="shared" si="9"/>
        <v>83030</v>
      </c>
      <c r="CU63" s="433">
        <f t="shared" si="9"/>
        <v>1290</v>
      </c>
      <c r="CV63" s="433">
        <f t="shared" si="9"/>
        <v>126940</v>
      </c>
      <c r="CW63" s="433">
        <f t="shared" si="9"/>
        <v>25101</v>
      </c>
    </row>
    <row r="64" spans="1:101" ht="86.1" customHeight="1" x14ac:dyDescent="0.25">
      <c r="A64" s="1666" t="s">
        <v>4980</v>
      </c>
      <c r="B64" s="152" t="s">
        <v>4881</v>
      </c>
      <c r="C64" s="1653" t="s">
        <v>4981</v>
      </c>
      <c r="D64" s="137" t="s">
        <v>4831</v>
      </c>
      <c r="E64" s="137">
        <v>25</v>
      </c>
      <c r="F64" s="153" t="s">
        <v>4982</v>
      </c>
      <c r="G64" s="211" t="s">
        <v>4983</v>
      </c>
      <c r="H64" s="202" t="s">
        <v>4984</v>
      </c>
      <c r="I64" s="203" t="s">
        <v>4847</v>
      </c>
      <c r="J64" s="171"/>
      <c r="K64" s="171"/>
      <c r="L64" s="171" t="s">
        <v>500</v>
      </c>
      <c r="M64" s="171">
        <v>14501.733461</v>
      </c>
      <c r="N64" s="171">
        <v>19314.295638039996</v>
      </c>
      <c r="O64" s="212">
        <v>24064.186236270001</v>
      </c>
      <c r="P64" s="290">
        <f>SUM(Q64:CW64)</f>
        <v>31808.476827410002</v>
      </c>
      <c r="Q64">
        <f>SUMIFS('База практик'!$AE$5:$AE$311,'База практик'!$E$5:$E$311,Расчеты!Q$1)</f>
        <v>14.544</v>
      </c>
      <c r="R64">
        <f>SUMIFS('База практик'!$AE$5:$AE$311,'База практик'!$E$5:$E$311,Расчеты!R$1)</f>
        <v>94.414285989999996</v>
      </c>
      <c r="S64">
        <f>SUMIFS('База практик'!$AE$5:$AE$311,'База практик'!$E$5:$E$311,Расчеты!S$1)</f>
        <v>340.68799999999999</v>
      </c>
      <c r="T64">
        <f>SUMIFS('База практик'!$AE$5:$AE$311,'База практик'!$E$5:$E$311,Расчеты!T$1)</f>
        <v>178.715</v>
      </c>
      <c r="U64">
        <f>SUMIFS('База практик'!$AE$5:$AE$311,'База практик'!$E$5:$E$311,Расчеты!U$1)</f>
        <v>8.6999999999999993</v>
      </c>
      <c r="V64">
        <f>SUMIFS('База практик'!$AE$5:$AE$311,'База практик'!$E$5:$E$311,Расчеты!V$1)</f>
        <v>1.89</v>
      </c>
      <c r="W64">
        <f>SUMIFS('База практик'!$AE$5:$AE$311,'База практик'!$E$5:$E$311,Расчеты!W$1)</f>
        <v>2589.3139999999999</v>
      </c>
      <c r="X64" s="388">
        <f>SUMIFS('База практик'!$AE$5:$AE$311,'База практик'!$E$5:$E$311,Расчеты!X$1)</f>
        <v>0</v>
      </c>
      <c r="Y64">
        <f>SUMIFS('База практик'!$AE$5:$AE$311,'База практик'!$E$5:$E$311,Расчеты!Y$1)</f>
        <v>107.7</v>
      </c>
      <c r="Z64">
        <f>SUMIFS('База практик'!$AE$5:$AE$311,'База практик'!$E$5:$E$311,Расчеты!Z$1)</f>
        <v>60</v>
      </c>
      <c r="AA64">
        <f>SUMIFS('База практик'!$AE$5:$AE$311,'База практик'!$E$5:$E$311,Расчеты!AA$1)</f>
        <v>757.66750000000002</v>
      </c>
      <c r="AB64">
        <f>SUMIFS('База практик'!$AE$5:$AE$311,'База практик'!$E$5:$E$311,Расчеты!AB$1)</f>
        <v>142.4</v>
      </c>
      <c r="AC64">
        <f>SUMIFS('База практик'!$AE$5:$AE$311,'База практик'!$E$5:$E$311,Расчеты!AC$1)</f>
        <v>226.36799999999999</v>
      </c>
      <c r="AD64">
        <f>SUMIFS('База практик'!$AE$5:$AE$311,'База практик'!$E$5:$E$311,Расчеты!AD$1)</f>
        <v>644.60764999999992</v>
      </c>
      <c r="AE64">
        <f>SUMIFS('База практик'!$AE$5:$AE$311,'База практик'!$E$5:$E$311,Расчеты!AE$1)</f>
        <v>1288.9369999999999</v>
      </c>
      <c r="AF64" s="388">
        <f>SUMIFS('База практик'!$AE$5:$AE$311,'База практик'!$E$5:$E$311,Расчеты!AF$1)</f>
        <v>0</v>
      </c>
      <c r="AG64">
        <f>SUMIFS('База практик'!$AE$5:$AE$311,'База практик'!$E$5:$E$311,Расчеты!AG$1)</f>
        <v>19.71</v>
      </c>
      <c r="AH64">
        <f>SUMIFS('База практик'!$AE$5:$AE$311,'База практик'!$E$5:$E$311,Расчеты!AH$1)</f>
        <v>59.573504489999998</v>
      </c>
      <c r="AI64">
        <f>SUMIFS('База практик'!$AE$5:$AE$311,'База практик'!$E$5:$E$311,Расчеты!AI$1)</f>
        <v>5</v>
      </c>
      <c r="AJ64">
        <f>SUMIFS('База практик'!$AE$5:$AE$311,'База практик'!$E$5:$E$311,Расчеты!AJ$1)</f>
        <v>948.2</v>
      </c>
      <c r="AK64">
        <f>SUMIFS('База практик'!$AE$5:$AE$311,'База практик'!$E$5:$E$311,Расчеты!AK$1)</f>
        <v>76.2</v>
      </c>
      <c r="AL64">
        <f>SUMIFS('База практик'!$AE$5:$AE$311,'База практик'!$E$5:$E$311,Расчеты!AL$1)</f>
        <v>646.12699999999995</v>
      </c>
      <c r="AM64">
        <f>SUMIFS('База практик'!$AE$5:$AE$311,'База практик'!$E$5:$E$311,Расчеты!AM$1)</f>
        <v>91.820999999999998</v>
      </c>
      <c r="AN64">
        <f>SUMIFS('База практик'!$AE$5:$AE$311,'База практик'!$E$5:$E$311,Расчеты!AN$1)</f>
        <v>187.33200000000002</v>
      </c>
      <c r="AO64" s="388">
        <f>SUMIFS('База практик'!$AE$5:$AE$311,'База практик'!$E$5:$E$311,Расчеты!AO$1)</f>
        <v>0</v>
      </c>
      <c r="AP64" s="388">
        <f>SUMIFS('База практик'!$AE$5:$AE$311,'База практик'!$E$5:$E$311,Расчеты!AP$1)</f>
        <v>0</v>
      </c>
      <c r="AQ64">
        <f>SUMIFS('База практик'!$AE$5:$AE$311,'База практик'!$E$5:$E$311,Расчеты!AQ$1)</f>
        <v>118.8</v>
      </c>
      <c r="AR64">
        <f>SUMIFS('База практик'!$AE$5:$AE$311,'База практик'!$E$5:$E$311,Расчеты!AR$1)</f>
        <v>161.30000000000001</v>
      </c>
      <c r="AS64">
        <f>SUMIFS('База практик'!$AE$5:$AE$311,'База практик'!$E$5:$E$311,Расчеты!AS$1)</f>
        <v>386.32</v>
      </c>
      <c r="AT64">
        <f>SUMIFS('База практик'!$AE$5:$AE$311,'База практик'!$E$5:$E$311,Расчеты!AT$1)</f>
        <v>150.22300000000001</v>
      </c>
      <c r="AU64">
        <f>SUMIFS('База практик'!$AE$5:$AE$311,'База практик'!$E$5:$E$311,Расчеты!AU$1)</f>
        <v>586.19200000000001</v>
      </c>
      <c r="AV64">
        <f>SUMIFS('База практик'!$AE$5:$AE$311,'База практик'!$E$5:$E$311,Расчеты!AV$1)</f>
        <v>1447.1551999999999</v>
      </c>
      <c r="AW64">
        <f>SUMIFS('База практик'!$AE$5:$AE$311,'База практик'!$E$5:$E$311,Расчеты!AW$1)</f>
        <v>169.6</v>
      </c>
      <c r="AX64">
        <f>SUMIFS('База практик'!$AE$5:$AE$311,'База практик'!$E$5:$E$311,Расчеты!AX$1)</f>
        <v>663.30939999999998</v>
      </c>
      <c r="AY64">
        <f>SUMIFS('База практик'!$AE$5:$AE$311,'База практик'!$E$5:$E$311,Расчеты!AY$1)</f>
        <v>336.19200000000001</v>
      </c>
      <c r="AZ64">
        <f>SUMIFS('База практик'!$AE$5:$AE$311,'База практик'!$E$5:$E$311,Расчеты!AZ$1)</f>
        <v>1.33805679</v>
      </c>
      <c r="BA64">
        <f>SUMIFS('База практик'!$AE$5:$AE$311,'База практик'!$E$5:$E$311,Расчеты!BA$1)</f>
        <v>564.38800000000003</v>
      </c>
      <c r="BB64">
        <f>SUMIFS('База практик'!$AE$5:$AE$311,'База практик'!$E$5:$E$311,Расчеты!BB$1)</f>
        <v>81.727999999999994</v>
      </c>
      <c r="BC64" s="388">
        <f>SUMIFS('База практик'!$AE$5:$AE$311,'База практик'!$E$5:$E$311,Расчеты!BC$1)</f>
        <v>0</v>
      </c>
      <c r="BD64">
        <f>SUMIFS('База практик'!$AE$5:$AE$311,'База практик'!$E$5:$E$311,Расчеты!BD$1)</f>
        <v>42.703229999999998</v>
      </c>
      <c r="BE64" s="388">
        <f>SUMIFS('База практик'!$AE$5:$AE$311,'База практик'!$E$5:$E$311,Расчеты!BE$1)</f>
        <v>0</v>
      </c>
      <c r="BF64" s="388">
        <f>SUMIFS('База практик'!$AE$5:$AE$311,'База практик'!$E$5:$E$311,Расчеты!BF$1)</f>
        <v>0</v>
      </c>
      <c r="BG64">
        <f>SUMIFS('База практик'!$AE$5:$AE$311,'База практик'!$E$5:$E$311,Расчеты!BG$1)</f>
        <v>654.87301061999995</v>
      </c>
      <c r="BH64">
        <f>SUMIFS('База практик'!$AE$5:$AE$311,'База практик'!$E$5:$E$311,Расчеты!BH$1)</f>
        <v>68.153000000000006</v>
      </c>
      <c r="BI64">
        <f>SUMIFS('База практик'!$AE$5:$AE$311,'База практик'!$E$5:$E$311,Расчеты!BI$1)</f>
        <v>21.855</v>
      </c>
      <c r="BJ64">
        <f>SUMIFS('База практик'!$AE$5:$AE$311,'База практик'!$E$5:$E$311,Расчеты!BJ$1)</f>
        <v>1430.5530000000001</v>
      </c>
      <c r="BK64">
        <f>SUMIFS('База практик'!$AE$5:$AE$311,'База практик'!$E$5:$E$311,Расчеты!BK$1)</f>
        <v>956.19100000000003</v>
      </c>
      <c r="BL64">
        <f>SUMIFS('База практик'!$AE$5:$AE$311,'База практик'!$E$5:$E$311,Расчеты!BL$1)</f>
        <v>166.2</v>
      </c>
      <c r="BM64">
        <f>SUMIFS('База практик'!$AE$5:$AE$311,'База практик'!$E$5:$E$311,Расчеты!BM$1)</f>
        <v>319.988</v>
      </c>
      <c r="BN64">
        <f>SUMIFS('База практик'!$AE$5:$AE$311,'База практик'!$E$5:$E$311,Расчеты!BN$1)</f>
        <v>137.44400000000002</v>
      </c>
      <c r="BO64">
        <f>SUMIFS('База практик'!$AE$5:$AE$311,'База практик'!$E$5:$E$311,Расчеты!BO$1)</f>
        <v>939.90866317999996</v>
      </c>
      <c r="BP64">
        <f>SUMIFS('База практик'!$AE$5:$AE$311,'База практик'!$E$5:$E$311,Расчеты!BP$1)</f>
        <v>39.283000000000001</v>
      </c>
      <c r="BQ64">
        <f>SUMIFS('База практик'!$AE$5:$AE$311,'База практик'!$E$5:$E$311,Расчеты!BQ$1)</f>
        <v>231.30797294000001</v>
      </c>
      <c r="BR64" s="388">
        <f>SUMIFS('База практик'!$AE$5:$AE$311,'База практик'!$E$5:$E$311,Расчеты!BR$1)</f>
        <v>0</v>
      </c>
      <c r="BS64">
        <f>SUMIFS('База практик'!$AE$5:$AE$311,'База практик'!$E$5:$E$311,Расчеты!BS$1)</f>
        <v>14.3164</v>
      </c>
      <c r="BT64">
        <f>SUMIFS('База практик'!$AE$5:$AE$311,'База практик'!$E$5:$E$311,Расчеты!BT$1)</f>
        <v>269.62600000000003</v>
      </c>
      <c r="BU64">
        <f>SUMIFS('База практик'!$AE$5:$AE$311,'База практик'!$E$5:$E$311,Расчеты!BU$1)</f>
        <v>253.79180731</v>
      </c>
      <c r="BV64">
        <f>SUMIFS('База практик'!$AE$5:$AE$311,'База практик'!$E$5:$E$311,Расчеты!BV$1)</f>
        <v>364.47200000000004</v>
      </c>
      <c r="BW64">
        <f>SUMIFS('База практик'!$AE$5:$AE$311,'База практик'!$E$5:$E$311,Расчеты!BW$1)</f>
        <v>178.73949999999999</v>
      </c>
      <c r="BX64">
        <f>SUMIFS('База практик'!$AE$5:$AE$311,'База практик'!$E$5:$E$311,Расчеты!BX$1)</f>
        <v>1012.1510000000001</v>
      </c>
      <c r="BY64">
        <f>SUMIFS('База практик'!$AE$5:$AE$311,'База практик'!$E$5:$E$311,Расчеты!BY$1)</f>
        <v>686.3</v>
      </c>
      <c r="BZ64">
        <f>SUMIFS('База практик'!$AE$5:$AE$311,'База практик'!$E$5:$E$311,Расчеты!BZ$1)</f>
        <v>957.90000000000009</v>
      </c>
      <c r="CA64">
        <f>SUMIFS('База практик'!$AE$5:$AE$311,'База практик'!$E$5:$E$311,Расчеты!CA$1)</f>
        <v>1963.6116572400001</v>
      </c>
      <c r="CB64">
        <f>SUMIFS('База практик'!$AE$5:$AE$311,'База практик'!$E$5:$E$311,Расчеты!CB$1)</f>
        <v>75</v>
      </c>
      <c r="CC64" s="388">
        <f>SUMIFS('База практик'!$AE$5:$AE$311,'База практик'!$E$5:$E$311,Расчеты!CC$1)</f>
        <v>0</v>
      </c>
      <c r="CD64">
        <f>SUMIFS('База практик'!$AE$5:$AE$311,'База практик'!$E$5:$E$311,Расчеты!CD$1)</f>
        <v>10.204000000000001</v>
      </c>
      <c r="CE64">
        <f>SUMIFS('База практик'!$AE$5:$AE$311,'База практик'!$E$5:$E$311,Расчеты!CE$1)</f>
        <v>745.7120000000001</v>
      </c>
      <c r="CF64">
        <f>SUMIFS('База практик'!$AE$5:$AE$311,'База практик'!$E$5:$E$311,Расчеты!CF$1)</f>
        <v>536.86900000000003</v>
      </c>
      <c r="CG64">
        <f>SUMIFS('База практик'!$AE$5:$AE$311,'База практик'!$E$5:$E$311,Расчеты!CG$1)</f>
        <v>87.757000000000005</v>
      </c>
      <c r="CH64">
        <f>SUMIFS('База практик'!$AE$5:$AE$311,'База практик'!$E$5:$E$311,Расчеты!CH$1)</f>
        <v>218.5</v>
      </c>
      <c r="CI64">
        <f>SUMIFS('База практик'!$AE$5:$AE$311,'База практик'!$E$5:$E$311,Расчеты!CI$1)</f>
        <v>55.226934010000001</v>
      </c>
      <c r="CJ64">
        <f>SUMIFS('База практик'!$AE$5:$AE$311,'База практик'!$E$5:$E$311,Расчеты!CJ$1)</f>
        <v>540.29999999999995</v>
      </c>
      <c r="CK64" s="388">
        <f>SUMIFS('База практик'!$AE$5:$AE$311,'База практик'!$E$5:$E$311,Расчеты!CK$1)</f>
        <v>0</v>
      </c>
      <c r="CL64">
        <f>SUMIFS('База практик'!$AE$5:$AE$311,'База практик'!$E$5:$E$311,Расчеты!CL$1)</f>
        <v>508.79400000000004</v>
      </c>
      <c r="CM64">
        <f>SUMIFS('База практик'!$AE$5:$AE$311,'База практик'!$E$5:$E$311,Расчеты!CM$1)</f>
        <v>276.82200000000006</v>
      </c>
      <c r="CN64">
        <f>SUMIFS('База практик'!$AE$5:$AE$311,'База практик'!$E$5:$E$311,Расчеты!CN$1)</f>
        <v>682.4746792699998</v>
      </c>
      <c r="CO64">
        <f>SUMIFS('База практик'!$AE$5:$AE$311,'База практик'!$E$5:$E$311,Расчеты!CO$1)</f>
        <v>628.75799999999992</v>
      </c>
      <c r="CP64" s="388">
        <f>SUMIFS('База практик'!$AE$5:$AE$311,'База практик'!$E$5:$E$311,Расчеты!CP$1)</f>
        <v>0</v>
      </c>
      <c r="CQ64">
        <f>SUMIFS('База практик'!$AE$5:$AE$311,'База практик'!$E$5:$E$311,Расчеты!CQ$1)</f>
        <v>332.30913157000015</v>
      </c>
      <c r="CR64">
        <f>SUMIFS('База практик'!$AE$5:$AE$311,'База практик'!$E$5:$E$311,Расчеты!CR$1)</f>
        <v>1493.6</v>
      </c>
      <c r="CS64" s="388">
        <f>SUMIFS('База практик'!$AE$5:$AE$311,'База практик'!$E$5:$E$311,Расчеты!CS$1)</f>
        <v>0</v>
      </c>
      <c r="CT64">
        <f>SUMIFS('База практик'!$AE$5:$AE$311,'База практик'!$E$5:$E$311,Расчеты!CT$1)</f>
        <v>708.03800000000001</v>
      </c>
      <c r="CU64">
        <f>SUMIFS('База практик'!$AE$5:$AE$311,'База практик'!$E$5:$E$311,Расчеты!CU$1)</f>
        <v>45.164999999999999</v>
      </c>
      <c r="CV64">
        <f>SUMIFS('База практик'!$AE$5:$AE$311,'База практик'!$E$5:$E$311,Расчеты!CV$1)</f>
        <v>305.82424400000002</v>
      </c>
      <c r="CW64">
        <f>SUMIFS('База практик'!$AE$5:$AE$311,'База практик'!$E$5:$E$311,Расчеты!CW$1)</f>
        <v>691.3</v>
      </c>
    </row>
    <row r="65" spans="1:101" ht="53.1" customHeight="1" x14ac:dyDescent="0.25">
      <c r="A65" s="1667"/>
      <c r="B65" s="154"/>
      <c r="C65" s="1654"/>
      <c r="D65" s="137" t="s">
        <v>4831</v>
      </c>
      <c r="E65" s="137">
        <v>26</v>
      </c>
      <c r="F65" s="138" t="s">
        <v>4985</v>
      </c>
      <c r="G65" s="124" t="s">
        <v>4986</v>
      </c>
      <c r="H65" s="183" t="s">
        <v>4984</v>
      </c>
      <c r="I65" s="184" t="s">
        <v>4847</v>
      </c>
      <c r="J65" s="171"/>
      <c r="K65" s="171"/>
      <c r="L65" s="171" t="s">
        <v>500</v>
      </c>
      <c r="M65" s="171" t="s">
        <v>4844</v>
      </c>
      <c r="N65" s="171">
        <v>18568.369938039999</v>
      </c>
      <c r="O65" s="212">
        <v>23130.056435779999</v>
      </c>
      <c r="P65" s="290">
        <f t="shared" ref="P65:P66" si="10">SUM(Q65:CW65)</f>
        <v>29717.80639505</v>
      </c>
      <c r="Q65">
        <f>SUMIFS('База практик'!$AE$5:$AE$311,'База практик'!$D$5:$D$311, "суб",'База практик'!$E$5:$E$311,Расчеты!Q$1)</f>
        <v>14.544</v>
      </c>
      <c r="R65">
        <f>SUMIFS('База практик'!$AE$5:$AE$311,'База практик'!$D$5:$D$311, "суб",'База практик'!$E$5:$E$311,Расчеты!R$1)</f>
        <v>94.414285989999996</v>
      </c>
      <c r="S65">
        <f>SUMIFS('База практик'!$AE$5:$AE$311,'База практик'!$D$5:$D$311, "суб",'База практик'!$E$5:$E$311,Расчеты!S$1)</f>
        <v>340.68799999999999</v>
      </c>
      <c r="T65">
        <f>SUMIFS('База практик'!$AE$5:$AE$311,'База практик'!$D$5:$D$311, "суб",'База практик'!$E$5:$E$311,Расчеты!T$1)</f>
        <v>178.715</v>
      </c>
      <c r="U65">
        <f>SUMIFS('База практик'!$AE$5:$AE$311,'База практик'!$D$5:$D$311, "суб",'База практик'!$E$5:$E$311,Расчеты!U$1)</f>
        <v>0</v>
      </c>
      <c r="V65">
        <f>SUMIFS('База практик'!$AE$5:$AE$311,'База практик'!$D$5:$D$311, "суб",'База практик'!$E$5:$E$311,Расчеты!V$1)</f>
        <v>0</v>
      </c>
      <c r="W65">
        <f>SUMIFS('База практик'!$AE$5:$AE$311,'База практик'!$D$5:$D$311, "суб",'База практик'!$E$5:$E$311,Расчеты!W$1)</f>
        <v>2586.5550000000003</v>
      </c>
      <c r="X65">
        <f>SUMIFS('База практик'!$AE$5:$AE$311,'База практик'!$D$5:$D$311, "суб",'База практик'!$E$5:$E$311,Расчеты!X$1)</f>
        <v>0</v>
      </c>
      <c r="Y65">
        <f>SUMIFS('База практик'!$AE$5:$AE$311,'База практик'!$D$5:$D$311, "суб",'База практик'!$E$5:$E$311,Расчеты!Y$1)</f>
        <v>107.7</v>
      </c>
      <c r="Z65">
        <f>SUMIFS('База практик'!$AE$5:$AE$311,'База практик'!$D$5:$D$311, "суб",'База практик'!$E$5:$E$311,Расчеты!Z$1)</f>
        <v>60</v>
      </c>
      <c r="AA65">
        <f>SUMIFS('База практик'!$AE$5:$AE$311,'База практик'!$D$5:$D$311, "суб",'База практик'!$E$5:$E$311,Расчеты!AA$1)</f>
        <v>753.76750000000004</v>
      </c>
      <c r="AB65">
        <f>SUMIFS('База практик'!$AE$5:$AE$311,'База практик'!$D$5:$D$311, "суб",'База практик'!$E$5:$E$311,Расчеты!AB$1)</f>
        <v>142.4</v>
      </c>
      <c r="AC65">
        <f>SUMIFS('База практик'!$AE$5:$AE$311,'База практик'!$D$5:$D$311, "суб",'База практик'!$E$5:$E$311,Расчеты!AC$1)</f>
        <v>226.36799999999999</v>
      </c>
      <c r="AD65">
        <f>SUMIFS('База практик'!$AE$5:$AE$311,'База практик'!$D$5:$D$311, "суб",'База практик'!$E$5:$E$311,Расчеты!AD$1)</f>
        <v>644.60764999999992</v>
      </c>
      <c r="AE65">
        <f>SUMIFS('База практик'!$AE$5:$AE$311,'База практик'!$D$5:$D$311, "суб",'База практик'!$E$5:$E$311,Расчеты!AE$1)</f>
        <v>1288.9369999999999</v>
      </c>
      <c r="AF65">
        <f>SUMIFS('База практик'!$AE$5:$AE$311,'База практик'!$D$5:$D$311, "суб",'База практик'!$E$5:$E$311,Расчеты!AF$1)</f>
        <v>0</v>
      </c>
      <c r="AG65">
        <f>SUMIFS('База практик'!$AE$5:$AE$311,'База практик'!$D$5:$D$311, "суб",'База практик'!$E$5:$E$311,Расчеты!AG$1)</f>
        <v>19.71</v>
      </c>
      <c r="AH65">
        <f>SUMIFS('База практик'!$AE$5:$AE$311,'База практик'!$D$5:$D$311, "суб",'База практик'!$E$5:$E$311,Расчеты!AH$1)</f>
        <v>59.573504489999998</v>
      </c>
      <c r="AI65">
        <f>SUMIFS('База практик'!$AE$5:$AE$311,'База практик'!$D$5:$D$311, "суб",'База практик'!$E$5:$E$311,Расчеты!AI$1)</f>
        <v>5</v>
      </c>
      <c r="AJ65">
        <f>SUMIFS('База практик'!$AE$5:$AE$311,'База практик'!$D$5:$D$311, "суб",'База практик'!$E$5:$E$311,Расчеты!AJ$1)</f>
        <v>948.2</v>
      </c>
      <c r="AK65">
        <f>SUMIFS('База практик'!$AE$5:$AE$311,'База практик'!$D$5:$D$311, "суб",'База практик'!$E$5:$E$311,Расчеты!AK$1)</f>
        <v>76.2</v>
      </c>
      <c r="AL65">
        <f>SUMIFS('База практик'!$AE$5:$AE$311,'База практик'!$D$5:$D$311, "суб",'База практик'!$E$5:$E$311,Расчеты!AL$1)</f>
        <v>637.05200000000002</v>
      </c>
      <c r="AM65">
        <f>SUMIFS('База практик'!$AE$5:$AE$311,'База практик'!$D$5:$D$311, "суб",'База практик'!$E$5:$E$311,Расчеты!AM$1)</f>
        <v>91.820999999999998</v>
      </c>
      <c r="AN65">
        <f>SUMIFS('База практик'!$AE$5:$AE$311,'База практик'!$D$5:$D$311, "суб",'База практик'!$E$5:$E$311,Расчеты!AN$1)</f>
        <v>173.68100000000001</v>
      </c>
      <c r="AO65">
        <f>SUMIFS('База практик'!$AE$5:$AE$311,'База практик'!$D$5:$D$311, "суб",'База практик'!$E$5:$E$311,Расчеты!AO$1)</f>
        <v>0</v>
      </c>
      <c r="AP65">
        <f>SUMIFS('База практик'!$AE$5:$AE$311,'База практик'!$D$5:$D$311, "суб",'База практик'!$E$5:$E$311,Расчеты!AP$1)</f>
        <v>0</v>
      </c>
      <c r="AQ65">
        <f>SUMIFS('База практик'!$AE$5:$AE$311,'База практик'!$D$5:$D$311, "суб",'База практик'!$E$5:$E$311,Расчеты!AQ$1)</f>
        <v>118.8</v>
      </c>
      <c r="AR65">
        <f>SUMIFS('База практик'!$AE$5:$AE$311,'База практик'!$D$5:$D$311, "суб",'База практик'!$E$5:$E$311,Расчеты!AR$1)</f>
        <v>161.30000000000001</v>
      </c>
      <c r="AS65">
        <f>SUMIFS('База практик'!$AE$5:$AE$311,'База практик'!$D$5:$D$311, "суб",'База практик'!$E$5:$E$311,Расчеты!AS$1)</f>
        <v>386.32</v>
      </c>
      <c r="AT65">
        <f>SUMIFS('База практик'!$AE$5:$AE$311,'База практик'!$D$5:$D$311, "суб",'База практик'!$E$5:$E$311,Расчеты!AT$1)</f>
        <v>150.22300000000001</v>
      </c>
      <c r="AU65">
        <f>SUMIFS('База практик'!$AE$5:$AE$311,'База практик'!$D$5:$D$311, "суб",'База практик'!$E$5:$E$311,Расчеты!AU$1)</f>
        <v>586.19200000000001</v>
      </c>
      <c r="AV65">
        <f>SUMIFS('База практик'!$AE$5:$AE$311,'База практик'!$D$5:$D$311, "суб",'База практик'!$E$5:$E$311,Расчеты!AV$1)</f>
        <v>239.73519999999999</v>
      </c>
      <c r="AW65">
        <f>SUMIFS('База практик'!$AE$5:$AE$311,'База практик'!$D$5:$D$311, "суб",'База практик'!$E$5:$E$311,Расчеты!AW$1)</f>
        <v>169.6</v>
      </c>
      <c r="AX65">
        <f>SUMIFS('База практик'!$AE$5:$AE$311,'База практик'!$D$5:$D$311, "суб",'База практик'!$E$5:$E$311,Расчеты!AX$1)</f>
        <v>657.50940000000003</v>
      </c>
      <c r="AY65">
        <f>SUMIFS('База практик'!$AE$5:$AE$311,'База практик'!$D$5:$D$311, "суб",'База практик'!$E$5:$E$311,Расчеты!AY$1)</f>
        <v>336.19200000000001</v>
      </c>
      <c r="AZ65">
        <f>SUMIFS('База практик'!$AE$5:$AE$311,'База практик'!$D$5:$D$311, "суб",'База практик'!$E$5:$E$311,Расчеты!AZ$1)</f>
        <v>0</v>
      </c>
      <c r="BA65">
        <f>SUMIFS('База практик'!$AE$5:$AE$311,'База практик'!$D$5:$D$311, "суб",'База практик'!$E$5:$E$311,Расчеты!BA$1)</f>
        <v>564.38800000000003</v>
      </c>
      <c r="BB65">
        <f>SUMIFS('База практик'!$AE$5:$AE$311,'База практик'!$D$5:$D$311, "суб",'База практик'!$E$5:$E$311,Расчеты!BB$1)</f>
        <v>81.727999999999994</v>
      </c>
      <c r="BC65">
        <f>SUMIFS('База практик'!$AE$5:$AE$311,'База практик'!$D$5:$D$311, "суб",'База практик'!$E$5:$E$311,Расчеты!BC$1)</f>
        <v>0</v>
      </c>
      <c r="BD65">
        <f>SUMIFS('База практик'!$AE$5:$AE$311,'База практик'!$D$5:$D$311, "суб",'База практик'!$E$5:$E$311,Расчеты!BD$1)</f>
        <v>42.703229999999998</v>
      </c>
      <c r="BE65">
        <f>SUMIFS('База практик'!$AE$5:$AE$311,'База практик'!$D$5:$D$311, "суб",'База практик'!$E$5:$E$311,Расчеты!BE$1)</f>
        <v>0</v>
      </c>
      <c r="BF65">
        <f>SUMIFS('База практик'!$AE$5:$AE$311,'База практик'!$D$5:$D$311, "суб",'База практик'!$E$5:$E$311,Расчеты!BF$1)</f>
        <v>0</v>
      </c>
      <c r="BG65">
        <f>SUMIFS('База практик'!$AE$5:$AE$311,'База практик'!$D$5:$D$311, "суб",'База практик'!$E$5:$E$311,Расчеты!BG$1)</f>
        <v>654.87301061999995</v>
      </c>
      <c r="BH65">
        <f>SUMIFS('База практик'!$AE$5:$AE$311,'База практик'!$D$5:$D$311, "суб",'База практик'!$E$5:$E$311,Расчеты!BH$1)</f>
        <v>68.153000000000006</v>
      </c>
      <c r="BI65">
        <f>SUMIFS('База практик'!$AE$5:$AE$311,'База практик'!$D$5:$D$311, "суб",'База практик'!$E$5:$E$311,Расчеты!BI$1)</f>
        <v>21.855</v>
      </c>
      <c r="BJ65">
        <f>SUMIFS('База практик'!$AE$5:$AE$311,'База практик'!$D$5:$D$311, "суб",'База практик'!$E$5:$E$311,Расчеты!BJ$1)</f>
        <v>1429.6130000000001</v>
      </c>
      <c r="BK65">
        <f>SUMIFS('База практик'!$AE$5:$AE$311,'База практик'!$D$5:$D$311, "суб",'База практик'!$E$5:$E$311,Расчеты!BK$1)</f>
        <v>955.51299999999992</v>
      </c>
      <c r="BL65">
        <f>SUMIFS('База практик'!$AE$5:$AE$311,'База практик'!$D$5:$D$311, "суб",'База практик'!$E$5:$E$311,Расчеты!BL$1)</f>
        <v>166.2</v>
      </c>
      <c r="BM65">
        <f>SUMIFS('База практик'!$AE$5:$AE$311,'База практик'!$D$5:$D$311, "суб",'База практик'!$E$5:$E$311,Расчеты!BM$1)</f>
        <v>319.66800000000001</v>
      </c>
      <c r="BN65">
        <f>SUMIFS('База практик'!$AE$5:$AE$311,'База практик'!$D$5:$D$311, "суб",'База практик'!$E$5:$E$311,Расчеты!BN$1)</f>
        <v>127.056</v>
      </c>
      <c r="BO65">
        <f>SUMIFS('База практик'!$AE$5:$AE$311,'База практик'!$D$5:$D$311, "суб",'База практик'!$E$5:$E$311,Расчеты!BO$1)</f>
        <v>939.90866317999996</v>
      </c>
      <c r="BP65">
        <f>SUMIFS('База практик'!$AE$5:$AE$311,'База практик'!$D$5:$D$311, "суб",'База практик'!$E$5:$E$311,Расчеты!BP$1)</f>
        <v>0</v>
      </c>
      <c r="BQ65">
        <f>SUMIFS('База практик'!$AE$5:$AE$311,'База практик'!$D$5:$D$311, "суб",'База практик'!$E$5:$E$311,Расчеты!BQ$1)</f>
        <v>231.30797294000001</v>
      </c>
      <c r="BR65">
        <f>SUMIFS('База практик'!$AE$5:$AE$311,'База практик'!$D$5:$D$311, "суб",'База практик'!$E$5:$E$311,Расчеты!BR$1)</f>
        <v>0</v>
      </c>
      <c r="BS65">
        <f>SUMIFS('База практик'!$AE$5:$AE$311,'База практик'!$D$5:$D$311, "суб",'База практик'!$E$5:$E$311,Расчеты!BS$1)</f>
        <v>14.3164</v>
      </c>
      <c r="BT65">
        <f>SUMIFS('База практик'!$AE$5:$AE$311,'База практик'!$D$5:$D$311, "суб",'База практик'!$E$5:$E$311,Расчеты!BT$1)</f>
        <v>257.81200000000001</v>
      </c>
      <c r="BU65">
        <f>SUMIFS('База практик'!$AE$5:$AE$311,'База практик'!$D$5:$D$311, "суб",'База практик'!$E$5:$E$311,Расчеты!BU$1)</f>
        <v>253.79180731</v>
      </c>
      <c r="BV65">
        <f>SUMIFS('База практик'!$AE$5:$AE$311,'База практик'!$D$5:$D$311, "суб",'База практик'!$E$5:$E$311,Расчеты!BV$1)</f>
        <v>349.31799999999998</v>
      </c>
      <c r="BW65">
        <f>SUMIFS('База практик'!$AE$5:$AE$311,'База практик'!$D$5:$D$311, "суб",'База практик'!$E$5:$E$311,Расчеты!BW$1)</f>
        <v>178.73949999999999</v>
      </c>
      <c r="BX65">
        <f>SUMIFS('База практик'!$AE$5:$AE$311,'База практик'!$D$5:$D$311, "суб",'База практик'!$E$5:$E$311,Расчеты!BX$1)</f>
        <v>1012.1510000000001</v>
      </c>
      <c r="BY65">
        <f>SUMIFS('База практик'!$AE$5:$AE$311,'База практик'!$D$5:$D$311, "суб",'База практик'!$E$5:$E$311,Расчеты!BY$1)</f>
        <v>686.3</v>
      </c>
      <c r="BZ65">
        <f>SUMIFS('База практик'!$AE$5:$AE$311,'База практик'!$D$5:$D$311, "суб",'База практик'!$E$5:$E$311,Расчеты!BZ$1)</f>
        <v>957.90000000000009</v>
      </c>
      <c r="CA65">
        <f>SUMIFS('База практик'!$AE$5:$AE$311,'База практик'!$D$5:$D$311, "суб",'База практик'!$E$5:$E$311,Расчеты!CA$1)</f>
        <v>1928.2143572399998</v>
      </c>
      <c r="CB65">
        <f>SUMIFS('База практик'!$AE$5:$AE$311,'База практик'!$D$5:$D$311, "суб",'База практик'!$E$5:$E$311,Расчеты!CB$1)</f>
        <v>75</v>
      </c>
      <c r="CC65">
        <f>SUMIFS('База практик'!$AE$5:$AE$311,'База практик'!$D$5:$D$311, "суб",'База практик'!$E$5:$E$311,Расчеты!CC$1)</f>
        <v>0</v>
      </c>
      <c r="CD65">
        <f>SUMIFS('База практик'!$AE$5:$AE$311,'База практик'!$D$5:$D$311, "суб",'База практик'!$E$5:$E$311,Расчеты!CD$1)</f>
        <v>10.204000000000001</v>
      </c>
      <c r="CE65">
        <f>SUMIFS('База практик'!$AE$5:$AE$311,'База практик'!$D$5:$D$311, "суб",'База практик'!$E$5:$E$311,Расчеты!CE$1)</f>
        <v>735.30100000000004</v>
      </c>
      <c r="CF65">
        <f>SUMIFS('База практик'!$AE$5:$AE$311,'База практик'!$D$5:$D$311, "суб",'База практик'!$E$5:$E$311,Расчеты!CF$1)</f>
        <v>536.86900000000003</v>
      </c>
      <c r="CG65">
        <f>SUMIFS('База практик'!$AE$5:$AE$311,'База практик'!$D$5:$D$311, "суб",'База практик'!$E$5:$E$311,Расчеты!CG$1)</f>
        <v>87.757000000000005</v>
      </c>
      <c r="CH65">
        <f>SUMIFS('База практик'!$AE$5:$AE$311,'База практик'!$D$5:$D$311, "суб",'База практик'!$E$5:$E$311,Расчеты!CH$1)</f>
        <v>218.5</v>
      </c>
      <c r="CI65">
        <f>SUMIFS('База практик'!$AE$5:$AE$311,'База практик'!$D$5:$D$311, "суб",'База практик'!$E$5:$E$311,Расчеты!CI$1)</f>
        <v>55.226934010000001</v>
      </c>
      <c r="CJ65">
        <f>SUMIFS('База практик'!$AE$5:$AE$311,'База практик'!$D$5:$D$311, "суб",'База практик'!$E$5:$E$311,Расчеты!CJ$1)</f>
        <v>540.29999999999995</v>
      </c>
      <c r="CK65">
        <f>SUMIFS('База практик'!$AE$5:$AE$311,'База практик'!$D$5:$D$311, "суб",'База практик'!$E$5:$E$311,Расчеты!CK$1)</f>
        <v>0</v>
      </c>
      <c r="CL65">
        <f>SUMIFS('База практик'!$AE$5:$AE$311,'База практик'!$D$5:$D$311, "суб",'База практик'!$E$5:$E$311,Расчеты!CL$1)</f>
        <v>480.62100000000004</v>
      </c>
      <c r="CM65">
        <f>SUMIFS('База практик'!$AE$5:$AE$311,'База практик'!$D$5:$D$311, "суб",'База практик'!$E$5:$E$311,Расчеты!CM$1)</f>
        <v>252.07</v>
      </c>
      <c r="CN65">
        <f>SUMIFS('База практик'!$AE$5:$AE$311,'База практик'!$D$5:$D$311, "суб",'База практик'!$E$5:$E$311,Расчеты!CN$1)</f>
        <v>650.34817926999995</v>
      </c>
      <c r="CO65">
        <f>SUMIFS('База практик'!$AE$5:$AE$311,'База практик'!$D$5:$D$311, "суб",'База практик'!$E$5:$E$311,Расчеты!CO$1)</f>
        <v>628.19899999999996</v>
      </c>
      <c r="CP65">
        <f>SUMIFS('База практик'!$AE$5:$AE$311,'База практик'!$D$5:$D$311, "суб",'База практик'!$E$5:$E$311,Расчеты!CP$1)</f>
        <v>0</v>
      </c>
      <c r="CQ65">
        <f>SUMIFS('База практик'!$AE$5:$AE$311,'База практик'!$D$5:$D$311, "суб",'База практик'!$E$5:$E$311,Расчеты!CQ$1)</f>
        <v>19.940799999999999</v>
      </c>
      <c r="CR65">
        <f>SUMIFS('База практик'!$AE$5:$AE$311,'База практик'!$D$5:$D$311, "суб",'База практик'!$E$5:$E$311,Расчеты!CR$1)</f>
        <v>1491.8</v>
      </c>
      <c r="CS65">
        <f>SUMIFS('База практик'!$AE$5:$AE$311,'База практик'!$D$5:$D$311, "суб",'База практик'!$E$5:$E$311,Расчеты!CS$1)</f>
        <v>0</v>
      </c>
      <c r="CT65">
        <f>SUMIFS('База практик'!$AE$5:$AE$311,'База практик'!$D$5:$D$311, "суб",'База практик'!$E$5:$E$311,Расчеты!CT$1)</f>
        <v>702.51400000000001</v>
      </c>
      <c r="CU65">
        <f>SUMIFS('База практик'!$AE$5:$AE$311,'База практик'!$D$5:$D$311, "суб",'База практик'!$E$5:$E$311,Расчеты!CU$1)</f>
        <v>44.54</v>
      </c>
      <c r="CV65">
        <f>SUMIFS('База практик'!$AE$5:$AE$311,'База практик'!$D$5:$D$311, "суб",'База практик'!$E$5:$E$311,Расчеты!CV$1)</f>
        <v>0</v>
      </c>
      <c r="CW65">
        <f>SUMIFS('База практик'!$AE$5:$AE$311,'База практик'!$D$5:$D$311, "суб",'База практик'!$E$5:$E$311,Расчеты!CW$1)</f>
        <v>691.3</v>
      </c>
    </row>
    <row r="66" spans="1:101" ht="71.099999999999994" customHeight="1" thickBot="1" x14ac:dyDescent="0.3">
      <c r="A66" s="1668"/>
      <c r="B66" s="148"/>
      <c r="C66" s="1655"/>
      <c r="D66" s="137" t="s">
        <v>4831</v>
      </c>
      <c r="E66" s="137">
        <v>27</v>
      </c>
      <c r="F66" s="138" t="s">
        <v>4987</v>
      </c>
      <c r="G66" s="150" t="s">
        <v>4988</v>
      </c>
      <c r="H66" s="209" t="s">
        <v>4984</v>
      </c>
      <c r="I66" s="184" t="s">
        <v>4847</v>
      </c>
      <c r="J66" s="171"/>
      <c r="K66" s="171"/>
      <c r="L66" s="171"/>
      <c r="M66" s="171" t="s">
        <v>4844</v>
      </c>
      <c r="N66" s="171">
        <v>745.92569999999989</v>
      </c>
      <c r="O66" s="172">
        <v>934.12980049000009</v>
      </c>
      <c r="P66" s="290">
        <f t="shared" si="10"/>
        <v>2090.6704323600002</v>
      </c>
      <c r="Q66">
        <f>SUMIFS('База практик'!$AE$5:$AE$311,'База практик'!$D$5:$D$311, "мун",'База практик'!$E$5:$E$311,Расчеты!Q$1)</f>
        <v>0</v>
      </c>
      <c r="R66">
        <f>SUMIFS('База практик'!$AE$5:$AE$311,'База практик'!$D$5:$D$311, "мун",'База практик'!$E$5:$E$311,Расчеты!R$1)</f>
        <v>0</v>
      </c>
      <c r="S66">
        <f>SUMIFS('База практик'!$AE$5:$AE$311,'База практик'!$D$5:$D$311, "мун",'База практик'!$E$5:$E$311,Расчеты!S$1)</f>
        <v>0</v>
      </c>
      <c r="T66">
        <f>SUMIFS('База практик'!$AE$5:$AE$311,'База практик'!$D$5:$D$311, "мун",'База практик'!$E$5:$E$311,Расчеты!T$1)</f>
        <v>0</v>
      </c>
      <c r="U66">
        <f>SUMIFS('База практик'!$AE$5:$AE$311,'База практик'!$D$5:$D$311, "мун",'База практик'!$E$5:$E$311,Расчеты!U$1)</f>
        <v>8.6999999999999993</v>
      </c>
      <c r="V66">
        <f>SUMIFS('База практик'!$AE$5:$AE$311,'База практик'!$D$5:$D$311, "мун",'База практик'!$E$5:$E$311,Расчеты!V$1)</f>
        <v>1.89</v>
      </c>
      <c r="W66">
        <f>SUMIFS('База практик'!$AE$5:$AE$311,'База практик'!$D$5:$D$311, "мун",'База практик'!$E$5:$E$311,Расчеты!W$1)</f>
        <v>2.7589999999999999</v>
      </c>
      <c r="X66">
        <f>SUMIFS('База практик'!$AE$5:$AE$311,'База практик'!$D$5:$D$311, "мун",'База практик'!$E$5:$E$311,Расчеты!X$1)</f>
        <v>0</v>
      </c>
      <c r="Y66">
        <f>SUMIFS('База практик'!$AE$5:$AE$311,'База практик'!$D$5:$D$311, "мун",'База практик'!$E$5:$E$311,Расчеты!Y$1)</f>
        <v>0</v>
      </c>
      <c r="Z66">
        <f>SUMIFS('База практик'!$AE$5:$AE$311,'База практик'!$D$5:$D$311, "мун",'База практик'!$E$5:$E$311,Расчеты!Z$1)</f>
        <v>0</v>
      </c>
      <c r="AA66">
        <f>SUMIFS('База практик'!$AE$5:$AE$311,'База практик'!$D$5:$D$311, "мун",'База практик'!$E$5:$E$311,Расчеты!AA$1)</f>
        <v>3.9</v>
      </c>
      <c r="AB66">
        <f>SUMIFS('База практик'!$AE$5:$AE$311,'База практик'!$D$5:$D$311, "мун",'База практик'!$E$5:$E$311,Расчеты!AB$1)</f>
        <v>0</v>
      </c>
      <c r="AC66">
        <f>SUMIFS('База практик'!$AE$5:$AE$311,'База практик'!$D$5:$D$311, "мун",'База практик'!$E$5:$E$311,Расчеты!AC$1)</f>
        <v>0</v>
      </c>
      <c r="AD66">
        <f>SUMIFS('База практик'!$AE$5:$AE$311,'База практик'!$D$5:$D$311, "мун",'База практик'!$E$5:$E$311,Расчеты!AD$1)</f>
        <v>0</v>
      </c>
      <c r="AE66">
        <f>SUMIFS('База практик'!$AE$5:$AE$311,'База практик'!$D$5:$D$311, "мун",'База практик'!$E$5:$E$311,Расчеты!AE$1)</f>
        <v>0</v>
      </c>
      <c r="AF66">
        <f>SUMIFS('База практик'!$AE$5:$AE$311,'База практик'!$D$5:$D$311, "мун",'База практик'!$E$5:$E$311,Расчеты!AF$1)</f>
        <v>0</v>
      </c>
      <c r="AG66">
        <f>SUMIFS('База практик'!$AE$5:$AE$311,'База практик'!$D$5:$D$311, "мун",'База практик'!$E$5:$E$311,Расчеты!AG$1)</f>
        <v>0</v>
      </c>
      <c r="AH66">
        <f>SUMIFS('База практик'!$AE$5:$AE$311,'База практик'!$D$5:$D$311, "мун",'База практик'!$E$5:$E$311,Расчеты!AH$1)</f>
        <v>0</v>
      </c>
      <c r="AI66">
        <f>SUMIFS('База практик'!$AE$5:$AE$311,'База практик'!$D$5:$D$311, "мун",'База практик'!$E$5:$E$311,Расчеты!AI$1)</f>
        <v>0</v>
      </c>
      <c r="AJ66">
        <f>SUMIFS('База практик'!$AE$5:$AE$311,'База практик'!$D$5:$D$311, "мун",'База практик'!$E$5:$E$311,Расчеты!AJ$1)</f>
        <v>0</v>
      </c>
      <c r="AK66">
        <f>SUMIFS('База практик'!$AE$5:$AE$311,'База практик'!$D$5:$D$311, "мун",'База практик'!$E$5:$E$311,Расчеты!AK$1)</f>
        <v>0</v>
      </c>
      <c r="AL66">
        <f>SUMIFS('База практик'!$AE$5:$AE$311,'База практик'!$D$5:$D$311, "мун",'База практик'!$E$5:$E$311,Расчеты!AL$1)</f>
        <v>9.0750000000000011</v>
      </c>
      <c r="AM66">
        <f>SUMIFS('База практик'!$AE$5:$AE$311,'База практик'!$D$5:$D$311, "мун",'База практик'!$E$5:$E$311,Расчеты!AM$1)</f>
        <v>0</v>
      </c>
      <c r="AN66">
        <f>SUMIFS('База практик'!$AE$5:$AE$311,'База практик'!$D$5:$D$311, "мун",'База практик'!$E$5:$E$311,Расчеты!AN$1)</f>
        <v>13.651</v>
      </c>
      <c r="AO66">
        <f>SUMIFS('База практик'!$AE$5:$AE$311,'База практик'!$D$5:$D$311, "мун",'База практик'!$E$5:$E$311,Расчеты!AO$1)</f>
        <v>0</v>
      </c>
      <c r="AP66">
        <f>SUMIFS('База практик'!$AE$5:$AE$311,'База практик'!$D$5:$D$311, "мун",'База практик'!$E$5:$E$311,Расчеты!AP$1)</f>
        <v>0</v>
      </c>
      <c r="AQ66">
        <f>SUMIFS('База практик'!$AE$5:$AE$311,'База практик'!$D$5:$D$311, "мун",'База практик'!$E$5:$E$311,Расчеты!AQ$1)</f>
        <v>0</v>
      </c>
      <c r="AR66">
        <f>SUMIFS('База практик'!$AE$5:$AE$311,'База практик'!$D$5:$D$311, "мун",'База практик'!$E$5:$E$311,Расчеты!AR$1)</f>
        <v>0</v>
      </c>
      <c r="AS66">
        <f>SUMIFS('База практик'!$AE$5:$AE$311,'База практик'!$D$5:$D$311, "мун",'База практик'!$E$5:$E$311,Расчеты!AS$1)</f>
        <v>0</v>
      </c>
      <c r="AT66">
        <f>SUMIFS('База практик'!$AE$5:$AE$311,'База практик'!$D$5:$D$311, "мун",'База практик'!$E$5:$E$311,Расчеты!AT$1)</f>
        <v>0</v>
      </c>
      <c r="AU66">
        <f>SUMIFS('База практик'!$AE$5:$AE$311,'База практик'!$D$5:$D$311, "мун",'База практик'!$E$5:$E$311,Расчеты!AU$1)</f>
        <v>0</v>
      </c>
      <c r="AV66">
        <f>SUMIFS('База практик'!$AE$5:$AE$311,'База практик'!$D$5:$D$311, "мун",'База практик'!$E$5:$E$311,Расчеты!AV$1)</f>
        <v>1207.4199999999998</v>
      </c>
      <c r="AW66">
        <f>SUMIFS('База практик'!$AE$5:$AE$311,'База практик'!$D$5:$D$311, "мун",'База практик'!$E$5:$E$311,Расчеты!AW$1)</f>
        <v>0</v>
      </c>
      <c r="AX66">
        <f>SUMIFS('База практик'!$AE$5:$AE$311,'База практик'!$D$5:$D$311, "мун",'База практик'!$E$5:$E$311,Расчеты!AX$1)</f>
        <v>5.8</v>
      </c>
      <c r="AY66">
        <f>SUMIFS('База практик'!$AE$5:$AE$311,'База практик'!$D$5:$D$311, "мун",'База практик'!$E$5:$E$311,Расчеты!AY$1)</f>
        <v>0</v>
      </c>
      <c r="AZ66">
        <f>SUMIFS('База практик'!$AE$5:$AE$311,'База практик'!$D$5:$D$311, "мун",'База практик'!$E$5:$E$311,Расчеты!AZ$1)</f>
        <v>1.33805679</v>
      </c>
      <c r="BA66">
        <f>SUMIFS('База практик'!$AE$5:$AE$311,'База практик'!$D$5:$D$311, "мун",'База практик'!$E$5:$E$311,Расчеты!BA$1)</f>
        <v>0</v>
      </c>
      <c r="BB66">
        <f>SUMIFS('База практик'!$AE$5:$AE$311,'База практик'!$D$5:$D$311, "мун",'База практик'!$E$5:$E$311,Расчеты!BB$1)</f>
        <v>0</v>
      </c>
      <c r="BC66">
        <f>SUMIFS('База практик'!$AE$5:$AE$311,'База практик'!$D$5:$D$311, "мун",'База практик'!$E$5:$E$311,Расчеты!BC$1)</f>
        <v>0</v>
      </c>
      <c r="BD66">
        <f>SUMIFS('База практик'!$AE$5:$AE$311,'База практик'!$D$5:$D$311, "мун",'База практик'!$E$5:$E$311,Расчеты!BD$1)</f>
        <v>0</v>
      </c>
      <c r="BE66">
        <f>SUMIFS('База практик'!$AE$5:$AE$311,'База практик'!$D$5:$D$311, "мун",'База практик'!$E$5:$E$311,Расчеты!BE$1)</f>
        <v>0</v>
      </c>
      <c r="BF66">
        <f>SUMIFS('База практик'!$AE$5:$AE$311,'База практик'!$D$5:$D$311, "мун",'База практик'!$E$5:$E$311,Расчеты!BF$1)</f>
        <v>0</v>
      </c>
      <c r="BG66">
        <f>SUMIFS('База практик'!$AE$5:$AE$311,'База практик'!$D$5:$D$311, "мун",'База практик'!$E$5:$E$311,Расчеты!BG$1)</f>
        <v>0</v>
      </c>
      <c r="BH66">
        <f>SUMIFS('База практик'!$AE$5:$AE$311,'База практик'!$D$5:$D$311, "мун",'База практик'!$E$5:$E$311,Расчеты!BH$1)</f>
        <v>0</v>
      </c>
      <c r="BI66">
        <f>SUMIFS('База практик'!$AE$5:$AE$311,'База практик'!$D$5:$D$311, "мун",'База практик'!$E$5:$E$311,Расчеты!BI$1)</f>
        <v>0</v>
      </c>
      <c r="BJ66">
        <f>SUMIFS('База практик'!$AE$5:$AE$311,'База практик'!$D$5:$D$311, "мун",'База практик'!$E$5:$E$311,Расчеты!BJ$1)</f>
        <v>0.94</v>
      </c>
      <c r="BK66">
        <f>SUMIFS('База практик'!$AE$5:$AE$311,'База практик'!$D$5:$D$311, "мун",'База практик'!$E$5:$E$311,Расчеты!BK$1)</f>
        <v>0.67800000000000005</v>
      </c>
      <c r="BL66">
        <f>SUMIFS('База практик'!$AE$5:$AE$311,'База практик'!$D$5:$D$311, "мун",'База практик'!$E$5:$E$311,Расчеты!BL$1)</f>
        <v>0</v>
      </c>
      <c r="BM66">
        <f>SUMIFS('База практик'!$AE$5:$AE$311,'База практик'!$D$5:$D$311, "мун",'База практик'!$E$5:$E$311,Расчеты!BM$1)</f>
        <v>0.32</v>
      </c>
      <c r="BN66">
        <f>SUMIFS('База практик'!$AE$5:$AE$311,'База практик'!$D$5:$D$311, "мун",'База практик'!$E$5:$E$311,Расчеты!BN$1)</f>
        <v>10.388000000000002</v>
      </c>
      <c r="BO66">
        <f>SUMIFS('База практик'!$AE$5:$AE$311,'База практик'!$D$5:$D$311, "мун",'База практик'!$E$5:$E$311,Расчеты!BO$1)</f>
        <v>0</v>
      </c>
      <c r="BP66">
        <f>SUMIFS('База практик'!$AE$5:$AE$311,'База практик'!$D$5:$D$311, "мун",'База практик'!$E$5:$E$311,Расчеты!BP$1)</f>
        <v>39.283000000000001</v>
      </c>
      <c r="BQ66">
        <f>SUMIFS('База практик'!$AE$5:$AE$311,'База практик'!$D$5:$D$311, "мун",'База практик'!$E$5:$E$311,Расчеты!BQ$1)</f>
        <v>0</v>
      </c>
      <c r="BR66">
        <f>SUMIFS('База практик'!$AE$5:$AE$311,'База практик'!$D$5:$D$311, "мун",'База практик'!$E$5:$E$311,Расчеты!BR$1)</f>
        <v>0</v>
      </c>
      <c r="BS66">
        <f>SUMIFS('База практик'!$AE$5:$AE$311,'База практик'!$D$5:$D$311, "мун",'База практик'!$E$5:$E$311,Расчеты!BS$1)</f>
        <v>0</v>
      </c>
      <c r="BT66">
        <f>SUMIFS('База практик'!$AE$5:$AE$311,'База практик'!$D$5:$D$311, "мун",'База практик'!$E$5:$E$311,Расчеты!BT$1)</f>
        <v>11.814</v>
      </c>
      <c r="BU66">
        <f>SUMIFS('База практик'!$AE$5:$AE$311,'База практик'!$D$5:$D$311, "мун",'База практик'!$E$5:$E$311,Расчеты!BU$1)</f>
        <v>0</v>
      </c>
      <c r="BV66">
        <f>SUMIFS('База практик'!$AE$5:$AE$311,'База практик'!$D$5:$D$311, "мун",'База практик'!$E$5:$E$311,Расчеты!BV$1)</f>
        <v>15.154</v>
      </c>
      <c r="BW66">
        <f>SUMIFS('База практик'!$AE$5:$AE$311,'База практик'!$D$5:$D$311, "мун",'База практик'!$E$5:$E$311,Расчеты!BW$1)</f>
        <v>0</v>
      </c>
      <c r="BX66">
        <f>SUMIFS('База практик'!$AE$5:$AE$311,'База практик'!$D$5:$D$311, "мун",'База практик'!$E$5:$E$311,Расчеты!BX$1)</f>
        <v>0</v>
      </c>
      <c r="BY66">
        <f>SUMIFS('База практик'!$AE$5:$AE$311,'База практик'!$D$5:$D$311, "мун",'База практик'!$E$5:$E$311,Расчеты!BY$1)</f>
        <v>0</v>
      </c>
      <c r="BZ66">
        <f>SUMIFS('База практик'!$AE$5:$AE$311,'База практик'!$D$5:$D$311, "мун",'База практик'!$E$5:$E$311,Расчеты!BZ$1)</f>
        <v>0</v>
      </c>
      <c r="CA66">
        <f>SUMIFS('База практик'!$AE$5:$AE$311,'База практик'!$D$5:$D$311, "мун",'База практик'!$E$5:$E$311,Расчеты!CA$1)</f>
        <v>35.397300000000001</v>
      </c>
      <c r="CB66">
        <f>SUMIFS('База практик'!$AE$5:$AE$311,'База практик'!$D$5:$D$311, "мун",'База практик'!$E$5:$E$311,Расчеты!CB$1)</f>
        <v>0</v>
      </c>
      <c r="CC66">
        <f>SUMIFS('База практик'!$AE$5:$AE$311,'База практик'!$D$5:$D$311, "мун",'База практик'!$E$5:$E$311,Расчеты!CC$1)</f>
        <v>0</v>
      </c>
      <c r="CD66">
        <f>SUMIFS('База практик'!$AE$5:$AE$311,'База практик'!$D$5:$D$311, "мун",'База практик'!$E$5:$E$311,Расчеты!CD$1)</f>
        <v>0</v>
      </c>
      <c r="CE66">
        <f>SUMIFS('База практик'!$AE$5:$AE$311,'База практик'!$D$5:$D$311, "мун",'База практик'!$E$5:$E$311,Расчеты!CE$1)</f>
        <v>10.411</v>
      </c>
      <c r="CF66">
        <f>SUMIFS('База практик'!$AE$5:$AE$311,'База практик'!$D$5:$D$311, "мун",'База практик'!$E$5:$E$311,Расчеты!CF$1)</f>
        <v>0</v>
      </c>
      <c r="CG66">
        <f>SUMIFS('База практик'!$AE$5:$AE$311,'База практик'!$D$5:$D$311, "мун",'База практик'!$E$5:$E$311,Расчеты!CG$1)</f>
        <v>0</v>
      </c>
      <c r="CH66">
        <f>SUMIFS('База практик'!$AE$5:$AE$311,'База практик'!$D$5:$D$311, "мун",'База практик'!$E$5:$E$311,Расчеты!CH$1)</f>
        <v>0</v>
      </c>
      <c r="CI66">
        <f>SUMIFS('База практик'!$AE$5:$AE$311,'База практик'!$D$5:$D$311, "мун",'База практик'!$E$5:$E$311,Расчеты!CI$1)</f>
        <v>0</v>
      </c>
      <c r="CJ66">
        <f>SUMIFS('База практик'!$AE$5:$AE$311,'База практик'!$D$5:$D$311, "мун",'База практик'!$E$5:$E$311,Расчеты!CJ$1)</f>
        <v>0</v>
      </c>
      <c r="CK66">
        <f>SUMIFS('База практик'!$AE$5:$AE$311,'База практик'!$D$5:$D$311, "мун",'База практик'!$E$5:$E$311,Расчеты!CK$1)</f>
        <v>0</v>
      </c>
      <c r="CL66">
        <f>SUMIFS('База практик'!$AE$5:$AE$311,'База практик'!$D$5:$D$311, "мун",'База практик'!$E$5:$E$311,Расчеты!CL$1)</f>
        <v>28.172999999999998</v>
      </c>
      <c r="CM66">
        <f>SUMIFS('База практик'!$AE$5:$AE$311,'База практик'!$D$5:$D$311, "мун",'База практик'!$E$5:$E$311,Расчеты!CM$1)</f>
        <v>24.752000000000002</v>
      </c>
      <c r="CN66">
        <f>SUMIFS('База практик'!$AE$5:$AE$311,'База практик'!$D$5:$D$311, "мун",'База практик'!$E$5:$E$311,Расчеты!CN$1)</f>
        <v>32.1265</v>
      </c>
      <c r="CO66">
        <f>SUMIFS('База практик'!$AE$5:$AE$311,'База практик'!$D$5:$D$311, "мун",'База практик'!$E$5:$E$311,Расчеты!CO$1)</f>
        <v>0.55900000000000005</v>
      </c>
      <c r="CP66">
        <f>SUMIFS('База практик'!$AE$5:$AE$311,'База практик'!$D$5:$D$311, "мун",'База практик'!$E$5:$E$311,Расчеты!CP$1)</f>
        <v>0</v>
      </c>
      <c r="CQ66">
        <f>SUMIFS('База практик'!$AE$5:$AE$311,'База практик'!$D$5:$D$311, "мун",'База практик'!$E$5:$E$311,Расчеты!CQ$1)</f>
        <v>312.36833157000018</v>
      </c>
      <c r="CR66">
        <f>SUMIFS('База практик'!$AE$5:$AE$311,'База практик'!$D$5:$D$311, "мун",'База практик'!$E$5:$E$311,Расчеты!CR$1)</f>
        <v>1.8</v>
      </c>
      <c r="CS66">
        <f>SUMIFS('База практик'!$AE$5:$AE$311,'База практик'!$D$5:$D$311, "мун",'База практик'!$E$5:$E$311,Расчеты!CS$1)</f>
        <v>0</v>
      </c>
      <c r="CT66">
        <f>SUMIFS('База практик'!$AE$5:$AE$311,'База практик'!$D$5:$D$311, "мун",'База практик'!$E$5:$E$311,Расчеты!CT$1)</f>
        <v>5.524</v>
      </c>
      <c r="CU66">
        <f>SUMIFS('База практик'!$AE$5:$AE$311,'База практик'!$D$5:$D$311, "мун",'База практик'!$E$5:$E$311,Расчеты!CU$1)</f>
        <v>0.625</v>
      </c>
      <c r="CV66">
        <f>SUMIFS('База практик'!$AE$5:$AE$311,'База практик'!$D$5:$D$311, "мун",'База практик'!$E$5:$E$311,Расчеты!CV$1)</f>
        <v>305.82424400000002</v>
      </c>
      <c r="CW66">
        <f>SUMIFS('База практик'!$AE$5:$AE$311,'База практик'!$D$5:$D$311, "мун",'База практик'!$E$5:$E$311,Расчеты!CW$1)</f>
        <v>0</v>
      </c>
    </row>
    <row r="67" spans="1:101" ht="72" customHeight="1" x14ac:dyDescent="0.25">
      <c r="A67" s="1651" t="s">
        <v>4989</v>
      </c>
      <c r="B67" s="1634" t="s">
        <v>4881</v>
      </c>
      <c r="C67" s="1636" t="s">
        <v>4990</v>
      </c>
      <c r="D67" s="112" t="s">
        <v>4831</v>
      </c>
      <c r="E67" s="112">
        <v>26</v>
      </c>
      <c r="F67" s="113" t="s">
        <v>4991</v>
      </c>
      <c r="G67" s="213" t="s">
        <v>4992</v>
      </c>
      <c r="H67" s="181" t="s">
        <v>4984</v>
      </c>
      <c r="I67" s="196" t="s">
        <v>4847</v>
      </c>
      <c r="J67" s="171"/>
      <c r="K67" s="171"/>
      <c r="L67" s="171" t="s">
        <v>500</v>
      </c>
      <c r="M67" s="171">
        <v>7678.9611190000014</v>
      </c>
      <c r="N67" s="171">
        <v>10499.313935439999</v>
      </c>
      <c r="O67" s="212">
        <v>13110.686485000002</v>
      </c>
      <c r="P67" s="291">
        <f>SUM(Q67:CW67)</f>
        <v>16835.898302920006</v>
      </c>
      <c r="Q67" s="170">
        <f>SUMIFS('База практик'!$AH$5:$AH$311,'База практик'!$E$5:$E$311,Расчеты!Q$1)</f>
        <v>9.9949999999999992</v>
      </c>
      <c r="R67" s="170">
        <f>SUMIFS('База практик'!$AH$5:$AH$311,'База практик'!$E$5:$E$311,Расчеты!R$1)</f>
        <v>4.2982000000000005</v>
      </c>
      <c r="S67" s="170">
        <f>SUMIFS('База практик'!$AH$5:$AH$311,'База практик'!$E$5:$E$311,Расчеты!S$1)</f>
        <v>247.476</v>
      </c>
      <c r="T67" s="170">
        <f>SUMIFS('База практик'!$AH$5:$AH$311,'База практик'!$E$5:$E$311,Расчеты!T$1)</f>
        <v>144.68199999999999</v>
      </c>
      <c r="U67" s="170">
        <f>SUMIFS('База практик'!$AH$5:$AH$311,'База практик'!$E$5:$E$311,Расчеты!U$1)</f>
        <v>25.619</v>
      </c>
      <c r="V67" s="170">
        <f>SUMIFS('База практик'!$AH$5:$AH$311,'База практик'!$E$5:$E$311,Расчеты!V$1)</f>
        <v>0</v>
      </c>
      <c r="W67" s="170">
        <f>SUMIFS('База практик'!$AH$5:$AH$311,'База практик'!$E$5:$E$311,Расчеты!W$1)</f>
        <v>2237.1660000000002</v>
      </c>
      <c r="X67" s="389">
        <f>SUMIFS('База практик'!$AH$5:$AH$311,'База практик'!$E$5:$E$311,Расчеты!X$1)</f>
        <v>0</v>
      </c>
      <c r="Y67" s="170">
        <f>SUMIFS('База практик'!$AH$5:$AH$311,'База практик'!$E$5:$E$311,Расчеты!Y$1)</f>
        <v>95.5</v>
      </c>
      <c r="Z67" s="170">
        <f>SUMIFS('База практик'!$AH$5:$AH$311,'База практик'!$E$5:$E$311,Расчеты!Z$1)</f>
        <v>60</v>
      </c>
      <c r="AA67" s="170">
        <f>SUMIFS('База практик'!$AH$5:$AH$311,'База практик'!$E$5:$E$311,Расчеты!AA$1)</f>
        <v>125.5574</v>
      </c>
      <c r="AB67" s="170">
        <f>SUMIFS('База практик'!$AH$5:$AH$311,'База практик'!$E$5:$E$311,Расчеты!AB$1)</f>
        <v>104.2</v>
      </c>
      <c r="AC67" s="170">
        <f>SUMIFS('База практик'!$AH$5:$AH$311,'База практик'!$E$5:$E$311,Расчеты!AC$1)</f>
        <v>156.523</v>
      </c>
      <c r="AD67" s="170">
        <f>SUMIFS('База практик'!$AH$5:$AH$311,'База практик'!$E$5:$E$311,Расчеты!AD$1)</f>
        <v>484.74</v>
      </c>
      <c r="AE67" s="170">
        <f>SUMIFS('База практик'!$AH$5:$AH$311,'База практик'!$E$5:$E$311,Расчеты!AE$1)</f>
        <v>190.80200000000002</v>
      </c>
      <c r="AF67" s="389">
        <f>SUMIFS('База практик'!$AH$5:$AH$311,'База практик'!$E$5:$E$311,Расчеты!AF$1)</f>
        <v>0</v>
      </c>
      <c r="AG67" s="170">
        <f>SUMIFS('База практик'!$AH$5:$AH$311,'База практик'!$E$5:$E$311,Расчеты!AG$1)</f>
        <v>8.44</v>
      </c>
      <c r="AH67" s="170">
        <f>SUMIFS('База практик'!$AH$5:$AH$311,'База практик'!$E$5:$E$311,Расчеты!AH$1)</f>
        <v>44.21</v>
      </c>
      <c r="AI67" s="170">
        <f>SUMIFS('База практик'!$AH$5:$AH$311,'База практик'!$E$5:$E$311,Расчеты!AI$1)</f>
        <v>4</v>
      </c>
      <c r="AJ67" s="170">
        <f>SUMIFS('База практик'!$AH$5:$AH$311,'База практик'!$E$5:$E$311,Расчеты!AJ$1)</f>
        <v>850</v>
      </c>
      <c r="AK67" s="170">
        <f>SUMIFS('База практик'!$AH$5:$AH$311,'База практик'!$E$5:$E$311,Расчеты!AK$1)</f>
        <v>0.8</v>
      </c>
      <c r="AL67" s="170">
        <f>SUMIFS('База практик'!$AH$5:$AH$311,'База практик'!$E$5:$E$311,Расчеты!AL$1)</f>
        <v>197.1174</v>
      </c>
      <c r="AM67" s="170">
        <f>SUMIFS('База практик'!$AH$5:$AH$311,'База практик'!$E$5:$E$311,Расчеты!AM$1)</f>
        <v>23.173400000000001</v>
      </c>
      <c r="AN67" s="170">
        <f>SUMIFS('База практик'!$AH$5:$AH$311,'База практик'!$E$5:$E$311,Расчеты!AN$1)</f>
        <v>120.1224</v>
      </c>
      <c r="AO67" s="389">
        <f>SUMIFS('База практик'!$AH$5:$AH$311,'База практик'!$E$5:$E$311,Расчеты!AO$1)</f>
        <v>0</v>
      </c>
      <c r="AP67" s="389">
        <f>SUMIFS('База практик'!$AH$5:$AH$311,'База практик'!$E$5:$E$311,Расчеты!AP$1)</f>
        <v>0</v>
      </c>
      <c r="AQ67" s="170">
        <f>SUMIFS('База практик'!$AH$5:$AH$311,'База практик'!$E$5:$E$311,Расчеты!AQ$1)</f>
        <v>83.4</v>
      </c>
      <c r="AR67" s="170">
        <f>SUMIFS('База практик'!$AH$5:$AH$311,'База практик'!$E$5:$E$311,Расчеты!AR$1)</f>
        <v>101.6</v>
      </c>
      <c r="AS67" s="170">
        <f>SUMIFS('База практик'!$AH$5:$AH$311,'База практик'!$E$5:$E$311,Расчеты!AS$1)</f>
        <v>237.67239999999998</v>
      </c>
      <c r="AT67" s="170">
        <f>SUMIFS('База практик'!$AH$5:$AH$311,'База практик'!$E$5:$E$311,Расчеты!AT$1)</f>
        <v>122.8874</v>
      </c>
      <c r="AU67" s="170">
        <f>SUMIFS('База практик'!$AH$5:$AH$311,'База практик'!$E$5:$E$311,Расчеты!AU$1)</f>
        <v>141.68600000000001</v>
      </c>
      <c r="AV67" s="170">
        <f>SUMIFS('База практик'!$AH$5:$AH$311,'База практик'!$E$5:$E$311,Расчеты!AV$1)</f>
        <v>239.7354</v>
      </c>
      <c r="AW67" s="170">
        <f>SUMIFS('База практик'!$AH$5:$AH$311,'База практик'!$E$5:$E$311,Расчеты!AW$1)</f>
        <v>139</v>
      </c>
      <c r="AX67" s="170">
        <f>SUMIFS('База практик'!$AH$5:$AH$311,'База практик'!$E$5:$E$311,Расчеты!AX$1)</f>
        <v>154.01149791999998</v>
      </c>
      <c r="AY67" s="170">
        <f>SUMIFS('База практик'!$AH$5:$AH$311,'База практик'!$E$5:$E$311,Расчеты!AY$1)</f>
        <v>166.03540000000001</v>
      </c>
      <c r="AZ67" s="170">
        <f>SUMIFS('База практик'!$AH$5:$AH$311,'База практик'!$E$5:$E$311,Расчеты!AZ$1)</f>
        <v>0</v>
      </c>
      <c r="BA67" s="170">
        <f>SUMIFS('База практик'!$AH$5:$AH$311,'База практик'!$E$5:$E$311,Расчеты!BA$1)</f>
        <v>449.11580000000004</v>
      </c>
      <c r="BB67" s="170">
        <f>SUMIFS('База практик'!$AH$5:$AH$311,'База практик'!$E$5:$E$311,Расчеты!BB$1)</f>
        <v>65.206400000000002</v>
      </c>
      <c r="BC67" s="389">
        <f>SUMIFS('База практик'!$AH$5:$AH$311,'База практик'!$E$5:$E$311,Расчеты!BC$1)</f>
        <v>0</v>
      </c>
      <c r="BD67" s="170">
        <f>SUMIFS('База практик'!$AH$5:$AH$311,'База практик'!$E$5:$E$311,Расчеты!BD$1)</f>
        <v>20.147400000000001</v>
      </c>
      <c r="BE67" s="389">
        <f>SUMIFS('База практик'!$AH$5:$AH$311,'База практик'!$E$5:$E$311,Расчеты!BE$1)</f>
        <v>0</v>
      </c>
      <c r="BF67" s="389">
        <f>SUMIFS('База практик'!$AH$5:$AH$311,'База практик'!$E$5:$E$311,Расчеты!BF$1)</f>
        <v>0</v>
      </c>
      <c r="BG67" s="170">
        <f>SUMIFS('База практик'!$AH$5:$AH$311,'База практик'!$E$5:$E$311,Расчеты!BG$1)</f>
        <v>498.76500499999997</v>
      </c>
      <c r="BH67" s="170">
        <f>SUMIFS('База практик'!$AH$5:$AH$311,'База практик'!$E$5:$E$311,Расчеты!BH$1)</f>
        <v>32.627400000000002</v>
      </c>
      <c r="BI67" s="170">
        <f>SUMIFS('База практик'!$AH$5:$AH$311,'База практик'!$E$5:$E$311,Расчеты!BI$1)</f>
        <v>16.916399999999999</v>
      </c>
      <c r="BJ67" s="170">
        <f>SUMIFS('База практик'!$AH$5:$AH$311,'База практик'!$E$5:$E$311,Расчеты!BJ$1)</f>
        <v>1215.4468000000002</v>
      </c>
      <c r="BK67" s="170">
        <f>SUMIFS('База практик'!$AH$5:$AH$311,'База практик'!$E$5:$E$311,Расчеты!BK$1)</f>
        <v>323.56879999999995</v>
      </c>
      <c r="BL67" s="170">
        <f>SUMIFS('База практик'!$AH$5:$AH$311,'База практик'!$E$5:$E$311,Расчеты!BL$1)</f>
        <v>116.4</v>
      </c>
      <c r="BM67" s="170">
        <f>SUMIFS('База практик'!$AH$5:$AH$311,'База практик'!$E$5:$E$311,Расчеты!BM$1)</f>
        <v>5.68</v>
      </c>
      <c r="BN67" s="170">
        <f>SUMIFS('База практик'!$AH$5:$AH$311,'База практик'!$E$5:$E$311,Расчеты!BN$1)</f>
        <v>75.95</v>
      </c>
      <c r="BO67" s="170">
        <f>SUMIFS('База практик'!$AH$5:$AH$311,'База практик'!$E$5:$E$311,Расчеты!BO$1)</f>
        <v>635.58640000000003</v>
      </c>
      <c r="BP67" s="170">
        <f>SUMIFS('База практик'!$AH$5:$AH$311,'База практик'!$E$5:$E$311,Расчеты!BP$1)</f>
        <v>0</v>
      </c>
      <c r="BQ67" s="170">
        <f>SUMIFS('База практик'!$AH$5:$AH$311,'База практик'!$E$5:$E$311,Расчеты!BQ$1)</f>
        <v>207.636</v>
      </c>
      <c r="BR67" s="389">
        <f>SUMIFS('База практик'!$AH$5:$AH$311,'База практик'!$E$5:$E$311,Расчеты!BR$1)</f>
        <v>0</v>
      </c>
      <c r="BS67" s="170">
        <f>SUMIFS('База практик'!$AH$5:$AH$311,'База практик'!$E$5:$E$311,Расчеты!BS$1)</f>
        <v>11.9864</v>
      </c>
      <c r="BT67" s="170">
        <f>SUMIFS('База практик'!$AH$5:$AH$311,'База практик'!$E$5:$E$311,Расчеты!BT$1)</f>
        <v>197.3</v>
      </c>
      <c r="BU67" s="170">
        <f>SUMIFS('База практик'!$AH$5:$AH$311,'База практик'!$E$5:$E$311,Расчеты!BU$1)</f>
        <v>170.92200000000003</v>
      </c>
      <c r="BV67" s="170">
        <f>SUMIFS('База практик'!$AH$5:$AH$311,'База практик'!$E$5:$E$311,Расчеты!BV$1)</f>
        <v>244.25800000000001</v>
      </c>
      <c r="BW67" s="170">
        <f>SUMIFS('База практик'!$AH$5:$AH$311,'База практик'!$E$5:$E$311,Расчеты!BW$1)</f>
        <v>178.73949999999999</v>
      </c>
      <c r="BX67" s="170">
        <f>SUMIFS('База практик'!$AH$5:$AH$311,'База практик'!$E$5:$E$311,Расчеты!BX$1)</f>
        <v>138.39099999999999</v>
      </c>
      <c r="BY67" s="170">
        <f>SUMIFS('База практик'!$AH$5:$AH$311,'База практик'!$E$5:$E$311,Расчеты!BY$1)</f>
        <v>500</v>
      </c>
      <c r="BZ67" s="170">
        <f>SUMIFS('База практик'!$AH$5:$AH$311,'База практик'!$E$5:$E$311,Расчеты!BZ$1)</f>
        <v>923.2</v>
      </c>
      <c r="CA67" s="170">
        <f>SUMIFS('База практик'!$AH$5:$AH$311,'База практик'!$E$5:$E$311,Расчеты!CA$1)</f>
        <v>128.94640000000001</v>
      </c>
      <c r="CB67" s="170">
        <f>SUMIFS('База практик'!$AH$5:$AH$311,'База практик'!$E$5:$E$311,Расчеты!CB$1)</f>
        <v>75</v>
      </c>
      <c r="CC67" s="389">
        <f>SUMIFS('База практик'!$AH$5:$AH$311,'База практик'!$E$5:$E$311,Расчеты!CC$1)</f>
        <v>0</v>
      </c>
      <c r="CD67" s="170">
        <f>SUMIFS('База практик'!$AH$5:$AH$311,'База практик'!$E$5:$E$311,Расчеты!CD$1)</f>
        <v>9.4244000000000003</v>
      </c>
      <c r="CE67" s="170">
        <f>SUMIFS('База практик'!$AH$5:$AH$311,'База практик'!$E$5:$E$311,Расчеты!CE$1)</f>
        <v>431.55239999999998</v>
      </c>
      <c r="CF67" s="170">
        <f>SUMIFS('База практик'!$AH$5:$AH$311,'База практик'!$E$5:$E$311,Расчеты!CF$1)</f>
        <v>206.51819999999998</v>
      </c>
      <c r="CG67" s="170">
        <f>SUMIFS('База практик'!$AH$5:$AH$311,'База практик'!$E$5:$E$311,Расчеты!CG$1)</f>
        <v>23.9</v>
      </c>
      <c r="CH67" s="170">
        <f>SUMIFS('База практик'!$AH$5:$AH$311,'База практик'!$E$5:$E$311,Расчеты!CH$1)</f>
        <v>130.30000000000001</v>
      </c>
      <c r="CI67" s="170">
        <f>SUMIFS('База практик'!$AH$5:$AH$311,'База практик'!$E$5:$E$311,Расчеты!CI$1)</f>
        <v>39.3063</v>
      </c>
      <c r="CJ67" s="170">
        <f>SUMIFS('База практик'!$AH$5:$AH$311,'База практик'!$E$5:$E$311,Расчеты!CJ$1)</f>
        <v>359.3</v>
      </c>
      <c r="CK67" s="389">
        <f>SUMIFS('База практик'!$AH$5:$AH$311,'База практик'!$E$5:$E$311,Расчеты!CK$1)</f>
        <v>0</v>
      </c>
      <c r="CL67" s="170">
        <f>SUMIFS('База практик'!$AH$5:$AH$311,'База практик'!$E$5:$E$311,Расчеты!CL$1)</f>
        <v>344.57679999999999</v>
      </c>
      <c r="CM67" s="170">
        <f>SUMIFS('База практик'!$AH$5:$AH$311,'База практик'!$E$5:$E$311,Расчеты!CM$1)</f>
        <v>178.26</v>
      </c>
      <c r="CN67" s="170">
        <f>SUMIFS('База практик'!$AH$5:$AH$311,'База практик'!$E$5:$E$311,Расчеты!CN$1)</f>
        <v>81.539500000000004</v>
      </c>
      <c r="CO67" s="170">
        <f>SUMIFS('База практик'!$AH$5:$AH$311,'База практик'!$E$5:$E$311,Расчеты!CO$1)</f>
        <v>130.07679999999999</v>
      </c>
      <c r="CP67" s="389">
        <f>SUMIFS('База практик'!$AH$5:$AH$311,'База практик'!$E$5:$E$311,Расчеты!CP$1)</f>
        <v>0</v>
      </c>
      <c r="CQ67" s="170">
        <f>SUMIFS('База практик'!$AH$5:$AH$311,'База практик'!$E$5:$E$311,Расчеты!CQ$1)</f>
        <v>19.744</v>
      </c>
      <c r="CR67" s="170">
        <f>SUMIFS('База практик'!$AH$5:$AH$311,'База практик'!$E$5:$E$311,Расчеты!CR$1)</f>
        <v>1491.8</v>
      </c>
      <c r="CS67" s="389">
        <f>SUMIFS('База практик'!$AH$5:$AH$311,'База практик'!$E$5:$E$311,Расчеты!CS$1)</f>
        <v>0</v>
      </c>
      <c r="CT67" s="170">
        <f>SUMIFS('База практик'!$AH$5:$AH$311,'База практик'!$E$5:$E$311,Расчеты!CT$1)</f>
        <v>454.06029999999998</v>
      </c>
      <c r="CU67" s="170">
        <f>SUMIFS('База практик'!$AH$5:$AH$311,'База практик'!$E$5:$E$311,Расчеты!CU$1)</f>
        <v>36.4</v>
      </c>
      <c r="CV67" s="170">
        <f>SUMIFS('База практик'!$AH$5:$AH$311,'База практик'!$E$5:$E$311,Расчеты!CV$1)</f>
        <v>0</v>
      </c>
      <c r="CW67" s="170">
        <f>SUMIFS('База практик'!$AH$5:$AH$311,'База практик'!$E$5:$E$311,Расчеты!CW$1)</f>
        <v>146.9</v>
      </c>
    </row>
    <row r="68" spans="1:101" ht="56.1" customHeight="1" thickBot="1" x14ac:dyDescent="0.3">
      <c r="A68" s="1652"/>
      <c r="B68" s="1646"/>
      <c r="C68" s="1646"/>
      <c r="D68" s="119" t="s">
        <v>4831</v>
      </c>
      <c r="E68" s="119">
        <v>27</v>
      </c>
      <c r="F68" s="125" t="s">
        <v>4993</v>
      </c>
      <c r="G68" s="210" t="s">
        <v>231</v>
      </c>
      <c r="H68" s="193" t="s">
        <v>52</v>
      </c>
      <c r="I68" s="214" t="s">
        <v>4994</v>
      </c>
      <c r="J68" s="171"/>
      <c r="K68" s="171"/>
      <c r="L68" s="171"/>
      <c r="M68" s="171">
        <v>0.52952022181701863</v>
      </c>
      <c r="N68" s="171">
        <v>0.54360325285491307</v>
      </c>
      <c r="O68" s="206">
        <v>0.54482151842888105</v>
      </c>
      <c r="P68" s="169">
        <f>P67/P64*100</f>
        <v>52.92896731355642</v>
      </c>
      <c r="Q68" s="169">
        <f t="shared" ref="Q68:Y68" si="11">Q67/Q64*100</f>
        <v>68.722497249724967</v>
      </c>
      <c r="R68" s="169">
        <f t="shared" si="11"/>
        <v>4.5524890168160033</v>
      </c>
      <c r="S68" s="169">
        <f t="shared" si="11"/>
        <v>72.640069506410569</v>
      </c>
      <c r="T68" s="169">
        <f t="shared" si="11"/>
        <v>80.956830708110672</v>
      </c>
      <c r="U68" s="169">
        <f t="shared" si="11"/>
        <v>294.4712643678161</v>
      </c>
      <c r="V68" s="169">
        <f t="shared" si="11"/>
        <v>0</v>
      </c>
      <c r="W68" s="169">
        <f t="shared" si="11"/>
        <v>86.399949948132999</v>
      </c>
      <c r="X68" s="169"/>
      <c r="Y68" s="169">
        <f t="shared" si="11"/>
        <v>88.672237697307338</v>
      </c>
      <c r="Z68" s="169">
        <f t="shared" ref="Z68" si="12">Z67/Z64*100</f>
        <v>100</v>
      </c>
      <c r="AA68" s="169">
        <f t="shared" ref="AA68" si="13">AA67/AA64*100</f>
        <v>16.571569982875072</v>
      </c>
      <c r="AB68" s="169">
        <f t="shared" ref="AB68" si="14">AB67/AB64*100</f>
        <v>73.174157303370791</v>
      </c>
      <c r="AC68" s="169">
        <f t="shared" ref="AC68" si="15">AC67/AC64*100</f>
        <v>69.145373904438785</v>
      </c>
      <c r="AD68" s="169">
        <f t="shared" ref="AD68" si="16">AD67/AD64*100</f>
        <v>75.199231656651932</v>
      </c>
      <c r="AE68" s="169">
        <f t="shared" ref="AE68" si="17">AE67/AE64*100</f>
        <v>14.803050886117788</v>
      </c>
      <c r="AF68" s="169" t="e">
        <f t="shared" ref="AF68" si="18">AF67/AF64*100</f>
        <v>#DIV/0!</v>
      </c>
      <c r="AG68" s="169">
        <f t="shared" ref="AG68" si="19">AG67/AG64*100</f>
        <v>42.820903094875696</v>
      </c>
      <c r="AH68" s="169">
        <f t="shared" ref="AH68" si="20">AH67/AH64*100</f>
        <v>74.210843190232481</v>
      </c>
      <c r="AI68" s="169">
        <f t="shared" ref="AI68" si="21">AI67/AI64*100</f>
        <v>80</v>
      </c>
      <c r="AJ68" s="169">
        <f t="shared" ref="AJ68" si="22">AJ67/AJ64*100</f>
        <v>89.643535119173166</v>
      </c>
      <c r="AK68" s="169">
        <f t="shared" ref="AK68" si="23">AK67/AK64*100</f>
        <v>1.0498687664041995</v>
      </c>
      <c r="AL68" s="169">
        <f t="shared" ref="AL68" si="24">AL67/AL64*100</f>
        <v>30.507531801023642</v>
      </c>
      <c r="AM68" s="169">
        <f t="shared" ref="AM68" si="25">AM67/AM64*100</f>
        <v>25.237581816795725</v>
      </c>
      <c r="AN68" s="169">
        <f t="shared" ref="AN68" si="26">AN67/AN64*100</f>
        <v>64.122733969636798</v>
      </c>
      <c r="AO68" s="169" t="e">
        <f t="shared" ref="AO68" si="27">AO67/AO64*100</f>
        <v>#DIV/0!</v>
      </c>
      <c r="AP68" s="169" t="e">
        <f t="shared" ref="AP68" si="28">AP67/AP64*100</f>
        <v>#DIV/0!</v>
      </c>
      <c r="AQ68" s="169">
        <f t="shared" ref="AQ68" si="29">AQ67/AQ64*100</f>
        <v>70.202020202020208</v>
      </c>
      <c r="AR68" s="169">
        <f t="shared" ref="AR68" si="30">AR67/AR64*100</f>
        <v>62.988220706757595</v>
      </c>
      <c r="AS68" s="169">
        <f t="shared" ref="AS68" si="31">AS67/AS64*100</f>
        <v>61.52215779664526</v>
      </c>
      <c r="AT68" s="169">
        <f t="shared" ref="AT68" si="32">AT67/AT64*100</f>
        <v>81.803319065655728</v>
      </c>
      <c r="AU68" s="169">
        <f t="shared" ref="AU68" si="33">AU67/AU64*100</f>
        <v>24.170578922946749</v>
      </c>
      <c r="AV68" s="169">
        <f t="shared" ref="AV68" si="34">AV67/AV64*100</f>
        <v>16.565977166789022</v>
      </c>
      <c r="AW68" s="169">
        <f t="shared" ref="AW68" si="35">AW67/AW64*100</f>
        <v>81.957547169811335</v>
      </c>
      <c r="AX68" s="169">
        <f t="shared" ref="AX68" si="36">AX67/AX64*100</f>
        <v>23.218651495063991</v>
      </c>
      <c r="AY68" s="169">
        <f t="shared" ref="AY68" si="37">AY67/AY64*100</f>
        <v>49.387076432514753</v>
      </c>
      <c r="AZ68" s="169">
        <f t="shared" ref="AZ68" si="38">AZ67/AZ64*100</f>
        <v>0</v>
      </c>
      <c r="BA68" s="169">
        <f t="shared" ref="BA68" si="39">BA67/BA64*100</f>
        <v>79.575717414261121</v>
      </c>
      <c r="BB68" s="169">
        <f t="shared" ref="BB68" si="40">BB67/BB64*100</f>
        <v>79.78465152701645</v>
      </c>
      <c r="BC68" s="169" t="e">
        <f t="shared" ref="BC68" si="41">BC67/BC64*100</f>
        <v>#DIV/0!</v>
      </c>
      <c r="BD68" s="169">
        <f t="shared" ref="BD68" si="42">BD67/BD64*100</f>
        <v>47.180037669281695</v>
      </c>
      <c r="BE68" s="169" t="e">
        <f t="shared" ref="BE68" si="43">BE67/BE64*100</f>
        <v>#DIV/0!</v>
      </c>
      <c r="BF68" s="169" t="e">
        <f t="shared" ref="BF68" si="44">BF67/BF64*100</f>
        <v>#DIV/0!</v>
      </c>
      <c r="BG68" s="169">
        <f t="shared" ref="BG68" si="45">BG67/BG64*100</f>
        <v>76.162095079746067</v>
      </c>
      <c r="BH68" s="169">
        <f t="shared" ref="BH68" si="46">BH67/BH64*100</f>
        <v>47.873754640294628</v>
      </c>
      <c r="BI68" s="169">
        <f t="shared" ref="BI68" si="47">BI67/BI64*100</f>
        <v>77.402882635552501</v>
      </c>
      <c r="BJ68" s="169">
        <f t="shared" ref="BJ68" si="48">BJ67/BJ64*100</f>
        <v>84.963423235629861</v>
      </c>
      <c r="BK68" s="169">
        <f t="shared" ref="BK68" si="49">BK67/BK64*100</f>
        <v>33.839347996373107</v>
      </c>
      <c r="BL68" s="169">
        <f t="shared" ref="BL68" si="50">BL67/BL64*100</f>
        <v>70.036101083032491</v>
      </c>
      <c r="BM68" s="169">
        <f t="shared" ref="BM68" si="51">BM67/BM64*100</f>
        <v>1.7750665649961872</v>
      </c>
      <c r="BN68" s="169">
        <f t="shared" ref="BN68" si="52">BN67/BN64*100</f>
        <v>55.258869066674421</v>
      </c>
      <c r="BO68" s="169">
        <f t="shared" ref="BO68" si="53">BO67/BO64*100</f>
        <v>67.622145097547644</v>
      </c>
      <c r="BP68" s="169">
        <f t="shared" ref="BP68" si="54">BP67/BP64*100</f>
        <v>0</v>
      </c>
      <c r="BQ68" s="169">
        <f t="shared" ref="BQ68" si="55">BQ67/BQ64*100</f>
        <v>89.766036752161412</v>
      </c>
      <c r="BR68" s="169" t="e">
        <f t="shared" ref="BR68" si="56">BR67/BR64*100</f>
        <v>#DIV/0!</v>
      </c>
      <c r="BS68" s="169">
        <f t="shared" ref="BS68" si="57">BS67/BS64*100</f>
        <v>83.724958788522258</v>
      </c>
      <c r="BT68" s="169">
        <f t="shared" ref="BT68" si="58">BT67/BT64*100</f>
        <v>73.175435603391364</v>
      </c>
      <c r="BU68" s="169">
        <f t="shared" ref="BU68" si="59">BU67/BU64*100</f>
        <v>67.347327642938183</v>
      </c>
      <c r="BV68" s="169">
        <f t="shared" ref="BV68" si="60">BV67/BV64*100</f>
        <v>67.016945060251544</v>
      </c>
      <c r="BW68" s="169">
        <f t="shared" ref="BW68" si="61">BW67/BW64*100</f>
        <v>100</v>
      </c>
      <c r="BX68" s="169">
        <f t="shared" ref="BX68" si="62">BX67/BX64*100</f>
        <v>13.67295986468422</v>
      </c>
      <c r="BY68" s="169">
        <f t="shared" ref="BY68" si="63">BY67/BY64*100</f>
        <v>72.854436835203273</v>
      </c>
      <c r="BZ68" s="169">
        <f t="shared" ref="BZ68" si="64">BZ67/BZ64*100</f>
        <v>96.377492431360267</v>
      </c>
      <c r="CA68" s="169">
        <f t="shared" ref="CA68" si="65">CA67/CA64*100</f>
        <v>6.5667974380048042</v>
      </c>
      <c r="CB68" s="169">
        <f t="shared" ref="CB68" si="66">CB67/CB64*100</f>
        <v>100</v>
      </c>
      <c r="CC68" s="169" t="e">
        <f t="shared" ref="CC68" si="67">CC67/CC64*100</f>
        <v>#DIV/0!</v>
      </c>
      <c r="CD68" s="169">
        <f t="shared" ref="CD68" si="68">CD67/CD64*100</f>
        <v>92.359858878871023</v>
      </c>
      <c r="CE68" s="169">
        <f t="shared" ref="CE68" si="69">CE67/CE64*100</f>
        <v>57.871188877207281</v>
      </c>
      <c r="CF68" s="169">
        <f t="shared" ref="CF68" si="70">CF67/CF64*100</f>
        <v>38.467149341831984</v>
      </c>
      <c r="CG68" s="169">
        <f t="shared" ref="CG68" si="71">CG67/CG64*100</f>
        <v>27.23429470013788</v>
      </c>
      <c r="CH68" s="169">
        <f t="shared" ref="CH68" si="72">CH67/CH64*100</f>
        <v>59.633867276887877</v>
      </c>
      <c r="CI68" s="169">
        <f t="shared" ref="CI68" si="73">CI67/CI64*100</f>
        <v>71.172337745352237</v>
      </c>
      <c r="CJ68" s="169">
        <f t="shared" ref="CJ68" si="74">CJ67/CJ64*100</f>
        <v>66.500092541180834</v>
      </c>
      <c r="CK68" s="169" t="e">
        <f t="shared" ref="CK68" si="75">CK67/CK64*100</f>
        <v>#DIV/0!</v>
      </c>
      <c r="CL68" s="169">
        <f t="shared" ref="CL68" si="76">CL67/CL64*100</f>
        <v>67.724226307700164</v>
      </c>
      <c r="CM68" s="169">
        <f t="shared" ref="CM68" si="77">CM67/CM64*100</f>
        <v>64.395170904046623</v>
      </c>
      <c r="CN68" s="169">
        <f t="shared" ref="CN68" si="78">CN67/CN64*100</f>
        <v>11.947622743633167</v>
      </c>
      <c r="CO68" s="169">
        <f t="shared" ref="CO68" si="79">CO67/CO64*100</f>
        <v>20.687895820013424</v>
      </c>
      <c r="CP68" s="169" t="e">
        <f t="shared" ref="CP68" si="80">CP67/CP64*100</f>
        <v>#DIV/0!</v>
      </c>
      <c r="CQ68" s="169">
        <f t="shared" ref="CQ68" si="81">CQ67/CQ64*100</f>
        <v>5.9414557483627171</v>
      </c>
      <c r="CR68" s="169">
        <f t="shared" ref="CR68" si="82">CR67/CR64*100</f>
        <v>99.879485806106061</v>
      </c>
      <c r="CS68" s="169" t="e">
        <f t="shared" ref="CS68" si="83">CS67/CS64*100</f>
        <v>#DIV/0!</v>
      </c>
      <c r="CT68" s="169">
        <f t="shared" ref="CT68" si="84">CT67/CT64*100</f>
        <v>64.129368762693531</v>
      </c>
      <c r="CU68" s="169">
        <f t="shared" ref="CU68" si="85">CU67/CU64*100</f>
        <v>80.593379829514006</v>
      </c>
      <c r="CV68" s="169">
        <f t="shared" ref="CV68" si="86">CV67/CV64*100</f>
        <v>0</v>
      </c>
      <c r="CW68" s="169">
        <f t="shared" ref="CW68" si="87">CW67/CW64*100</f>
        <v>21.249819181252715</v>
      </c>
    </row>
    <row r="69" spans="1:101" ht="87.95" customHeight="1" x14ac:dyDescent="0.25">
      <c r="A69" s="1651" t="s">
        <v>4995</v>
      </c>
      <c r="B69" s="1634" t="s">
        <v>4881</v>
      </c>
      <c r="C69" s="1636" t="s">
        <v>4996</v>
      </c>
      <c r="D69" s="112" t="s">
        <v>4831</v>
      </c>
      <c r="E69" s="112">
        <v>28</v>
      </c>
      <c r="F69" s="113" t="s">
        <v>4997</v>
      </c>
      <c r="G69" s="213" t="s">
        <v>4998</v>
      </c>
      <c r="H69" s="181" t="s">
        <v>4984</v>
      </c>
      <c r="I69" s="196" t="s">
        <v>4847</v>
      </c>
      <c r="J69" s="171"/>
      <c r="K69" s="171"/>
      <c r="L69" s="171" t="s">
        <v>500</v>
      </c>
      <c r="M69" s="171">
        <v>1926.2231559999993</v>
      </c>
      <c r="N69" s="171">
        <v>2964.5685994099999</v>
      </c>
      <c r="O69" s="172">
        <v>3937.5416459700004</v>
      </c>
      <c r="P69" s="291">
        <f>SUM(Q69:CW69)</f>
        <v>5055.7866082500004</v>
      </c>
      <c r="Q69" s="170">
        <f>SUMIFS('База практик'!$AK$5:$AK$311,'База практик'!$E$5:$E$311,Расчеты!Q$1)</f>
        <v>2.5219999999999998</v>
      </c>
      <c r="R69" s="170">
        <f>SUMIFS('База практик'!$AK$5:$AK$311,'База практик'!$E$5:$E$311,Расчеты!R$1)</f>
        <v>4.4795999999999996</v>
      </c>
      <c r="S69" s="170">
        <f>SUMIFS('База практик'!$AK$5:$AK$311,'База практик'!$E$5:$E$311,Расчеты!S$1)</f>
        <v>55.13</v>
      </c>
      <c r="T69" s="170">
        <f>SUMIFS('База практик'!$AK$5:$AK$311,'База практик'!$E$5:$E$311,Расчеты!T$1)</f>
        <v>26.277000000000001</v>
      </c>
      <c r="U69" s="170">
        <f>SUMIFS('База практик'!$AK$5:$AK$311,'База практик'!$E$5:$E$311,Расчеты!U$1)</f>
        <v>24.332999999999998</v>
      </c>
      <c r="V69" s="170">
        <f>SUMIFS('База практик'!$AK$5:$AK$311,'База практик'!$E$5:$E$311,Расчеты!V$1)</f>
        <v>1.403</v>
      </c>
      <c r="W69" s="170">
        <f>SUMIFS('База практик'!$AK$5:$AK$311,'База практик'!$E$5:$E$311,Расчеты!W$1)</f>
        <v>231.26599999999999</v>
      </c>
      <c r="X69" s="389">
        <f>SUMIFS('База практик'!$AK$5:$AK$311,'База практик'!$E$5:$E$311,Расчеты!X$1)</f>
        <v>0</v>
      </c>
      <c r="Y69" s="170">
        <f>SUMIFS('База практик'!$AK$5:$AK$311,'База практик'!$E$5:$E$311,Расчеты!Y$1)</f>
        <v>6.5</v>
      </c>
      <c r="Z69" s="170">
        <f>SUMIFS('База практик'!$AK$5:$AK$311,'База практик'!$E$5:$E$311,Расчеты!Z$1)</f>
        <v>0</v>
      </c>
      <c r="AA69" s="170">
        <f>SUMIFS('База практик'!$AK$5:$AK$311,'База практик'!$E$5:$E$311,Расчеты!AA$1)</f>
        <v>30.221</v>
      </c>
      <c r="AB69" s="170">
        <f>SUMIFS('База практик'!$AK$5:$AK$311,'База практик'!$E$5:$E$311,Расчеты!AB$1)</f>
        <v>34.4</v>
      </c>
      <c r="AC69" s="170">
        <f>SUMIFS('База практик'!$AK$5:$AK$311,'База практик'!$E$5:$E$311,Расчеты!AC$1)</f>
        <v>42.256</v>
      </c>
      <c r="AD69" s="170">
        <f>SUMIFS('База практик'!$AK$5:$AK$311,'База практик'!$E$5:$E$311,Расчеты!AD$1)</f>
        <v>91.404939999999996</v>
      </c>
      <c r="AE69" s="170">
        <f>SUMIFS('База практик'!$AK$5:$AK$311,'База практик'!$E$5:$E$311,Расчеты!AE$1)</f>
        <v>112.6</v>
      </c>
      <c r="AF69" s="389">
        <f>SUMIFS('База практик'!$AK$5:$AK$311,'База практик'!$E$5:$E$311,Расчеты!AF$1)</f>
        <v>0</v>
      </c>
      <c r="AG69" s="170">
        <f>SUMIFS('База практик'!$AK$5:$AK$311,'База практик'!$E$5:$E$311,Расчеты!AG$1)</f>
        <v>1.78</v>
      </c>
      <c r="AH69" s="170">
        <f>SUMIFS('База практик'!$AK$5:$AK$311,'База практик'!$E$5:$E$311,Расчеты!AH$1)</f>
        <v>11.40892556</v>
      </c>
      <c r="AI69" s="170">
        <f>SUMIFS('База практик'!$AK$5:$AK$311,'База практик'!$E$5:$E$311,Расчеты!AI$1)</f>
        <v>0.8</v>
      </c>
      <c r="AJ69" s="170">
        <f>SUMIFS('База практик'!$AK$5:$AK$311,'База практик'!$E$5:$E$311,Расчеты!AJ$1)</f>
        <v>98.2</v>
      </c>
      <c r="AK69" s="170">
        <f>SUMIFS('База практик'!$AK$5:$AK$311,'База практик'!$E$5:$E$311,Расчеты!AK$1)</f>
        <v>1.5</v>
      </c>
      <c r="AL69" s="170">
        <f>SUMIFS('База практик'!$AK$5:$AK$311,'База практик'!$E$5:$E$311,Расчеты!AL$1)</f>
        <v>148.81800000000001</v>
      </c>
      <c r="AM69" s="170">
        <f>SUMIFS('База практик'!$AK$5:$AK$311,'База практик'!$E$5:$E$311,Расчеты!AM$1)</f>
        <v>14.542</v>
      </c>
      <c r="AN69" s="170">
        <f>SUMIFS('База практик'!$AK$5:$AK$311,'База практик'!$E$5:$E$311,Расчеты!AN$1)</f>
        <v>51.435999999999993</v>
      </c>
      <c r="AO69" s="389">
        <f>SUMIFS('База практик'!$AK$5:$AK$311,'База практик'!$E$5:$E$311,Расчеты!AO$1)</f>
        <v>0</v>
      </c>
      <c r="AP69" s="389">
        <f>SUMIFS('База практик'!$AK$5:$AK$311,'База практик'!$E$5:$E$311,Расчеты!AP$1)</f>
        <v>0</v>
      </c>
      <c r="AQ69" s="170">
        <f>SUMIFS('База практик'!$AK$5:$AK$311,'База практик'!$E$5:$E$311,Расчеты!AQ$1)</f>
        <v>21.9</v>
      </c>
      <c r="AR69" s="170">
        <f>SUMIFS('База практик'!$AK$5:$AK$311,'База практик'!$E$5:$E$311,Расчеты!AR$1)</f>
        <v>44.5</v>
      </c>
      <c r="AS69" s="170">
        <f>SUMIFS('База практик'!$AK$5:$AK$311,'База практик'!$E$5:$E$311,Расчеты!AS$1)</f>
        <v>70.8</v>
      </c>
      <c r="AT69" s="170">
        <f>SUMIFS('База практик'!$AK$5:$AK$311,'База практик'!$E$5:$E$311,Расчеты!AT$1)</f>
        <v>17.36</v>
      </c>
      <c r="AU69" s="170">
        <f>SUMIFS('База практик'!$AK$5:$AK$311,'База практик'!$E$5:$E$311,Расчеты!AU$1)</f>
        <v>185.74</v>
      </c>
      <c r="AV69" s="170">
        <f>SUMIFS('База практик'!$AK$5:$AK$311,'База практик'!$E$5:$E$311,Расчеты!AV$1)</f>
        <v>954.23099999999999</v>
      </c>
      <c r="AW69" s="170">
        <f>SUMIFS('База практик'!$AK$5:$AK$311,'База практик'!$E$5:$E$311,Расчеты!AW$1)</f>
        <v>13.1</v>
      </c>
      <c r="AX69" s="170">
        <f>SUMIFS('База практик'!$AK$5:$AK$311,'База практик'!$E$5:$E$311,Расчеты!AX$1)</f>
        <v>58.103999999999999</v>
      </c>
      <c r="AY69" s="170">
        <f>SUMIFS('База практик'!$AK$5:$AK$311,'База практик'!$E$5:$E$311,Расчеты!AY$1)</f>
        <v>154.75800000000001</v>
      </c>
      <c r="AZ69" s="170">
        <f>SUMIFS('База практик'!$AK$5:$AK$311,'База практик'!$E$5:$E$311,Расчеты!AZ$1)</f>
        <v>1.298</v>
      </c>
      <c r="BA69" s="170">
        <f>SUMIFS('База практик'!$AK$5:$AK$311,'База практик'!$E$5:$E$311,Расчеты!BA$1)</f>
        <v>114.6</v>
      </c>
      <c r="BB69" s="170">
        <f>SUMIFS('База практик'!$AK$5:$AK$311,'База практик'!$E$5:$E$311,Расчеты!BB$1)</f>
        <v>11.487</v>
      </c>
      <c r="BC69" s="389">
        <f>SUMIFS('База практик'!$AK$5:$AK$311,'База практик'!$E$5:$E$311,Расчеты!BC$1)</f>
        <v>0</v>
      </c>
      <c r="BD69" s="170">
        <f>SUMIFS('База практик'!$AK$5:$AK$311,'База практик'!$E$5:$E$311,Расчеты!BD$1)</f>
        <v>6.9842399999999998</v>
      </c>
      <c r="BE69" s="389">
        <f>SUMIFS('База практик'!$AK$5:$AK$311,'База практик'!$E$5:$E$311,Расчеты!BE$1)</f>
        <v>0</v>
      </c>
      <c r="BF69" s="389">
        <f>SUMIFS('База практик'!$AK$5:$AK$311,'База практик'!$E$5:$E$311,Расчеты!BF$1)</f>
        <v>0</v>
      </c>
      <c r="BG69" s="170">
        <f>SUMIFS('База практик'!$AK$5:$AK$311,'База практик'!$E$5:$E$311,Расчеты!BG$1)</f>
        <v>142.34092000000001</v>
      </c>
      <c r="BH69" s="170">
        <f>SUMIFS('База практик'!$AK$5:$AK$311,'База практик'!$E$5:$E$311,Расчеты!BH$1)</f>
        <v>18.829999999999998</v>
      </c>
      <c r="BI69" s="170">
        <f>SUMIFS('База практик'!$AK$5:$AK$311,'База практик'!$E$5:$E$311,Расчеты!BI$1)</f>
        <v>4.7130000000000001</v>
      </c>
      <c r="BJ69" s="170">
        <f>SUMIFS('База практик'!$AK$5:$AK$311,'База практик'!$E$5:$E$311,Расчеты!BJ$1)</f>
        <v>168.03299999999999</v>
      </c>
      <c r="BK69" s="170">
        <f>SUMIFS('База практик'!$AK$5:$AK$311,'База практик'!$E$5:$E$311,Расчеты!BK$1)</f>
        <v>82.496999999999971</v>
      </c>
      <c r="BL69" s="170">
        <f>SUMIFS('База практик'!$AK$5:$AK$311,'База практик'!$E$5:$E$311,Расчеты!BL$1)</f>
        <v>35.799999999999997</v>
      </c>
      <c r="BM69" s="170">
        <f>SUMIFS('База практик'!$AK$5:$AK$311,'База практик'!$E$5:$E$311,Расчеты!BM$1)</f>
        <v>35.519000000000005</v>
      </c>
      <c r="BN69" s="170">
        <f>SUMIFS('База практик'!$AK$5:$AK$311,'База практик'!$E$5:$E$311,Расчеты!BN$1)</f>
        <v>39.608870999999994</v>
      </c>
      <c r="BO69" s="170">
        <f>SUMIFS('База практик'!$AK$5:$AK$311,'База практик'!$E$5:$E$311,Расчеты!BO$1)</f>
        <v>12.123641170000001</v>
      </c>
      <c r="BP69" s="170">
        <f>SUMIFS('База практик'!$AK$5:$AK$311,'База практик'!$E$5:$E$311,Расчеты!BP$1)</f>
        <v>17.997</v>
      </c>
      <c r="BQ69" s="170">
        <f>SUMIFS('База практик'!$AK$5:$AK$311,'База практик'!$E$5:$E$311,Расчеты!BQ$1)</f>
        <v>0.11976630000000001</v>
      </c>
      <c r="BR69" s="389">
        <f>SUMIFS('База практик'!$AK$5:$AK$311,'База практик'!$E$5:$E$311,Расчеты!BR$1)</f>
        <v>0</v>
      </c>
      <c r="BS69" s="170">
        <f>SUMIFS('База практик'!$AK$5:$AK$311,'База практик'!$E$5:$E$311,Расчеты!BS$1)</f>
        <v>2.2400000000000002</v>
      </c>
      <c r="BT69" s="170">
        <f>SUMIFS('База практик'!$AK$5:$AK$311,'База практик'!$E$5:$E$311,Расчеты!BT$1)</f>
        <v>37.875999999999998</v>
      </c>
      <c r="BU69" s="170">
        <f>SUMIFS('База практик'!$AK$5:$AK$311,'База практик'!$E$5:$E$311,Расчеты!BU$1)</f>
        <v>40.088343640000005</v>
      </c>
      <c r="BV69" s="170">
        <f>SUMIFS('База практик'!$AK$5:$AK$311,'База практик'!$E$5:$E$311,Расчеты!BV$1)</f>
        <v>74.815999999999988</v>
      </c>
      <c r="BW69" s="170">
        <f>SUMIFS('База практик'!$AK$5:$AK$311,'База практик'!$E$5:$E$311,Расчеты!BW$1)</f>
        <v>0</v>
      </c>
      <c r="BX69" s="170">
        <f>SUMIFS('База практик'!$AK$5:$AK$311,'База практик'!$E$5:$E$311,Расчеты!BX$1)</f>
        <v>28.024999999999999</v>
      </c>
      <c r="BY69" s="170">
        <f>SUMIFS('База практик'!$AK$5:$AK$311,'База практик'!$E$5:$E$311,Расчеты!BY$1)</f>
        <v>128.19999999999999</v>
      </c>
      <c r="BZ69" s="170">
        <f>SUMIFS('База практик'!$AK$5:$AK$311,'База практик'!$E$5:$E$311,Расчеты!BZ$1)</f>
        <v>30.8</v>
      </c>
      <c r="CA69" s="170">
        <f>SUMIFS('База практик'!$AK$5:$AK$311,'База практик'!$E$5:$E$311,Расчеты!CA$1)</f>
        <v>115.79975507999998</v>
      </c>
      <c r="CB69" s="170">
        <f>SUMIFS('База практик'!$AK$5:$AK$311,'База практик'!$E$5:$E$311,Расчеты!CB$1)</f>
        <v>0</v>
      </c>
      <c r="CC69" s="389">
        <f>SUMIFS('База практик'!$AK$5:$AK$311,'База практик'!$E$5:$E$311,Расчеты!CC$1)</f>
        <v>0</v>
      </c>
      <c r="CD69" s="170">
        <f>SUMIFS('База практик'!$AK$5:$AK$311,'База практик'!$E$5:$E$311,Расчеты!CD$1)</f>
        <v>0.78</v>
      </c>
      <c r="CE69" s="170">
        <f>SUMIFS('База практик'!$AK$5:$AK$311,'База практик'!$E$5:$E$311,Расчеты!CE$1)</f>
        <v>214.029</v>
      </c>
      <c r="CF69" s="170">
        <f>SUMIFS('База практик'!$AK$5:$AK$311,'База практик'!$E$5:$E$311,Расчеты!CF$1)</f>
        <v>5.1729999999999992</v>
      </c>
      <c r="CG69" s="170">
        <f>SUMIFS('База практик'!$AK$5:$AK$311,'База практик'!$E$5:$E$311,Расчеты!CG$1)</f>
        <v>0.8</v>
      </c>
      <c r="CH69" s="170">
        <f>SUMIFS('База практик'!$AK$5:$AK$311,'База практик'!$E$5:$E$311,Расчеты!CH$1)</f>
        <v>57.4</v>
      </c>
      <c r="CI69" s="170">
        <f>SUMIFS('База практик'!$AK$5:$AK$311,'База практик'!$E$5:$E$311,Расчеты!CI$1)</f>
        <v>9.8301996099999993</v>
      </c>
      <c r="CJ69" s="170">
        <f>SUMIFS('База практик'!$AK$5:$AK$311,'База практик'!$E$5:$E$311,Расчеты!CJ$1)</f>
        <v>121</v>
      </c>
      <c r="CK69" s="389">
        <f>SUMIFS('База практик'!$AK$5:$AK$311,'База практик'!$E$5:$E$311,Расчеты!CK$1)</f>
        <v>0</v>
      </c>
      <c r="CL69" s="170">
        <f>SUMIFS('База практик'!$AK$5:$AK$311,'База практик'!$E$5:$E$311,Расчеты!CL$1)</f>
        <v>39.739000000000004</v>
      </c>
      <c r="CM69" s="170">
        <f>SUMIFS('База практик'!$AK$5:$AK$311,'База практик'!$E$5:$E$311,Расчеты!CM$1)</f>
        <v>48.143499999999996</v>
      </c>
      <c r="CN69" s="170">
        <f>SUMIFS('База практик'!$AK$5:$AK$311,'База практик'!$E$5:$E$311,Расчеты!CN$1)</f>
        <v>64.988801009999989</v>
      </c>
      <c r="CO69" s="170">
        <f>SUMIFS('База практик'!$AK$5:$AK$311,'База практик'!$E$5:$E$311,Расчеты!CO$1)</f>
        <v>49.384</v>
      </c>
      <c r="CP69" s="389">
        <f>SUMIFS('База практик'!$AK$5:$AK$311,'База практик'!$E$5:$E$311,Расчеты!CP$1)</f>
        <v>0</v>
      </c>
      <c r="CQ69" s="170">
        <f>SUMIFS('База практик'!$AK$5:$AK$311,'База практик'!$E$5:$E$311,Расчеты!CQ$1)</f>
        <v>233.47282127999992</v>
      </c>
      <c r="CR69" s="170">
        <f>SUMIFS('База практик'!$AK$5:$AK$311,'База практик'!$E$5:$E$311,Расчеты!CR$1)</f>
        <v>1.8</v>
      </c>
      <c r="CS69" s="389">
        <f>SUMIFS('База практик'!$AK$5:$AK$311,'База практик'!$E$5:$E$311,Расчеты!CS$1)</f>
        <v>0</v>
      </c>
      <c r="CT69" s="170">
        <f>SUMIFS('База практик'!$AK$5:$AK$311,'База практик'!$E$5:$E$311,Расчеты!CT$1)</f>
        <v>161.5992</v>
      </c>
      <c r="CU69" s="170">
        <f>SUMIFS('База практик'!$AK$5:$AK$311,'База практик'!$E$5:$E$311,Расчеты!CU$1)</f>
        <v>8.6</v>
      </c>
      <c r="CV69" s="170">
        <f>SUMIFS('База практик'!$AK$5:$AK$311,'База практик'!$E$5:$E$311,Расчеты!CV$1)</f>
        <v>297.88008359999998</v>
      </c>
      <c r="CW69" s="170">
        <f>SUMIFS('База практик'!$AK$5:$AK$311,'База практик'!$E$5:$E$311,Расчеты!CW$1)</f>
        <v>79.599999999999994</v>
      </c>
    </row>
    <row r="70" spans="1:101" ht="39" thickBot="1" x14ac:dyDescent="0.3">
      <c r="A70" s="1652"/>
      <c r="B70" s="1646"/>
      <c r="C70" s="1646"/>
      <c r="D70" s="119" t="s">
        <v>4831</v>
      </c>
      <c r="E70" s="119">
        <v>29</v>
      </c>
      <c r="F70" s="125" t="s">
        <v>4999</v>
      </c>
      <c r="G70" s="210" t="s">
        <v>231</v>
      </c>
      <c r="H70" s="193" t="s">
        <v>52</v>
      </c>
      <c r="I70" s="214" t="s">
        <v>4994</v>
      </c>
      <c r="J70" s="171"/>
      <c r="K70" s="171"/>
      <c r="L70" s="171"/>
      <c r="M70" s="171">
        <v>0.13282709692467154</v>
      </c>
      <c r="N70" s="171">
        <v>0.15349089891588938</v>
      </c>
      <c r="O70" s="206">
        <v>0.16362662785726212</v>
      </c>
      <c r="P70" s="169">
        <f>P69/P64*100</f>
        <v>15.89446308819581</v>
      </c>
      <c r="Q70" s="169">
        <f t="shared" ref="Q70:CB70" si="88">Q69/Q64*100</f>
        <v>17.340484048404839</v>
      </c>
      <c r="R70" s="169">
        <f t="shared" si="88"/>
        <v>4.7446209575471041</v>
      </c>
      <c r="S70" s="169">
        <f t="shared" si="88"/>
        <v>16.181961207908703</v>
      </c>
      <c r="T70" s="169">
        <f t="shared" si="88"/>
        <v>14.703298547967433</v>
      </c>
      <c r="U70" s="169">
        <f t="shared" si="88"/>
        <v>279.68965517241378</v>
      </c>
      <c r="V70" s="169">
        <f t="shared" si="88"/>
        <v>74.232804232804241</v>
      </c>
      <c r="W70" s="169">
        <f t="shared" si="88"/>
        <v>8.9315548442560466</v>
      </c>
      <c r="X70" s="169" t="e">
        <f t="shared" si="88"/>
        <v>#DIV/0!</v>
      </c>
      <c r="Y70" s="169">
        <f t="shared" si="88"/>
        <v>6.0352831940575671</v>
      </c>
      <c r="Z70" s="169">
        <f t="shared" si="88"/>
        <v>0</v>
      </c>
      <c r="AA70" s="169">
        <f t="shared" si="88"/>
        <v>3.9886889697657613</v>
      </c>
      <c r="AB70" s="169">
        <f t="shared" si="88"/>
        <v>24.157303370786515</v>
      </c>
      <c r="AC70" s="169">
        <f t="shared" si="88"/>
        <v>18.666949392140232</v>
      </c>
      <c r="AD70" s="169">
        <f t="shared" si="88"/>
        <v>14.17993410410193</v>
      </c>
      <c r="AE70" s="169">
        <f t="shared" si="88"/>
        <v>8.7358808072078009</v>
      </c>
      <c r="AF70" s="169" t="e">
        <f t="shared" si="88"/>
        <v>#DIV/0!</v>
      </c>
      <c r="AG70" s="169">
        <f t="shared" si="88"/>
        <v>9.0309487569761533</v>
      </c>
      <c r="AH70" s="169">
        <f t="shared" si="88"/>
        <v>19.151006236195322</v>
      </c>
      <c r="AI70" s="169">
        <f t="shared" si="88"/>
        <v>16</v>
      </c>
      <c r="AJ70" s="169">
        <f t="shared" si="88"/>
        <v>10.356464880826829</v>
      </c>
      <c r="AK70" s="169">
        <f t="shared" si="88"/>
        <v>1.9685039370078741</v>
      </c>
      <c r="AL70" s="169">
        <f t="shared" si="88"/>
        <v>23.032314080668357</v>
      </c>
      <c r="AM70" s="169">
        <f t="shared" si="88"/>
        <v>15.837335685736379</v>
      </c>
      <c r="AN70" s="169">
        <f t="shared" si="88"/>
        <v>27.457134926227226</v>
      </c>
      <c r="AO70" s="169" t="e">
        <f t="shared" si="88"/>
        <v>#DIV/0!</v>
      </c>
      <c r="AP70" s="169" t="e">
        <f t="shared" si="88"/>
        <v>#DIV/0!</v>
      </c>
      <c r="AQ70" s="169">
        <f t="shared" si="88"/>
        <v>18.434343434343432</v>
      </c>
      <c r="AR70" s="169">
        <f t="shared" si="88"/>
        <v>27.588344699318039</v>
      </c>
      <c r="AS70" s="169">
        <f t="shared" si="88"/>
        <v>18.326775729964794</v>
      </c>
      <c r="AT70" s="169">
        <f t="shared" si="88"/>
        <v>11.556153185597411</v>
      </c>
      <c r="AU70" s="169">
        <f t="shared" si="88"/>
        <v>31.685864017250321</v>
      </c>
      <c r="AV70" s="169">
        <f t="shared" si="88"/>
        <v>65.938401078198112</v>
      </c>
      <c r="AW70" s="169">
        <f t="shared" si="88"/>
        <v>7.7240566037735849</v>
      </c>
      <c r="AX70" s="169">
        <f t="shared" si="88"/>
        <v>8.7597130388925599</v>
      </c>
      <c r="AY70" s="169">
        <f t="shared" si="88"/>
        <v>46.03262421473444</v>
      </c>
      <c r="AZ70" s="169">
        <f t="shared" si="88"/>
        <v>97.006346046044882</v>
      </c>
      <c r="BA70" s="169">
        <f t="shared" si="88"/>
        <v>20.305180124311644</v>
      </c>
      <c r="BB70" s="169">
        <f t="shared" si="88"/>
        <v>14.055158574784651</v>
      </c>
      <c r="BC70" s="169" t="e">
        <f t="shared" si="88"/>
        <v>#DIV/0!</v>
      </c>
      <c r="BD70" s="169">
        <f t="shared" si="88"/>
        <v>16.355296777316379</v>
      </c>
      <c r="BE70" s="169" t="e">
        <f t="shared" si="88"/>
        <v>#DIV/0!</v>
      </c>
      <c r="BF70" s="169" t="e">
        <f t="shared" si="88"/>
        <v>#DIV/0!</v>
      </c>
      <c r="BG70" s="169">
        <f t="shared" si="88"/>
        <v>21.735652209157159</v>
      </c>
      <c r="BH70" s="169">
        <f t="shared" si="88"/>
        <v>27.629011195398583</v>
      </c>
      <c r="BI70" s="169">
        <f t="shared" si="88"/>
        <v>21.564859299931367</v>
      </c>
      <c r="BJ70" s="169">
        <f t="shared" si="88"/>
        <v>11.74601709968103</v>
      </c>
      <c r="BK70" s="169">
        <f t="shared" si="88"/>
        <v>8.6276695764758262</v>
      </c>
      <c r="BL70" s="169">
        <f t="shared" si="88"/>
        <v>21.540312876052948</v>
      </c>
      <c r="BM70" s="169">
        <f t="shared" si="88"/>
        <v>11.100103753890773</v>
      </c>
      <c r="BN70" s="169">
        <f t="shared" si="88"/>
        <v>28.818188498588508</v>
      </c>
      <c r="BO70" s="169">
        <f t="shared" si="88"/>
        <v>1.2898743936439523</v>
      </c>
      <c r="BP70" s="169">
        <f t="shared" si="88"/>
        <v>45.813710765471065</v>
      </c>
      <c r="BQ70" s="169">
        <f t="shared" si="88"/>
        <v>5.1777852046227008E-2</v>
      </c>
      <c r="BR70" s="169" t="e">
        <f t="shared" si="88"/>
        <v>#DIV/0!</v>
      </c>
      <c r="BS70" s="169">
        <f t="shared" si="88"/>
        <v>15.646391550948563</v>
      </c>
      <c r="BT70" s="169">
        <f t="shared" si="88"/>
        <v>14.047606684815259</v>
      </c>
      <c r="BU70" s="169">
        <f t="shared" si="88"/>
        <v>15.795759549886949</v>
      </c>
      <c r="BV70" s="169">
        <f t="shared" si="88"/>
        <v>20.527228429069989</v>
      </c>
      <c r="BW70" s="169">
        <f t="shared" si="88"/>
        <v>0</v>
      </c>
      <c r="BX70" s="169">
        <f t="shared" si="88"/>
        <v>2.7688556351769646</v>
      </c>
      <c r="BY70" s="169">
        <f t="shared" si="88"/>
        <v>18.679877604546117</v>
      </c>
      <c r="BZ70" s="169">
        <f t="shared" si="88"/>
        <v>3.2153669485332501</v>
      </c>
      <c r="CA70" s="169">
        <f t="shared" si="88"/>
        <v>5.897283948841749</v>
      </c>
      <c r="CB70" s="169">
        <f t="shared" si="88"/>
        <v>0</v>
      </c>
      <c r="CC70" s="169" t="e">
        <f t="shared" ref="CC70:CW70" si="89">CC69/CC64*100</f>
        <v>#DIV/0!</v>
      </c>
      <c r="CD70" s="169">
        <f t="shared" si="89"/>
        <v>7.6440611524892192</v>
      </c>
      <c r="CE70" s="169">
        <f t="shared" si="89"/>
        <v>28.701294869869326</v>
      </c>
      <c r="CF70" s="169">
        <f t="shared" si="89"/>
        <v>0.96354976726165964</v>
      </c>
      <c r="CG70" s="169">
        <f t="shared" si="89"/>
        <v>0.91160819079959443</v>
      </c>
      <c r="CH70" s="169">
        <f t="shared" si="89"/>
        <v>26.270022883295198</v>
      </c>
      <c r="CI70" s="169">
        <f t="shared" si="89"/>
        <v>17.799647556426063</v>
      </c>
      <c r="CJ70" s="169">
        <f t="shared" si="89"/>
        <v>22.394965759763096</v>
      </c>
      <c r="CK70" s="169" t="e">
        <f t="shared" si="89"/>
        <v>#DIV/0!</v>
      </c>
      <c r="CL70" s="169">
        <f t="shared" si="89"/>
        <v>7.8104301544436456</v>
      </c>
      <c r="CM70" s="169">
        <f t="shared" si="89"/>
        <v>17.391500675524338</v>
      </c>
      <c r="CN70" s="169">
        <f t="shared" si="89"/>
        <v>9.5225219314384564</v>
      </c>
      <c r="CO70" s="169">
        <f t="shared" si="89"/>
        <v>7.8542141809726491</v>
      </c>
      <c r="CP70" s="169" t="e">
        <f t="shared" si="89"/>
        <v>#DIV/0!</v>
      </c>
      <c r="CQ70" s="169">
        <f t="shared" si="89"/>
        <v>70.257720628065073</v>
      </c>
      <c r="CR70" s="169">
        <f t="shared" si="89"/>
        <v>0.12051419389394753</v>
      </c>
      <c r="CS70" s="169" t="e">
        <f t="shared" si="89"/>
        <v>#DIV/0!</v>
      </c>
      <c r="CT70" s="169">
        <f t="shared" si="89"/>
        <v>22.823520771484016</v>
      </c>
      <c r="CU70" s="169">
        <f t="shared" si="89"/>
        <v>19.041293036643417</v>
      </c>
      <c r="CV70" s="169">
        <f t="shared" si="89"/>
        <v>97.402377164055025</v>
      </c>
      <c r="CW70" s="169">
        <f t="shared" si="89"/>
        <v>11.514537827281933</v>
      </c>
    </row>
    <row r="71" spans="1:101" ht="111.95" customHeight="1" x14ac:dyDescent="0.25">
      <c r="A71" s="1651" t="s">
        <v>5000</v>
      </c>
      <c r="B71" s="1634" t="s">
        <v>4881</v>
      </c>
      <c r="C71" s="1636" t="s">
        <v>5001</v>
      </c>
      <c r="D71" s="112" t="s">
        <v>4831</v>
      </c>
      <c r="E71" s="112">
        <v>30</v>
      </c>
      <c r="F71" s="113" t="s">
        <v>5002</v>
      </c>
      <c r="G71" s="213" t="s">
        <v>5003</v>
      </c>
      <c r="H71" s="181" t="s">
        <v>4984</v>
      </c>
      <c r="I71" s="196" t="s">
        <v>4847</v>
      </c>
      <c r="J71" s="171"/>
      <c r="K71" s="171"/>
      <c r="L71" s="171" t="s">
        <v>500</v>
      </c>
      <c r="M71" s="171">
        <v>776.5529130000001</v>
      </c>
      <c r="N71" s="171">
        <v>1123.1145690999999</v>
      </c>
      <c r="O71" s="172">
        <v>1267.2471590900002</v>
      </c>
      <c r="P71" s="291">
        <f>SUM(Q71:CW71)</f>
        <v>1085.1753496000003</v>
      </c>
      <c r="Q71" s="170">
        <f>SUMIFS('База практик'!$AN$5:$AN$311,'База практик'!$E$5:$E$311,Расчеты!Q$1)</f>
        <v>1.1779999999999999</v>
      </c>
      <c r="R71" s="170">
        <f>SUMIFS('База практик'!$AN$5:$AN$311,'База практик'!$E$5:$E$311,Расчеты!R$1)</f>
        <v>3.008</v>
      </c>
      <c r="S71" s="170">
        <f>SUMIFS('База практик'!$AN$5:$AN$311,'База практик'!$E$5:$E$311,Расчеты!S$1)</f>
        <v>22.936</v>
      </c>
      <c r="T71" s="170">
        <f>SUMIFS('База практик'!$AN$5:$AN$311,'База практик'!$E$5:$E$311,Расчеты!T$1)</f>
        <v>3.6930000000000001</v>
      </c>
      <c r="U71" s="170">
        <f>SUMIFS('База практик'!$AN$5:$AN$311,'База практик'!$E$5:$E$311,Расчеты!U$1)</f>
        <v>0</v>
      </c>
      <c r="V71" s="170">
        <f>SUMIFS('База практик'!$AN$5:$AN$311,'База практик'!$E$5:$E$311,Расчеты!V$1)</f>
        <v>0.247</v>
      </c>
      <c r="W71" s="170">
        <f>SUMIFS('База практик'!$AN$5:$AN$311,'База практик'!$E$5:$E$311,Расчеты!W$1)</f>
        <v>69.119</v>
      </c>
      <c r="X71" s="389">
        <f>SUMIFS('База практик'!$AN$5:$AN$311,'База практик'!$E$5:$E$311,Расчеты!X$1)</f>
        <v>0</v>
      </c>
      <c r="Y71" s="170">
        <f>SUMIFS('База практик'!$AN$5:$AN$311,'База практик'!$E$5:$E$311,Расчеты!Y$1)</f>
        <v>5.7</v>
      </c>
      <c r="Z71" s="170">
        <f>SUMIFS('База практик'!$AN$5:$AN$311,'База практик'!$E$5:$E$311,Расчеты!Z$1)</f>
        <v>0</v>
      </c>
      <c r="AA71" s="170">
        <f>SUMIFS('База практик'!$AN$5:$AN$311,'База практик'!$E$5:$E$311,Расчеты!AA$1)</f>
        <v>77.063000000000002</v>
      </c>
      <c r="AB71" s="170">
        <f>SUMIFS('База практик'!$AN$5:$AN$311,'База практик'!$E$5:$E$311,Расчеты!AB$1)</f>
        <v>2.4</v>
      </c>
      <c r="AC71" s="170">
        <f>SUMIFS('База практик'!$AN$5:$AN$311,'База практик'!$E$5:$E$311,Расчеты!AC$1)</f>
        <v>18.369</v>
      </c>
      <c r="AD71" s="170">
        <f>SUMIFS('База практик'!$AN$5:$AN$311,'База практик'!$E$5:$E$311,Расчеты!AD$1)</f>
        <v>29.17381</v>
      </c>
      <c r="AE71" s="170">
        <f>SUMIFS('База практик'!$AN$5:$AN$311,'База практик'!$E$5:$E$311,Расчеты!AE$1)</f>
        <v>0</v>
      </c>
      <c r="AF71" s="389">
        <f>SUMIFS('База практик'!$AN$5:$AN$311,'База практик'!$E$5:$E$311,Расчеты!AF$1)</f>
        <v>0</v>
      </c>
      <c r="AG71" s="170">
        <f>SUMIFS('База практик'!$AN$5:$AN$311,'База практик'!$E$5:$E$311,Расчеты!AG$1)</f>
        <v>0.99</v>
      </c>
      <c r="AH71" s="170">
        <f>SUMIFS('База практик'!$AN$5:$AN$311,'База практик'!$E$5:$E$311,Расчеты!AH$1)</f>
        <v>2.62</v>
      </c>
      <c r="AI71" s="170">
        <f>SUMIFS('База практик'!$AN$5:$AN$311,'База практик'!$E$5:$E$311,Расчеты!AI$1)</f>
        <v>0.2</v>
      </c>
      <c r="AJ71" s="170">
        <f>SUMIFS('База практик'!$AN$5:$AN$311,'База практик'!$E$5:$E$311,Расчеты!AJ$1)</f>
        <v>0</v>
      </c>
      <c r="AK71" s="170">
        <f>SUMIFS('База практик'!$AN$5:$AN$311,'База практик'!$E$5:$E$311,Расчеты!AK$1)</f>
        <v>0.5</v>
      </c>
      <c r="AL71" s="170">
        <f>SUMIFS('База практик'!$AN$5:$AN$311,'База практик'!$E$5:$E$311,Расчеты!AL$1)</f>
        <v>14.457000000000001</v>
      </c>
      <c r="AM71" s="170">
        <f>SUMIFS('База практик'!$AN$5:$AN$311,'База практик'!$E$5:$E$311,Расчеты!AM$1)</f>
        <v>0.68400000000000005</v>
      </c>
      <c r="AN71" s="170">
        <f>SUMIFS('База практик'!$AN$5:$AN$311,'База практик'!$E$5:$E$311,Расчеты!AN$1)</f>
        <v>12.743</v>
      </c>
      <c r="AO71" s="389">
        <f>SUMIFS('База практик'!$AN$5:$AN$311,'База практик'!$E$5:$E$311,Расчеты!AO$1)</f>
        <v>0</v>
      </c>
      <c r="AP71" s="389">
        <f>SUMIFS('База практик'!$AN$5:$AN$311,'База практик'!$E$5:$E$311,Расчеты!AP$1)</f>
        <v>0</v>
      </c>
      <c r="AQ71" s="170">
        <f>SUMIFS('База практик'!$AN$5:$AN$311,'База практик'!$E$5:$E$311,Расчеты!AQ$1)</f>
        <v>12.5</v>
      </c>
      <c r="AR71" s="170">
        <f>SUMIFS('База практик'!$AN$5:$AN$311,'База практик'!$E$5:$E$311,Расчеты!AR$1)</f>
        <v>6.7</v>
      </c>
      <c r="AS71" s="170">
        <f>SUMIFS('База практик'!$AN$5:$AN$311,'База практик'!$E$5:$E$311,Расчеты!AS$1)</f>
        <v>52.252000000000002</v>
      </c>
      <c r="AT71" s="170">
        <f>SUMIFS('База практик'!$AN$5:$AN$311,'База практик'!$E$5:$E$311,Расчеты!AT$1)</f>
        <v>1.718</v>
      </c>
      <c r="AU71" s="170">
        <f>SUMIFS('База практик'!$AN$5:$AN$311,'База практик'!$E$5:$E$311,Расчеты!AU$1)</f>
        <v>37.636000000000003</v>
      </c>
      <c r="AV71" s="170">
        <f>SUMIFS('База практик'!$AN$5:$AN$311,'База практик'!$E$5:$E$311,Расчеты!AV$1)</f>
        <v>28.070999999999998</v>
      </c>
      <c r="AW71" s="170">
        <f>SUMIFS('База практик'!$AN$5:$AN$311,'База практик'!$E$5:$E$311,Расчеты!AW$1)</f>
        <v>7.3003999999999998</v>
      </c>
      <c r="AX71" s="170">
        <f>SUMIFS('База практик'!$AN$5:$AN$311,'База практик'!$E$5:$E$311,Расчеты!AX$1)</f>
        <v>6.4930000000000003</v>
      </c>
      <c r="AY71" s="170">
        <f>SUMIFS('База практик'!$AN$5:$AN$311,'База практик'!$E$5:$E$311,Расчеты!AY$1)</f>
        <v>14.53</v>
      </c>
      <c r="AZ71" s="170">
        <f>SUMIFS('База практик'!$AN$5:$AN$311,'База практик'!$E$5:$E$311,Расчеты!AZ$1)</f>
        <v>4.0141999999999997E-2</v>
      </c>
      <c r="BA71" s="170">
        <f>SUMIFS('База практик'!$AN$5:$AN$311,'База практик'!$E$5:$E$311,Расчеты!BA$1)</f>
        <v>5.8720000000000001E-2</v>
      </c>
      <c r="BB71" s="170">
        <f>SUMIFS('База практик'!$AN$5:$AN$311,'База практик'!$E$5:$E$311,Расчеты!BB$1)</f>
        <v>5.0350000000000001</v>
      </c>
      <c r="BC71" s="389">
        <f>SUMIFS('База практик'!$AN$5:$AN$311,'База практик'!$E$5:$E$311,Расчеты!BC$1)</f>
        <v>0</v>
      </c>
      <c r="BD71" s="170">
        <f>SUMIFS('База практик'!$AN$5:$AN$311,'База практик'!$E$5:$E$311,Расчеты!BD$1)</f>
        <v>5.4838442000000001</v>
      </c>
      <c r="BE71" s="389">
        <f>SUMIFS('База практик'!$AN$5:$AN$311,'База практик'!$E$5:$E$311,Расчеты!BE$1)</f>
        <v>0</v>
      </c>
      <c r="BF71" s="389">
        <f>SUMIFS('База практик'!$AN$5:$AN$311,'База практик'!$E$5:$E$311,Расчеты!BF$1)</f>
        <v>0</v>
      </c>
      <c r="BG71" s="170">
        <f>SUMIFS('База практик'!$AN$5:$AN$311,'База практик'!$E$5:$E$311,Расчеты!BG$1)</f>
        <v>13.767099999999999</v>
      </c>
      <c r="BH71" s="170">
        <f>SUMIFS('База практик'!$AN$5:$AN$311,'База практик'!$E$5:$E$311,Расчеты!BH$1)</f>
        <v>5.2069999999999999</v>
      </c>
      <c r="BI71" s="170">
        <f>SUMIFS('База практик'!$AN$5:$AN$311,'База практик'!$E$5:$E$311,Расчеты!BI$1)</f>
        <v>0.128</v>
      </c>
      <c r="BJ71" s="170">
        <f>SUMIFS('База практик'!$AN$5:$AN$311,'База практик'!$E$5:$E$311,Расчеты!BJ$1)</f>
        <v>18.492000000000001</v>
      </c>
      <c r="BK71" s="170">
        <f>SUMIFS('База практик'!$AN$5:$AN$311,'База практик'!$E$5:$E$311,Расчеты!BK$1)</f>
        <v>21.152999999999999</v>
      </c>
      <c r="BL71" s="170">
        <f>SUMIFS('База практик'!$AN$5:$AN$311,'База практик'!$E$5:$E$311,Расчеты!BL$1)</f>
        <v>13.4</v>
      </c>
      <c r="BM71" s="170">
        <f>SUMIFS('База практик'!$AN$5:$AN$311,'База практик'!$E$5:$E$311,Расчеты!BM$1)</f>
        <v>0.02</v>
      </c>
      <c r="BN71" s="170">
        <f>SUMIFS('База практик'!$AN$5:$AN$311,'База практик'!$E$5:$E$311,Расчеты!BN$1)</f>
        <v>12.549830000000002</v>
      </c>
      <c r="BO71" s="170">
        <f>SUMIFS('База практик'!$AN$5:$AN$311,'База практик'!$E$5:$E$311,Расчеты!BO$1)</f>
        <v>7.9</v>
      </c>
      <c r="BP71" s="170">
        <f>SUMIFS('База практик'!$AN$5:$AN$311,'База практик'!$E$5:$E$311,Расчеты!BP$1)</f>
        <v>21.286000000000001</v>
      </c>
      <c r="BQ71" s="170">
        <f>SUMIFS('База практик'!$AN$5:$AN$311,'База практик'!$E$5:$E$311,Расчеты!BQ$1)</f>
        <v>23.396000000000001</v>
      </c>
      <c r="BR71" s="389">
        <f>SUMIFS('База практик'!$AN$5:$AN$311,'База практик'!$E$5:$E$311,Расчеты!BR$1)</f>
        <v>0</v>
      </c>
      <c r="BS71" s="170">
        <f>SUMIFS('База практик'!$AN$5:$AN$311,'База практик'!$E$5:$E$311,Расчеты!BS$1)</f>
        <v>0.04</v>
      </c>
      <c r="BT71" s="170">
        <f>SUMIFS('База практик'!$AN$5:$AN$311,'База практик'!$E$5:$E$311,Расчеты!BT$1)</f>
        <v>16.444800000000001</v>
      </c>
      <c r="BU71" s="170">
        <f>SUMIFS('База практик'!$AN$5:$AN$311,'База практик'!$E$5:$E$311,Расчеты!BU$1)</f>
        <v>28.636400000000002</v>
      </c>
      <c r="BV71" s="170">
        <f>SUMIFS('База практик'!$AN$5:$AN$311,'База практик'!$E$5:$E$311,Расчеты!BV$1)</f>
        <v>18.358000000000001</v>
      </c>
      <c r="BW71" s="170">
        <f>SUMIFS('База практик'!$AN$5:$AN$311,'База практик'!$E$5:$E$311,Расчеты!BW$1)</f>
        <v>0</v>
      </c>
      <c r="BX71" s="170">
        <f>SUMIFS('База практик'!$AN$5:$AN$311,'База практик'!$E$5:$E$311,Расчеты!BX$1)</f>
        <v>9.11</v>
      </c>
      <c r="BY71" s="170">
        <f>SUMIFS('База практик'!$AN$5:$AN$311,'База практик'!$E$5:$E$311,Расчеты!BY$1)</f>
        <v>31.3</v>
      </c>
      <c r="BZ71" s="170">
        <f>SUMIFS('База практик'!$AN$5:$AN$311,'База практик'!$E$5:$E$311,Расчеты!BZ$1)</f>
        <v>1.5</v>
      </c>
      <c r="CA71" s="170">
        <f>SUMIFS('База практик'!$AN$5:$AN$311,'База практик'!$E$5:$E$311,Расчеты!CA$1)</f>
        <v>70.944233400000016</v>
      </c>
      <c r="CB71" s="170">
        <f>SUMIFS('База практик'!$AN$5:$AN$311,'База практик'!$E$5:$E$311,Расчеты!CB$1)</f>
        <v>0</v>
      </c>
      <c r="CC71" s="389">
        <f>SUMIFS('База практик'!$AN$5:$AN$311,'База практик'!$E$5:$E$311,Расчеты!CC$1)</f>
        <v>0</v>
      </c>
      <c r="CD71" s="170">
        <f>SUMIFS('База практик'!$AN$5:$AN$311,'База практик'!$E$5:$E$311,Расчеты!CD$1)</f>
        <v>0</v>
      </c>
      <c r="CE71" s="170">
        <f>SUMIFS('База практик'!$AN$5:$AN$311,'База практик'!$E$5:$E$311,Расчеты!CE$1)</f>
        <v>27.762</v>
      </c>
      <c r="CF71" s="170">
        <f>SUMIFS('База практик'!$AN$5:$AN$311,'База практик'!$E$5:$E$311,Расчеты!CF$1)</f>
        <v>0</v>
      </c>
      <c r="CG71" s="170">
        <f>SUMIFS('База практик'!$AN$5:$AN$311,'База практик'!$E$5:$E$311,Расчеты!CG$1)</f>
        <v>0.2</v>
      </c>
      <c r="CH71" s="170">
        <f>SUMIFS('База практик'!$AN$5:$AN$311,'База практик'!$E$5:$E$311,Расчеты!CH$1)</f>
        <v>30.7</v>
      </c>
      <c r="CI71" s="170">
        <f>SUMIFS('База практик'!$AN$5:$AN$311,'База практик'!$E$5:$E$311,Расчеты!CI$1)</f>
        <v>4.0260999999999996</v>
      </c>
      <c r="CJ71" s="170">
        <f>SUMIFS('База практик'!$AN$5:$AN$311,'База практик'!$E$5:$E$311,Расчеты!CJ$1)</f>
        <v>60</v>
      </c>
      <c r="CK71" s="389">
        <f>SUMIFS('База практик'!$AN$5:$AN$311,'База практик'!$E$5:$E$311,Расчеты!CK$1)</f>
        <v>0</v>
      </c>
      <c r="CL71" s="170">
        <f>SUMIFS('База практик'!$AN$5:$AN$311,'База практик'!$E$5:$E$311,Расчеты!CL$1)</f>
        <v>1.4999999999999999E-2</v>
      </c>
      <c r="CM71" s="170">
        <f>SUMIFS('База практик'!$AN$5:$AN$311,'База практик'!$E$5:$E$311,Расчеты!CM$1)</f>
        <v>28.753</v>
      </c>
      <c r="CN71" s="170">
        <f>SUMIFS('База практик'!$AN$5:$AN$311,'База практик'!$E$5:$E$311,Расчеты!CN$1)</f>
        <v>3.6890000000000001</v>
      </c>
      <c r="CO71" s="170">
        <f>SUMIFS('База практик'!$AN$5:$AN$311,'База практик'!$E$5:$E$311,Расчеты!CO$1)</f>
        <v>66.576000000000008</v>
      </c>
      <c r="CP71" s="389">
        <f>SUMIFS('База практик'!$AN$5:$AN$311,'База практик'!$E$5:$E$311,Расчеты!CP$1)</f>
        <v>0</v>
      </c>
      <c r="CQ71" s="170">
        <f>SUMIFS('База практик'!$AN$5:$AN$311,'База практик'!$E$5:$E$311,Расчеты!CQ$1)</f>
        <v>16.638730000000002</v>
      </c>
      <c r="CR71" s="170">
        <f>SUMIFS('База практик'!$AN$5:$AN$311,'База практик'!$E$5:$E$311,Расчеты!CR$1)</f>
        <v>0</v>
      </c>
      <c r="CS71" s="389">
        <f>SUMIFS('База практик'!$AN$5:$AN$311,'База практик'!$E$5:$E$311,Расчеты!CS$1)</f>
        <v>0</v>
      </c>
      <c r="CT71" s="170">
        <f>SUMIFS('База практик'!$AN$5:$AN$311,'База практик'!$E$5:$E$311,Расчеты!CT$1)</f>
        <v>85.776800000000009</v>
      </c>
      <c r="CU71" s="170">
        <f>SUMIFS('База практик'!$AN$5:$AN$311,'База практик'!$E$5:$E$311,Расчеты!CU$1)</f>
        <v>0.16500000000000001</v>
      </c>
      <c r="CV71" s="170">
        <f>SUMIFS('База практик'!$AN$5:$AN$311,'База практик'!$E$5:$E$311,Расчеты!CV$1)</f>
        <v>0.64244000000000001</v>
      </c>
      <c r="CW71" s="170">
        <f>SUMIFS('База практик'!$AN$5:$AN$311,'База практик'!$E$5:$E$311,Расчеты!CW$1)</f>
        <v>3.7</v>
      </c>
    </row>
    <row r="72" spans="1:101" ht="30.95" customHeight="1" thickBot="1" x14ac:dyDescent="0.3">
      <c r="A72" s="1652"/>
      <c r="B72" s="1646"/>
      <c r="C72" s="1646"/>
      <c r="D72" s="119" t="s">
        <v>4831</v>
      </c>
      <c r="E72" s="119">
        <v>31</v>
      </c>
      <c r="F72" s="125" t="s">
        <v>5004</v>
      </c>
      <c r="G72" s="210" t="s">
        <v>231</v>
      </c>
      <c r="H72" s="193" t="s">
        <v>52</v>
      </c>
      <c r="I72" s="214" t="s">
        <v>4994</v>
      </c>
      <c r="J72" s="171"/>
      <c r="K72" s="171"/>
      <c r="L72" s="171"/>
      <c r="M72" s="171">
        <v>5.3548971582494602E-2</v>
      </c>
      <c r="N72" s="171">
        <v>5.8149393078979143E-2</v>
      </c>
      <c r="O72" s="206">
        <v>5.2661126648861328E-2</v>
      </c>
      <c r="P72" s="292">
        <f>P71/P64*100</f>
        <v>3.4115916819534187</v>
      </c>
      <c r="Q72" s="292">
        <f t="shared" ref="Q72:Y72" si="90">Q71/Q64*100</f>
        <v>8.0995599559955984</v>
      </c>
      <c r="R72" s="292">
        <f t="shared" si="90"/>
        <v>3.1859585320791348</v>
      </c>
      <c r="S72" s="292">
        <f t="shared" si="90"/>
        <v>6.7322594279810275</v>
      </c>
      <c r="T72" s="292">
        <f t="shared" si="90"/>
        <v>2.0664185994460453</v>
      </c>
      <c r="U72" s="292">
        <f t="shared" si="90"/>
        <v>0</v>
      </c>
      <c r="V72" s="292">
        <f t="shared" si="90"/>
        <v>13.068783068783068</v>
      </c>
      <c r="W72" s="292">
        <f t="shared" si="90"/>
        <v>2.6693942874444736</v>
      </c>
      <c r="X72" s="292" t="e">
        <f t="shared" si="90"/>
        <v>#DIV/0!</v>
      </c>
      <c r="Y72" s="292">
        <f t="shared" si="90"/>
        <v>5.2924791086350975</v>
      </c>
      <c r="Z72" s="292">
        <f t="shared" ref="Z72" si="91">Z71/Z64*100</f>
        <v>0</v>
      </c>
      <c r="AA72" s="292">
        <f t="shared" ref="AA72" si="92">AA71/AA64*100</f>
        <v>10.171084281693489</v>
      </c>
      <c r="AB72" s="292">
        <f t="shared" ref="AB72" si="93">AB71/AB64*100</f>
        <v>1.6853932584269662</v>
      </c>
      <c r="AC72" s="292">
        <f t="shared" ref="AC72" si="94">AC71/AC64*100</f>
        <v>8.114662849872774</v>
      </c>
      <c r="AD72" s="292">
        <f t="shared" ref="AD72" si="95">AD71/AD64*100</f>
        <v>4.5258243522241788</v>
      </c>
      <c r="AE72" s="292">
        <f t="shared" ref="AE72" si="96">AE71/AE64*100</f>
        <v>0</v>
      </c>
      <c r="AF72" s="292" t="e">
        <f t="shared" ref="AF72" si="97">AF71/AF64*100</f>
        <v>#DIV/0!</v>
      </c>
      <c r="AG72" s="292">
        <f t="shared" ref="AG72:AH72" si="98">AG71/AG64*100</f>
        <v>5.0228310502283104</v>
      </c>
      <c r="AH72" s="292">
        <f t="shared" si="98"/>
        <v>4.3979282777292257</v>
      </c>
      <c r="AI72" s="292">
        <f t="shared" ref="AI72" si="99">AI71/AI64*100</f>
        <v>4</v>
      </c>
      <c r="AJ72" s="292">
        <f t="shared" ref="AJ72" si="100">AJ71/AJ64*100</f>
        <v>0</v>
      </c>
      <c r="AK72" s="292">
        <f t="shared" ref="AK72" si="101">AK71/AK64*100</f>
        <v>0.65616797900262469</v>
      </c>
      <c r="AL72" s="292">
        <f t="shared" ref="AL72" si="102">AL71/AL64*100</f>
        <v>2.2374858193513045</v>
      </c>
      <c r="AM72" s="292">
        <f t="shared" ref="AM72" si="103">AM71/AM64*100</f>
        <v>0.74492763093410008</v>
      </c>
      <c r="AN72" s="292">
        <f t="shared" ref="AN72" si="104">AN71/AN64*100</f>
        <v>6.8023615826447159</v>
      </c>
      <c r="AO72" s="292" t="e">
        <f t="shared" ref="AO72" si="105">AO71/AO64*100</f>
        <v>#DIV/0!</v>
      </c>
      <c r="AP72" s="292" t="e">
        <f t="shared" ref="AP72:AQ72" si="106">AP71/AP64*100</f>
        <v>#DIV/0!</v>
      </c>
      <c r="AQ72" s="292">
        <f t="shared" si="106"/>
        <v>10.521885521885523</v>
      </c>
      <c r="AR72" s="292">
        <f t="shared" ref="AR72" si="107">AR71/AR64*100</f>
        <v>4.1537507749535028</v>
      </c>
      <c r="AS72" s="292">
        <f t="shared" ref="AS72" si="108">AS71/AS64*100</f>
        <v>13.525574653137296</v>
      </c>
      <c r="AT72" s="292">
        <f t="shared" ref="AT72" si="109">AT71/AT64*100</f>
        <v>1.1436331320769788</v>
      </c>
      <c r="AU72" s="292">
        <f t="shared" ref="AU72" si="110">AU71/AU64*100</f>
        <v>6.4204219777820244</v>
      </c>
      <c r="AV72" s="292">
        <f t="shared" ref="AV72" si="111">AV71/AV64*100</f>
        <v>1.9397366640426679</v>
      </c>
      <c r="AW72" s="292">
        <f t="shared" ref="AW72" si="112">AW71/AW64*100</f>
        <v>4.3044811320754715</v>
      </c>
      <c r="AX72" s="292">
        <f t="shared" ref="AX72" si="113">AX71/AX64*100</f>
        <v>0.97887953947283135</v>
      </c>
      <c r="AY72" s="292">
        <f t="shared" ref="AY72:AZ72" si="114">AY71/AY64*100</f>
        <v>4.3219350847134974</v>
      </c>
      <c r="AZ72" s="292">
        <f t="shared" si="114"/>
        <v>3.0000221440526449</v>
      </c>
      <c r="BA72" s="292">
        <f t="shared" ref="BA72" si="115">BA71/BA64*100</f>
        <v>1.0404190025301742E-2</v>
      </c>
      <c r="BB72" s="292">
        <f t="shared" ref="BB72" si="116">BB71/BB64*100</f>
        <v>6.1606793265465942</v>
      </c>
      <c r="BC72" s="292" t="e">
        <f t="shared" ref="BC72" si="117">BC71/BC64*100</f>
        <v>#DIV/0!</v>
      </c>
      <c r="BD72" s="292">
        <f t="shared" ref="BD72" si="118">BD71/BD64*100</f>
        <v>12.841755061619461</v>
      </c>
      <c r="BE72" s="292" t="e">
        <f t="shared" ref="BE72" si="119">BE71/BE64*100</f>
        <v>#DIV/0!</v>
      </c>
      <c r="BF72" s="292" t="e">
        <f t="shared" ref="BF72" si="120">BF71/BF64*100</f>
        <v>#DIV/0!</v>
      </c>
      <c r="BG72" s="292">
        <f t="shared" ref="BG72" si="121">BG71/BG64*100</f>
        <v>2.1022549069423428</v>
      </c>
      <c r="BH72" s="292">
        <f t="shared" ref="BH72:BI72" si="122">BH71/BH64*100</f>
        <v>7.6401625753818605</v>
      </c>
      <c r="BI72" s="292">
        <f t="shared" si="122"/>
        <v>0.58567833447723638</v>
      </c>
      <c r="BJ72" s="292">
        <f t="shared" ref="BJ72" si="123">BJ71/BJ64*100</f>
        <v>1.2926469693887608</v>
      </c>
      <c r="BK72" s="292">
        <f t="shared" ref="BK72" si="124">BK71/BK64*100</f>
        <v>2.212214923587442</v>
      </c>
      <c r="BL72" s="292">
        <f t="shared" ref="BL72" si="125">BL71/BL64*100</f>
        <v>8.0625752105896531</v>
      </c>
      <c r="BM72" s="292">
        <f t="shared" ref="BM72" si="126">BM71/BM64*100</f>
        <v>6.250234383789393E-3</v>
      </c>
      <c r="BN72" s="292">
        <f t="shared" ref="BN72" si="127">BN71/BN64*100</f>
        <v>9.1308678443584306</v>
      </c>
      <c r="BO72" s="292">
        <f t="shared" ref="BO72" si="128">BO71/BO64*100</f>
        <v>0.84050720133506085</v>
      </c>
      <c r="BP72" s="292">
        <f t="shared" ref="BP72" si="129">BP71/BP64*100</f>
        <v>54.186289234528928</v>
      </c>
      <c r="BQ72" s="292">
        <f t="shared" ref="BQ72:BR72" si="130">BQ71/BQ64*100</f>
        <v>10.114653508320179</v>
      </c>
      <c r="BR72" s="292" t="e">
        <f t="shared" si="130"/>
        <v>#DIV/0!</v>
      </c>
      <c r="BS72" s="292">
        <f t="shared" ref="BS72" si="131">BS71/BS64*100</f>
        <v>0.2793998491240815</v>
      </c>
      <c r="BT72" s="292">
        <f t="shared" ref="BT72" si="132">BT71/BT64*100</f>
        <v>6.0991150705050696</v>
      </c>
      <c r="BU72" s="292">
        <f t="shared" ref="BU72" si="133">BU71/BU64*100</f>
        <v>11.283421755620896</v>
      </c>
      <c r="BV72" s="292">
        <f t="shared" ref="BV72" si="134">BV71/BV64*100</f>
        <v>5.0368752606510236</v>
      </c>
      <c r="BW72" s="292">
        <f t="shared" ref="BW72" si="135">BW71/BW64*100</f>
        <v>0</v>
      </c>
      <c r="BX72" s="292">
        <f t="shared" ref="BX72" si="136">BX71/BX64*100</f>
        <v>0.90006333047144138</v>
      </c>
      <c r="BY72" s="292">
        <f t="shared" ref="BY72" si="137">BY71/BY64*100</f>
        <v>4.5606877458837252</v>
      </c>
      <c r="BZ72" s="292">
        <f t="shared" ref="BZ72:CA72" si="138">BZ71/BZ64*100</f>
        <v>0.15659254619480112</v>
      </c>
      <c r="CA72" s="292">
        <f t="shared" si="138"/>
        <v>3.6129462329490001</v>
      </c>
      <c r="CB72" s="292">
        <f t="shared" ref="CB72" si="139">CB71/CB64*100</f>
        <v>0</v>
      </c>
      <c r="CC72" s="292" t="e">
        <f t="shared" ref="CC72" si="140">CC71/CC64*100</f>
        <v>#DIV/0!</v>
      </c>
      <c r="CD72" s="292">
        <f t="shared" ref="CD72" si="141">CD71/CD64*100</f>
        <v>0</v>
      </c>
      <c r="CE72" s="292">
        <f t="shared" ref="CE72" si="142">CE71/CE64*100</f>
        <v>3.7228849743600745</v>
      </c>
      <c r="CF72" s="292">
        <f t="shared" ref="CF72" si="143">CF71/CF64*100</f>
        <v>0</v>
      </c>
      <c r="CG72" s="292">
        <f t="shared" ref="CG72" si="144">CG71/CG64*100</f>
        <v>0.22790204769989861</v>
      </c>
      <c r="CH72" s="292">
        <f t="shared" ref="CH72" si="145">CH71/CH64*100</f>
        <v>14.050343249427918</v>
      </c>
      <c r="CI72" s="292">
        <f t="shared" ref="CI72:CJ72" si="146">CI71/CI64*100</f>
        <v>7.2901023244762957</v>
      </c>
      <c r="CJ72" s="292">
        <f t="shared" si="146"/>
        <v>11.104941699056081</v>
      </c>
      <c r="CK72" s="292" t="e">
        <f t="shared" ref="CK72" si="147">CK71/CK64*100</f>
        <v>#DIV/0!</v>
      </c>
      <c r="CL72" s="292">
        <f t="shared" ref="CL72" si="148">CL71/CL64*100</f>
        <v>2.948147973443083E-3</v>
      </c>
      <c r="CM72" s="292">
        <f t="shared" ref="CM72" si="149">CM71/CM64*100</f>
        <v>10.386818966700622</v>
      </c>
      <c r="CN72" s="292">
        <f t="shared" ref="CN72" si="150">CN71/CN64*100</f>
        <v>0.54053287426661623</v>
      </c>
      <c r="CO72" s="292">
        <f t="shared" ref="CO72" si="151">CO71/CO64*100</f>
        <v>10.588493506245648</v>
      </c>
      <c r="CP72" s="292" t="e">
        <f t="shared" ref="CP72" si="152">CP71/CP64*100</f>
        <v>#DIV/0!</v>
      </c>
      <c r="CQ72" s="292">
        <f t="shared" ref="CQ72" si="153">CQ71/CQ64*100</f>
        <v>5.0070035455811999</v>
      </c>
      <c r="CR72" s="292">
        <f t="shared" ref="CR72:CS72" si="154">CR71/CR64*100</f>
        <v>0</v>
      </c>
      <c r="CS72" s="292" t="e">
        <f t="shared" si="154"/>
        <v>#DIV/0!</v>
      </c>
      <c r="CT72" s="292">
        <f t="shared" ref="CT72" si="155">CT71/CT64*100</f>
        <v>12.114717006714331</v>
      </c>
      <c r="CU72" s="292">
        <f t="shared" ref="CU72" si="156">CU71/CU64*100</f>
        <v>0.3653271338425772</v>
      </c>
      <c r="CV72" s="292">
        <f t="shared" ref="CV72" si="157">CV71/CV64*100</f>
        <v>0.21006836854961702</v>
      </c>
      <c r="CW72" s="292">
        <f t="shared" ref="CW72" si="158">CW71/CW64*100</f>
        <v>0.53522349197164765</v>
      </c>
    </row>
    <row r="73" spans="1:101" ht="87" customHeight="1" x14ac:dyDescent="0.25">
      <c r="A73" s="1651" t="s">
        <v>5005</v>
      </c>
      <c r="B73" s="1634" t="s">
        <v>4881</v>
      </c>
      <c r="C73" s="1636" t="s">
        <v>5006</v>
      </c>
      <c r="D73" s="112" t="s">
        <v>4831</v>
      </c>
      <c r="E73" s="112">
        <v>32</v>
      </c>
      <c r="F73" s="113" t="s">
        <v>5007</v>
      </c>
      <c r="G73" s="213" t="s">
        <v>5008</v>
      </c>
      <c r="H73" s="181" t="s">
        <v>4984</v>
      </c>
      <c r="I73" s="196" t="s">
        <v>4847</v>
      </c>
      <c r="J73" s="171"/>
      <c r="K73" s="171"/>
      <c r="L73" s="171" t="s">
        <v>500</v>
      </c>
      <c r="M73" s="171">
        <v>344.49962099999993</v>
      </c>
      <c r="N73" s="171">
        <v>714.58004827000002</v>
      </c>
      <c r="O73" s="172">
        <v>811.29691905000004</v>
      </c>
      <c r="P73" s="291">
        <f t="shared" ref="P73" si="159">SUM(Q73:CW73)</f>
        <v>928.76965999999982</v>
      </c>
      <c r="Q73" s="170">
        <f>SUMIFS('База практик'!$AP$5:$AP$311,'База практик'!$E$5:$E$311,Расчеты!Q$1)</f>
        <v>0.84940000000000004</v>
      </c>
      <c r="R73" s="170">
        <f>SUMIFS('База практик'!$AP$5:$AP$311,'База практик'!$E$5:$E$311,Расчеты!R$1)</f>
        <v>3.4407999999999999</v>
      </c>
      <c r="S73" s="170">
        <f>SUMIFS('База практик'!$AP$5:$AP$311,'База практик'!$E$5:$E$311,Расчеты!S$1)</f>
        <v>15.147399999999999</v>
      </c>
      <c r="T73" s="170">
        <f>SUMIFS('База практик'!$AP$5:$AP$311,'База практик'!$E$5:$E$311,Расчеты!T$1)</f>
        <v>4.0633999999999997</v>
      </c>
      <c r="U73" s="170">
        <f>SUMIFS('База практик'!$AP$5:$AP$311,'База практик'!$E$5:$E$311,Расчеты!U$1)</f>
        <v>0</v>
      </c>
      <c r="V73" s="170">
        <f>SUMIFS('База практик'!$AP$5:$AP$311,'База практик'!$E$5:$E$311,Расчеты!V$1)</f>
        <v>0.16200000000000001</v>
      </c>
      <c r="W73" s="170">
        <f>SUMIFS('База практик'!$AP$5:$AP$311,'База практик'!$E$5:$E$311,Расчеты!W$1)</f>
        <v>51.763799999999996</v>
      </c>
      <c r="X73" s="389">
        <f>SUMIFS('База практик'!$AP$5:$AP$311,'База практик'!$E$5:$E$311,Расчеты!X$1)</f>
        <v>0</v>
      </c>
      <c r="Y73" s="170">
        <f>SUMIFS('База практик'!$AP$5:$AP$311,'База практик'!$E$5:$E$311,Расчеты!Y$1)</f>
        <v>0</v>
      </c>
      <c r="Z73" s="170">
        <f>SUMIFS('База практик'!$AP$5:$AP$311,'База практик'!$E$5:$E$311,Расчеты!Z$1)</f>
        <v>0</v>
      </c>
      <c r="AA73" s="170">
        <f>SUMIFS('База практик'!$AP$5:$AP$311,'База практик'!$E$5:$E$311,Расчеты!AA$1)</f>
        <v>22.860800000000001</v>
      </c>
      <c r="AB73" s="170">
        <f>SUMIFS('База практик'!$AP$5:$AP$311,'База практик'!$E$5:$E$311,Расчеты!AB$1)</f>
        <v>1.4</v>
      </c>
      <c r="AC73" s="170">
        <f>SUMIFS('База практик'!$AP$5:$AP$311,'База практик'!$E$5:$E$311,Расчеты!AC$1)</f>
        <v>9.2200000000000006</v>
      </c>
      <c r="AD73" s="170">
        <f>SUMIFS('База практик'!$AP$5:$AP$311,'База практик'!$E$5:$E$311,Расчеты!AD$1)</f>
        <v>39.290799999999997</v>
      </c>
      <c r="AE73" s="170">
        <f>SUMIFS('База практик'!$AP$5:$AP$311,'База практик'!$E$5:$E$311,Расчеты!AE$1)</f>
        <v>60</v>
      </c>
      <c r="AF73" s="389">
        <f>SUMIFS('База практик'!$AP$5:$AP$311,'База практик'!$E$5:$E$311,Расчеты!AF$1)</f>
        <v>0</v>
      </c>
      <c r="AG73" s="170">
        <f>SUMIFS('База практик'!$AP$5:$AP$311,'База практик'!$E$5:$E$311,Расчеты!AG$1)</f>
        <v>0</v>
      </c>
      <c r="AH73" s="170">
        <f>SUMIFS('База практик'!$AP$5:$AP$311,'База практик'!$E$5:$E$311,Расчеты!AH$1)</f>
        <v>1.3424</v>
      </c>
      <c r="AI73" s="170">
        <f>SUMIFS('База практик'!$AP$5:$AP$311,'База практик'!$E$5:$E$311,Расчеты!AI$1)</f>
        <v>0</v>
      </c>
      <c r="AJ73" s="170">
        <f>SUMIFS('База практик'!$AP$5:$AP$311,'База практик'!$E$5:$E$311,Расчеты!AJ$1)</f>
        <v>0</v>
      </c>
      <c r="AK73" s="170">
        <f>SUMIFS('База практик'!$AP$5:$AP$311,'База практик'!$E$5:$E$311,Расчеты!AK$1)</f>
        <v>0</v>
      </c>
      <c r="AL73" s="170">
        <f>SUMIFS('База практик'!$AP$5:$AP$311,'База практик'!$E$5:$E$311,Расчеты!AL$1)</f>
        <v>0</v>
      </c>
      <c r="AM73" s="170">
        <f>SUMIFS('База практик'!$AP$5:$AP$311,'База практик'!$E$5:$E$311,Расчеты!AM$1)</f>
        <v>1.0873999999999999</v>
      </c>
      <c r="AN73" s="170">
        <f>SUMIFS('База практик'!$AP$5:$AP$311,'База практик'!$E$5:$E$311,Расчеты!AN$1)</f>
        <v>2.9117999999999999</v>
      </c>
      <c r="AO73" s="389">
        <f>SUMIFS('База практик'!$AP$5:$AP$311,'База практик'!$E$5:$E$311,Расчеты!AO$1)</f>
        <v>0</v>
      </c>
      <c r="AP73" s="389">
        <f>SUMIFS('База практик'!$AP$5:$AP$311,'База практик'!$E$5:$E$311,Расчеты!AP$1)</f>
        <v>0</v>
      </c>
      <c r="AQ73" s="170">
        <f>SUMIFS('База практик'!$AP$5:$AP$311,'База практик'!$E$5:$E$311,Расчеты!AQ$1)</f>
        <v>1</v>
      </c>
      <c r="AR73" s="170">
        <f>SUMIFS('База практик'!$AP$5:$AP$311,'База практик'!$E$5:$E$311,Расчеты!AR$1)</f>
        <v>8.5</v>
      </c>
      <c r="AS73" s="170">
        <f>SUMIFS('База практик'!$AP$5:$AP$311,'База практик'!$E$5:$E$311,Расчеты!AS$1)</f>
        <v>25.6</v>
      </c>
      <c r="AT73" s="170">
        <f>SUMIFS('База практик'!$AP$5:$AP$311,'База практик'!$E$5:$E$311,Расчеты!AT$1)</f>
        <v>8.2584</v>
      </c>
      <c r="AU73" s="170">
        <f>SUMIFS('База практик'!$AP$5:$AP$311,'База практик'!$E$5:$E$311,Расчеты!AU$1)</f>
        <v>3.21</v>
      </c>
      <c r="AV73" s="170">
        <f>SUMIFS('База практик'!$AP$5:$AP$311,'База практик'!$E$5:$E$311,Расчеты!AV$1)</f>
        <v>225.12547999999998</v>
      </c>
      <c r="AW73" s="170">
        <f>SUMIFS('База практик'!$AP$5:$AP$311,'База практик'!$E$5:$E$311,Расчеты!AW$1)</f>
        <v>10.2227</v>
      </c>
      <c r="AX73" s="170">
        <f>SUMIFS('База практик'!$AP$5:$AP$311,'База практик'!$E$5:$E$311,Расчеты!AX$1)</f>
        <v>1.208</v>
      </c>
      <c r="AY73" s="170">
        <f>SUMIFS('База практик'!$AP$5:$AP$311,'База практик'!$E$5:$E$311,Расчеты!AY$1)</f>
        <v>0.86939999999999995</v>
      </c>
      <c r="AZ73" s="170">
        <f>SUMIFS('База практик'!$AP$5:$AP$311,'База практик'!$E$5:$E$311,Расчеты!AZ$1)</f>
        <v>0</v>
      </c>
      <c r="BA73" s="170">
        <f>SUMIFS('База практик'!$AP$5:$AP$311,'База практик'!$E$5:$E$311,Расчеты!BA$1)</f>
        <v>0.61480000000000001</v>
      </c>
      <c r="BB73" s="170">
        <f>SUMIFS('База практик'!$AP$5:$AP$311,'База практик'!$E$5:$E$311,Расчеты!BB$1)</f>
        <v>0</v>
      </c>
      <c r="BC73" s="389">
        <f>SUMIFS('База практик'!$AP$5:$AP$311,'База практик'!$E$5:$E$311,Расчеты!BC$1)</f>
        <v>0</v>
      </c>
      <c r="BD73" s="170">
        <f>SUMIFS('База практик'!$AP$5:$AP$311,'База практик'!$E$5:$E$311,Расчеты!BD$1)</f>
        <v>0</v>
      </c>
      <c r="BE73" s="389">
        <f>SUMIFS('База практик'!$AP$5:$AP$311,'База практик'!$E$5:$E$311,Расчеты!BE$1)</f>
        <v>0</v>
      </c>
      <c r="BF73" s="389">
        <f>SUMIFS('База практик'!$AP$5:$AP$311,'База практик'!$E$5:$E$311,Расчеты!BF$1)</f>
        <v>0</v>
      </c>
      <c r="BG73" s="170">
        <f>SUMIFS('База практик'!$AP$5:$AP$311,'База практик'!$E$5:$E$311,Расчеты!BG$1)</f>
        <v>0</v>
      </c>
      <c r="BH73" s="170">
        <f>SUMIFS('База практик'!$AP$5:$AP$311,'База практик'!$E$5:$E$311,Расчеты!BH$1)</f>
        <v>11.4894</v>
      </c>
      <c r="BI73" s="170">
        <f>SUMIFS('База практик'!$AP$5:$AP$311,'База практик'!$E$5:$E$311,Расчеты!BI$1)</f>
        <v>9.8400000000000001E-2</v>
      </c>
      <c r="BJ73" s="170">
        <f>SUMIFS('База практик'!$AP$5:$AP$311,'База практик'!$E$5:$E$311,Расчеты!BJ$1)</f>
        <v>28.5824</v>
      </c>
      <c r="BK73" s="170">
        <f>SUMIFS('База практик'!$AP$5:$AP$311,'База практик'!$E$5:$E$311,Расчеты!BK$1)</f>
        <v>14.747799999999998</v>
      </c>
      <c r="BL73" s="170">
        <f>SUMIFS('База практик'!$AP$5:$AP$311,'База практик'!$E$5:$E$311,Расчеты!BL$1)</f>
        <v>0.6</v>
      </c>
      <c r="BM73" s="170">
        <f>SUMIFS('База практик'!$AP$5:$AP$311,'База практик'!$E$5:$E$311,Расчеты!BM$1)</f>
        <v>0.44999999999999996</v>
      </c>
      <c r="BN73" s="170">
        <f>SUMIFS('База практик'!$AP$5:$AP$311,'База практик'!$E$5:$E$311,Расчеты!BN$1)</f>
        <v>9.1883999999999997</v>
      </c>
      <c r="BO73" s="170">
        <f>SUMIFS('База практик'!$AP$5:$AP$311,'База практик'!$E$5:$E$311,Расчеты!BO$1)</f>
        <v>7.2894000000000005</v>
      </c>
      <c r="BP73" s="170">
        <f>SUMIFS('База практик'!$AP$5:$AP$311,'База практик'!$E$5:$E$311,Расчеты!BP$1)</f>
        <v>0</v>
      </c>
      <c r="BQ73" s="170">
        <f>SUMIFS('База практик'!$AP$5:$AP$311,'База практик'!$E$5:$E$311,Расчеты!BQ$1)</f>
        <v>0.16</v>
      </c>
      <c r="BR73" s="389">
        <f>SUMIFS('База практик'!$AP$5:$AP$311,'База практик'!$E$5:$E$311,Расчеты!BR$1)</f>
        <v>0</v>
      </c>
      <c r="BS73" s="170">
        <f>SUMIFS('База практик'!$AP$5:$AP$311,'База практик'!$E$5:$E$311,Расчеты!BS$1)</f>
        <v>0.05</v>
      </c>
      <c r="BT73" s="170">
        <f>SUMIFS('База практик'!$AP$5:$AP$311,'База практик'!$E$5:$E$311,Расчеты!BT$1)</f>
        <v>18.005800000000001</v>
      </c>
      <c r="BU73" s="170">
        <f>SUMIFS('База практик'!$AP$5:$AP$311,'База практик'!$E$5:$E$311,Расчеты!BU$1)</f>
        <v>6.1743999999999994</v>
      </c>
      <c r="BV73" s="170">
        <f>SUMIFS('База практик'!$AP$5:$AP$311,'База практик'!$E$5:$E$311,Расчеты!BV$1)</f>
        <v>27.04</v>
      </c>
      <c r="BW73" s="170">
        <f>SUMIFS('База практик'!$AP$5:$AP$311,'База практик'!$E$5:$E$311,Расчеты!BW$1)</f>
        <v>0</v>
      </c>
      <c r="BX73" s="170">
        <f>SUMIFS('База практик'!$AP$5:$AP$311,'База практик'!$E$5:$E$311,Расчеты!BX$1)</f>
        <v>15.603400000000001</v>
      </c>
      <c r="BY73" s="170">
        <f>SUMIFS('База практик'!$AP$5:$AP$311,'База практик'!$E$5:$E$311,Расчеты!BY$1)</f>
        <v>26.8</v>
      </c>
      <c r="BZ73" s="170">
        <f>SUMIFS('База практик'!$AP$5:$AP$311,'База практик'!$E$5:$E$311,Расчеты!BZ$1)</f>
        <v>2.4</v>
      </c>
      <c r="CA73" s="170">
        <f>SUMIFS('База практик'!$AP$5:$AP$311,'База практик'!$E$5:$E$311,Расчеты!CA$1)</f>
        <v>18.046400000000002</v>
      </c>
      <c r="CB73" s="170">
        <f>SUMIFS('База практик'!$AP$5:$AP$311,'База практик'!$E$5:$E$311,Расчеты!CB$1)</f>
        <v>0</v>
      </c>
      <c r="CC73" s="389">
        <f>SUMIFS('База практик'!$AP$5:$AP$311,'База практик'!$E$5:$E$311,Расчеты!CC$1)</f>
        <v>0</v>
      </c>
      <c r="CD73" s="170">
        <f>SUMIFS('База практик'!$AP$5:$AP$311,'База практик'!$E$5:$E$311,Расчеты!CD$1)</f>
        <v>0</v>
      </c>
      <c r="CE73" s="170">
        <f>SUMIFS('База практик'!$AP$5:$AP$311,'База практик'!$E$5:$E$311,Расчеты!CE$1)</f>
        <v>72.372399999999999</v>
      </c>
      <c r="CF73" s="170">
        <f>SUMIFS('База практик'!$AP$5:$AP$311,'База практик'!$E$5:$E$311,Расчеты!CF$1)</f>
        <v>1.45</v>
      </c>
      <c r="CG73" s="170">
        <f>SUMIFS('База практик'!$AP$5:$AP$311,'База практик'!$E$5:$E$311,Расчеты!CG$1)</f>
        <v>62.86</v>
      </c>
      <c r="CH73" s="170">
        <f>SUMIFS('База практик'!$AP$5:$AP$311,'База практик'!$E$5:$E$311,Расчеты!CH$1)</f>
        <v>9.9999999999990763E-2</v>
      </c>
      <c r="CI73" s="170">
        <f>SUMIFS('База практик'!$AP$5:$AP$311,'База практик'!$E$5:$E$311,Расчеты!CI$1)</f>
        <v>2.0653999999999999</v>
      </c>
      <c r="CJ73" s="170">
        <f>SUMIFS('База практик'!$AP$5:$AP$311,'База практик'!$E$5:$E$311,Расчеты!CJ$1)</f>
        <v>0</v>
      </c>
      <c r="CK73" s="389">
        <f>SUMIFS('База практик'!$AP$5:$AP$311,'База практик'!$E$5:$E$311,Расчеты!CK$1)</f>
        <v>0</v>
      </c>
      <c r="CL73" s="170">
        <f>SUMIFS('База практик'!$AP$5:$AP$311,'База практик'!$E$5:$E$311,Расчеты!CL$1)</f>
        <v>0</v>
      </c>
      <c r="CM73" s="170">
        <f>SUMIFS('База практик'!$AP$5:$AP$311,'База практик'!$E$5:$E$311,Расчеты!CM$1)</f>
        <v>21.675800000000002</v>
      </c>
      <c r="CN73" s="170">
        <f>SUMIFS('База практик'!$AP$5:$AP$311,'База практик'!$E$5:$E$311,Расчеты!CN$1)</f>
        <v>4.4400000000000002E-2</v>
      </c>
      <c r="CO73" s="170">
        <f>SUMIFS('База практик'!$AP$5:$AP$311,'База практик'!$E$5:$E$311,Расчеты!CO$1)</f>
        <v>6.21</v>
      </c>
      <c r="CP73" s="389">
        <f>SUMIFS('База практик'!$AP$5:$AP$311,'База практик'!$E$5:$E$311,Расчеты!CP$1)</f>
        <v>0</v>
      </c>
      <c r="CQ73" s="170">
        <f>SUMIFS('База практик'!$AP$5:$AP$311,'База практик'!$E$5:$E$311,Расчеты!CQ$1)</f>
        <v>62.486840000000008</v>
      </c>
      <c r="CR73" s="170">
        <f>SUMIFS('База практик'!$AP$5:$AP$311,'База практик'!$E$5:$E$311,Расчеты!CR$1)</f>
        <v>0</v>
      </c>
      <c r="CS73" s="389">
        <f>SUMIFS('База практик'!$AP$5:$AP$311,'База практик'!$E$5:$E$311,Расчеты!CS$1)</f>
        <v>0</v>
      </c>
      <c r="CT73" s="170">
        <f>SUMIFS('База практик'!$AP$5:$AP$311,'База практик'!$E$5:$E$311,Расчеты!CT$1)</f>
        <v>6.6024399999999996</v>
      </c>
      <c r="CU73" s="170">
        <f>SUMIFS('База практик'!$AP$5:$AP$311,'База практик'!$E$5:$E$311,Расчеты!CU$1)</f>
        <v>0</v>
      </c>
      <c r="CV73" s="170">
        <f>SUMIFS('База практик'!$AP$5:$AP$311,'База практик'!$E$5:$E$311,Расчеты!CV$1)</f>
        <v>7.3278000000000008</v>
      </c>
      <c r="CW73" s="170">
        <f>SUMIFS('База практик'!$AP$5:$AP$311,'База практик'!$E$5:$E$311,Расчеты!CW$1)</f>
        <v>0.7</v>
      </c>
    </row>
    <row r="74" spans="1:101" ht="39" thickBot="1" x14ac:dyDescent="0.3">
      <c r="A74" s="1652"/>
      <c r="B74" s="1646"/>
      <c r="C74" s="1646"/>
      <c r="D74" s="147" t="s">
        <v>4831</v>
      </c>
      <c r="E74" s="147">
        <v>33</v>
      </c>
      <c r="F74" s="155" t="s">
        <v>5009</v>
      </c>
      <c r="G74" s="215" t="s">
        <v>231</v>
      </c>
      <c r="H74" s="209" t="s">
        <v>52</v>
      </c>
      <c r="I74" s="216" t="s">
        <v>4994</v>
      </c>
      <c r="J74" s="171"/>
      <c r="K74" s="171"/>
      <c r="L74" s="171"/>
      <c r="M74" s="171">
        <v>2.3755754574201378E-2</v>
      </c>
      <c r="N74" s="171">
        <v>3.6997468696845275E-2</v>
      </c>
      <c r="O74" s="206">
        <v>3.3713873017953866E-2</v>
      </c>
      <c r="P74" s="292">
        <f>P73/P64*100</f>
        <v>2.9198809645599266</v>
      </c>
      <c r="Q74" s="292">
        <f t="shared" ref="Q74:CB74" si="160">Q73/Q64*100</f>
        <v>5.8402090209020905</v>
      </c>
      <c r="R74" s="292">
        <f t="shared" si="160"/>
        <v>3.6443637357639251</v>
      </c>
      <c r="S74" s="292">
        <f t="shared" si="160"/>
        <v>4.4461207908702383</v>
      </c>
      <c r="T74" s="292">
        <f t="shared" si="160"/>
        <v>2.2736759645245219</v>
      </c>
      <c r="U74" s="292">
        <f t="shared" si="160"/>
        <v>0</v>
      </c>
      <c r="V74" s="292">
        <f t="shared" si="160"/>
        <v>8.5714285714285712</v>
      </c>
      <c r="W74" s="292">
        <f t="shared" si="160"/>
        <v>1.9991318163807095</v>
      </c>
      <c r="X74" s="292" t="e">
        <f t="shared" si="160"/>
        <v>#DIV/0!</v>
      </c>
      <c r="Y74" s="292">
        <f t="shared" si="160"/>
        <v>0</v>
      </c>
      <c r="Z74" s="292">
        <f t="shared" si="160"/>
        <v>0</v>
      </c>
      <c r="AA74" s="292">
        <f t="shared" si="160"/>
        <v>3.0172602097885948</v>
      </c>
      <c r="AB74" s="292">
        <f t="shared" si="160"/>
        <v>0.9831460674157303</v>
      </c>
      <c r="AC74" s="292">
        <f t="shared" si="160"/>
        <v>4.073013853548205</v>
      </c>
      <c r="AD74" s="292">
        <f t="shared" si="160"/>
        <v>6.0953046399619986</v>
      </c>
      <c r="AE74" s="292">
        <f t="shared" si="160"/>
        <v>4.6549986539295558</v>
      </c>
      <c r="AF74" s="292" t="e">
        <f t="shared" si="160"/>
        <v>#DIV/0!</v>
      </c>
      <c r="AG74" s="292">
        <f t="shared" si="160"/>
        <v>0</v>
      </c>
      <c r="AH74" s="292">
        <f t="shared" si="160"/>
        <v>2.2533507328334785</v>
      </c>
      <c r="AI74" s="292">
        <f t="shared" si="160"/>
        <v>0</v>
      </c>
      <c r="AJ74" s="292">
        <f t="shared" si="160"/>
        <v>0</v>
      </c>
      <c r="AK74" s="292">
        <f t="shared" si="160"/>
        <v>0</v>
      </c>
      <c r="AL74" s="292">
        <f t="shared" si="160"/>
        <v>0</v>
      </c>
      <c r="AM74" s="292">
        <f t="shared" si="160"/>
        <v>1.1842606811078076</v>
      </c>
      <c r="AN74" s="292">
        <f t="shared" si="160"/>
        <v>1.554352700019217</v>
      </c>
      <c r="AO74" s="292" t="e">
        <f t="shared" si="160"/>
        <v>#DIV/0!</v>
      </c>
      <c r="AP74" s="292" t="e">
        <f t="shared" si="160"/>
        <v>#DIV/0!</v>
      </c>
      <c r="AQ74" s="292">
        <f t="shared" si="160"/>
        <v>0.84175084175084169</v>
      </c>
      <c r="AR74" s="292">
        <f t="shared" si="160"/>
        <v>5.2696838189708615</v>
      </c>
      <c r="AS74" s="292">
        <f t="shared" si="160"/>
        <v>6.6266307724166502</v>
      </c>
      <c r="AT74" s="292">
        <f t="shared" si="160"/>
        <v>5.4974271582913392</v>
      </c>
      <c r="AU74" s="292">
        <f t="shared" si="160"/>
        <v>0.54760215083112695</v>
      </c>
      <c r="AV74" s="292">
        <f t="shared" si="160"/>
        <v>15.556415787332279</v>
      </c>
      <c r="AW74" s="292">
        <f t="shared" si="160"/>
        <v>6.0275353773584905</v>
      </c>
      <c r="AX74" s="292">
        <f t="shared" si="160"/>
        <v>0.18211712362285232</v>
      </c>
      <c r="AY74" s="292">
        <f t="shared" si="160"/>
        <v>0.25860222729868643</v>
      </c>
      <c r="AZ74" s="292">
        <f t="shared" si="160"/>
        <v>0</v>
      </c>
      <c r="BA74" s="292">
        <f t="shared" si="160"/>
        <v>0.10893215305782546</v>
      </c>
      <c r="BB74" s="292">
        <f t="shared" si="160"/>
        <v>0</v>
      </c>
      <c r="BC74" s="292" t="e">
        <f t="shared" si="160"/>
        <v>#DIV/0!</v>
      </c>
      <c r="BD74" s="292">
        <f t="shared" si="160"/>
        <v>0</v>
      </c>
      <c r="BE74" s="292" t="e">
        <f t="shared" si="160"/>
        <v>#DIV/0!</v>
      </c>
      <c r="BF74" s="292" t="e">
        <f t="shared" si="160"/>
        <v>#DIV/0!</v>
      </c>
      <c r="BG74" s="292">
        <f t="shared" si="160"/>
        <v>0</v>
      </c>
      <c r="BH74" s="292">
        <f t="shared" si="160"/>
        <v>16.858245418396841</v>
      </c>
      <c r="BI74" s="292">
        <f t="shared" si="160"/>
        <v>0.45024021962937544</v>
      </c>
      <c r="BJ74" s="292">
        <f t="shared" si="160"/>
        <v>1.9979965789453447</v>
      </c>
      <c r="BK74" s="292">
        <f t="shared" si="160"/>
        <v>1.5423487566814578</v>
      </c>
      <c r="BL74" s="292">
        <f t="shared" si="160"/>
        <v>0.36101083032490977</v>
      </c>
      <c r="BM74" s="292">
        <f t="shared" si="160"/>
        <v>0.14063027363526132</v>
      </c>
      <c r="BN74" s="292">
        <f t="shared" si="160"/>
        <v>6.6851954250458352</v>
      </c>
      <c r="BO74" s="292">
        <f t="shared" si="160"/>
        <v>0.77554344220402438</v>
      </c>
      <c r="BP74" s="292">
        <f t="shared" si="160"/>
        <v>0</v>
      </c>
      <c r="BQ74" s="292">
        <f t="shared" si="160"/>
        <v>6.9171848236075764E-2</v>
      </c>
      <c r="BR74" s="292" t="e">
        <f t="shared" si="160"/>
        <v>#DIV/0!</v>
      </c>
      <c r="BS74" s="292">
        <f t="shared" si="160"/>
        <v>0.34924981140510186</v>
      </c>
      <c r="BT74" s="292">
        <f t="shared" si="160"/>
        <v>6.6780651717564323</v>
      </c>
      <c r="BU74" s="292">
        <f t="shared" si="160"/>
        <v>2.4328602508662276</v>
      </c>
      <c r="BV74" s="292">
        <f t="shared" si="160"/>
        <v>7.4189512500274359</v>
      </c>
      <c r="BW74" s="292">
        <f t="shared" si="160"/>
        <v>0</v>
      </c>
      <c r="BX74" s="292">
        <f t="shared" si="160"/>
        <v>1.5416079221381001</v>
      </c>
      <c r="BY74" s="292">
        <f t="shared" si="160"/>
        <v>3.9049978143668951</v>
      </c>
      <c r="BZ74" s="292">
        <f t="shared" si="160"/>
        <v>0.25054807391168177</v>
      </c>
      <c r="CA74" s="292">
        <f t="shared" si="160"/>
        <v>0.91904119297017917</v>
      </c>
      <c r="CB74" s="292">
        <f t="shared" si="160"/>
        <v>0</v>
      </c>
      <c r="CC74" s="292" t="e">
        <f t="shared" ref="CC74:CW74" si="161">CC73/CC64*100</f>
        <v>#DIV/0!</v>
      </c>
      <c r="CD74" s="292">
        <f t="shared" si="161"/>
        <v>0</v>
      </c>
      <c r="CE74" s="292">
        <f t="shared" si="161"/>
        <v>9.7051408586692975</v>
      </c>
      <c r="CF74" s="292">
        <f t="shared" si="161"/>
        <v>0.27008450851138727</v>
      </c>
      <c r="CG74" s="292">
        <f t="shared" si="161"/>
        <v>71.62961359207813</v>
      </c>
      <c r="CH74" s="292">
        <f t="shared" si="161"/>
        <v>4.5766590389011791E-2</v>
      </c>
      <c r="CI74" s="292">
        <f t="shared" si="161"/>
        <v>3.7398418670607634</v>
      </c>
      <c r="CJ74" s="292">
        <f t="shared" si="161"/>
        <v>0</v>
      </c>
      <c r="CK74" s="292" t="e">
        <f t="shared" si="161"/>
        <v>#DIV/0!</v>
      </c>
      <c r="CL74" s="292">
        <f t="shared" si="161"/>
        <v>0</v>
      </c>
      <c r="CM74" s="292">
        <f t="shared" si="161"/>
        <v>7.8302302562657573</v>
      </c>
      <c r="CN74" s="292">
        <f t="shared" si="161"/>
        <v>6.5057358681045703E-3</v>
      </c>
      <c r="CO74" s="292">
        <f t="shared" si="161"/>
        <v>0.98766138959663352</v>
      </c>
      <c r="CP74" s="292" t="e">
        <f t="shared" si="161"/>
        <v>#DIV/0!</v>
      </c>
      <c r="CQ74" s="292">
        <f t="shared" si="161"/>
        <v>18.803828743670049</v>
      </c>
      <c r="CR74" s="292">
        <f t="shared" si="161"/>
        <v>0</v>
      </c>
      <c r="CS74" s="292" t="e">
        <f t="shared" si="161"/>
        <v>#DIV/0!</v>
      </c>
      <c r="CT74" s="292">
        <f t="shared" si="161"/>
        <v>0.93249797327262085</v>
      </c>
      <c r="CU74" s="292">
        <f t="shared" si="161"/>
        <v>0</v>
      </c>
      <c r="CV74" s="292">
        <f t="shared" si="161"/>
        <v>2.3960821104817316</v>
      </c>
      <c r="CW74" s="292">
        <f t="shared" si="161"/>
        <v>0.10125849848112252</v>
      </c>
    </row>
    <row r="75" spans="1:101" ht="83.1" customHeight="1" x14ac:dyDescent="0.25">
      <c r="A75" s="1651" t="s">
        <v>5010</v>
      </c>
      <c r="B75" s="1634" t="s">
        <v>4881</v>
      </c>
      <c r="C75" s="1636" t="s">
        <v>5011</v>
      </c>
      <c r="D75" s="112" t="s">
        <v>4831</v>
      </c>
      <c r="E75" s="112">
        <v>34</v>
      </c>
      <c r="F75" s="113" t="s">
        <v>5012</v>
      </c>
      <c r="G75" s="213" t="s">
        <v>5013</v>
      </c>
      <c r="H75" s="181" t="s">
        <v>4984</v>
      </c>
      <c r="I75" s="196" t="s">
        <v>4847</v>
      </c>
      <c r="J75" s="171"/>
      <c r="K75" s="171"/>
      <c r="L75" s="171" t="s">
        <v>500</v>
      </c>
      <c r="M75" s="171">
        <v>8.1867000000000001</v>
      </c>
      <c r="N75" s="171">
        <v>105.38817269000002</v>
      </c>
      <c r="O75" s="172">
        <v>101.8599196</v>
      </c>
      <c r="P75" s="435" t="s">
        <v>5448</v>
      </c>
      <c r="Q75" s="170"/>
      <c r="R75" s="170"/>
      <c r="S75" s="170"/>
      <c r="T75" s="170"/>
      <c r="U75" s="170"/>
      <c r="V75" s="170"/>
      <c r="W75" s="170"/>
      <c r="X75" s="389"/>
      <c r="Y75" s="170"/>
      <c r="Z75" s="170"/>
      <c r="AA75" s="170"/>
      <c r="AB75" s="170"/>
      <c r="AC75" s="170"/>
      <c r="AD75" s="170"/>
      <c r="AE75" s="170"/>
      <c r="AF75" s="389"/>
      <c r="AG75" s="170"/>
      <c r="AH75" s="170"/>
      <c r="AI75" s="170"/>
      <c r="AJ75" s="170"/>
      <c r="AK75" s="170"/>
      <c r="AL75" s="170"/>
      <c r="AM75" s="170"/>
      <c r="AN75" s="170"/>
      <c r="AO75" s="389"/>
      <c r="AP75" s="389"/>
      <c r="AQ75" s="170"/>
      <c r="AR75" s="170"/>
      <c r="AS75" s="170"/>
      <c r="AT75" s="170"/>
      <c r="AU75" s="170"/>
      <c r="AV75" s="170"/>
      <c r="AW75" s="170"/>
      <c r="AX75" s="170"/>
      <c r="AY75" s="170"/>
      <c r="AZ75" s="170"/>
      <c r="BA75" s="170"/>
      <c r="BB75" s="170"/>
      <c r="BC75" s="389"/>
      <c r="BD75" s="170"/>
      <c r="BE75" s="389"/>
      <c r="BF75" s="389"/>
      <c r="BG75" s="170"/>
      <c r="BH75" s="170"/>
      <c r="BI75" s="170"/>
      <c r="BJ75" s="170"/>
      <c r="BK75" s="170"/>
      <c r="BL75" s="170"/>
      <c r="BM75" s="170"/>
      <c r="BN75" s="170"/>
      <c r="BO75" s="170"/>
      <c r="BP75" s="170"/>
      <c r="BQ75" s="170"/>
      <c r="BR75" s="389"/>
      <c r="BS75" s="170"/>
      <c r="BT75" s="170"/>
      <c r="BU75" s="170"/>
      <c r="BV75" s="170"/>
      <c r="BW75" s="170"/>
      <c r="BX75" s="170"/>
      <c r="BY75" s="170"/>
      <c r="BZ75" s="170"/>
      <c r="CA75" s="170"/>
      <c r="CB75" s="170"/>
      <c r="CC75" s="389"/>
      <c r="CD75" s="170"/>
      <c r="CE75" s="170"/>
      <c r="CF75" s="170"/>
      <c r="CG75" s="170"/>
      <c r="CH75" s="170"/>
      <c r="CI75" s="170"/>
      <c r="CJ75" s="170"/>
      <c r="CK75" s="389"/>
      <c r="CL75" s="170"/>
      <c r="CM75" s="170"/>
      <c r="CN75" s="170"/>
      <c r="CO75" s="170"/>
      <c r="CP75" s="389"/>
      <c r="CQ75" s="170"/>
      <c r="CR75" s="170"/>
      <c r="CS75" s="389"/>
      <c r="CT75" s="170"/>
      <c r="CU75" s="170"/>
      <c r="CV75" s="170"/>
      <c r="CW75" s="289"/>
    </row>
    <row r="76" spans="1:101" ht="39" thickBot="1" x14ac:dyDescent="0.3">
      <c r="A76" s="1652"/>
      <c r="B76" s="1646"/>
      <c r="C76" s="1646"/>
      <c r="D76" s="119" t="s">
        <v>4831</v>
      </c>
      <c r="E76" s="119">
        <v>35</v>
      </c>
      <c r="F76" s="125" t="s">
        <v>5014</v>
      </c>
      <c r="G76" s="210" t="s">
        <v>231</v>
      </c>
      <c r="H76" s="193" t="s">
        <v>52</v>
      </c>
      <c r="I76" s="214" t="s">
        <v>4994</v>
      </c>
      <c r="J76" s="171"/>
      <c r="K76" s="171"/>
      <c r="L76" s="171"/>
      <c r="M76" s="171">
        <v>5.6453251068341371E-4</v>
      </c>
      <c r="N76" s="171">
        <v>5.4564854274279278E-3</v>
      </c>
      <c r="O76" s="206">
        <v>4.2328428894252311E-3</v>
      </c>
      <c r="P76" s="435" t="s">
        <v>5448</v>
      </c>
      <c r="Q76" s="170"/>
      <c r="R76" s="170"/>
      <c r="S76" s="170"/>
      <c r="T76" s="170"/>
      <c r="U76" s="170"/>
      <c r="V76" s="170"/>
      <c r="W76" s="170"/>
      <c r="X76" s="389"/>
      <c r="Y76" s="170"/>
      <c r="Z76" s="170"/>
      <c r="AA76" s="170"/>
      <c r="AB76" s="170"/>
      <c r="AC76" s="170"/>
      <c r="AD76" s="170"/>
      <c r="AE76" s="170"/>
      <c r="AF76" s="389"/>
      <c r="AG76" s="170"/>
      <c r="AH76" s="170"/>
      <c r="AI76" s="170"/>
      <c r="AJ76" s="170"/>
      <c r="AK76" s="170"/>
      <c r="AL76" s="170"/>
      <c r="AM76" s="170"/>
      <c r="AN76" s="170"/>
      <c r="AO76" s="389"/>
      <c r="AP76" s="389"/>
      <c r="AQ76" s="170"/>
      <c r="AR76" s="170"/>
      <c r="AS76" s="170"/>
      <c r="AT76" s="170"/>
      <c r="AU76" s="170"/>
      <c r="AV76" s="170"/>
      <c r="AW76" s="170"/>
      <c r="AX76" s="170"/>
      <c r="AY76" s="170"/>
      <c r="AZ76" s="170"/>
      <c r="BA76" s="170"/>
      <c r="BB76" s="170"/>
      <c r="BC76" s="389"/>
      <c r="BD76" s="170"/>
      <c r="BE76" s="389"/>
      <c r="BF76" s="389"/>
      <c r="BG76" s="170"/>
      <c r="BH76" s="170"/>
      <c r="BI76" s="170"/>
      <c r="BJ76" s="170"/>
      <c r="BK76" s="170"/>
      <c r="BL76" s="170"/>
      <c r="BM76" s="170"/>
      <c r="BN76" s="170"/>
      <c r="BO76" s="170"/>
      <c r="BP76" s="170"/>
      <c r="BQ76" s="170"/>
      <c r="BR76" s="389"/>
      <c r="BS76" s="170"/>
      <c r="BT76" s="170"/>
      <c r="BU76" s="170"/>
      <c r="BV76" s="170"/>
      <c r="BW76" s="170"/>
      <c r="BX76" s="170"/>
      <c r="BY76" s="170"/>
      <c r="BZ76" s="170"/>
      <c r="CA76" s="170"/>
      <c r="CB76" s="170"/>
      <c r="CC76" s="389"/>
      <c r="CD76" s="170"/>
      <c r="CE76" s="170"/>
      <c r="CF76" s="170"/>
      <c r="CG76" s="170"/>
      <c r="CH76" s="170"/>
      <c r="CI76" s="170"/>
      <c r="CJ76" s="170"/>
      <c r="CK76" s="389"/>
      <c r="CL76" s="170"/>
      <c r="CM76" s="170"/>
      <c r="CN76" s="170"/>
      <c r="CO76" s="170"/>
      <c r="CP76" s="389"/>
      <c r="CQ76" s="170"/>
      <c r="CR76" s="170"/>
      <c r="CS76" s="389"/>
      <c r="CT76" s="170"/>
      <c r="CU76" s="170"/>
      <c r="CV76" s="170"/>
      <c r="CW76" s="289"/>
    </row>
    <row r="77" spans="1:101" ht="111" customHeight="1" x14ac:dyDescent="0.25">
      <c r="A77" s="1651" t="s">
        <v>5015</v>
      </c>
      <c r="B77" s="1634" t="s">
        <v>4829</v>
      </c>
      <c r="C77" s="1636" t="s">
        <v>5016</v>
      </c>
      <c r="D77" s="112" t="s">
        <v>4831</v>
      </c>
      <c r="E77" s="112">
        <v>36</v>
      </c>
      <c r="F77" s="113" t="s">
        <v>5017</v>
      </c>
      <c r="G77" s="213" t="s">
        <v>5018</v>
      </c>
      <c r="H77" s="217" t="s">
        <v>4984</v>
      </c>
      <c r="I77" s="196" t="s">
        <v>4847</v>
      </c>
      <c r="J77" s="171"/>
      <c r="K77" s="171"/>
      <c r="L77" s="171" t="s">
        <v>500</v>
      </c>
      <c r="M77" s="171">
        <v>1129.2392339999999</v>
      </c>
      <c r="N77" s="171">
        <v>1943.0827900599993</v>
      </c>
      <c r="O77" s="172">
        <v>2180.4039977400002</v>
      </c>
      <c r="P77" s="169">
        <f>P73+P71</f>
        <v>2013.9450096</v>
      </c>
      <c r="Q77" s="169">
        <f t="shared" ref="Q77:CB77" si="162">Q73+Q71</f>
        <v>2.0274000000000001</v>
      </c>
      <c r="R77" s="169">
        <f t="shared" si="162"/>
        <v>6.4488000000000003</v>
      </c>
      <c r="S77" s="169">
        <f t="shared" si="162"/>
        <v>38.083399999999997</v>
      </c>
      <c r="T77" s="169">
        <f t="shared" si="162"/>
        <v>7.7563999999999993</v>
      </c>
      <c r="U77" s="169">
        <f t="shared" si="162"/>
        <v>0</v>
      </c>
      <c r="V77" s="169">
        <f t="shared" si="162"/>
        <v>0.40900000000000003</v>
      </c>
      <c r="W77" s="169">
        <f t="shared" si="162"/>
        <v>120.8828</v>
      </c>
      <c r="X77" s="169">
        <f t="shared" si="162"/>
        <v>0</v>
      </c>
      <c r="Y77" s="169">
        <f t="shared" si="162"/>
        <v>5.7</v>
      </c>
      <c r="Z77" s="169">
        <f t="shared" si="162"/>
        <v>0</v>
      </c>
      <c r="AA77" s="169">
        <f t="shared" si="162"/>
        <v>99.9238</v>
      </c>
      <c r="AB77" s="169">
        <f t="shared" si="162"/>
        <v>3.8</v>
      </c>
      <c r="AC77" s="169">
        <f t="shared" si="162"/>
        <v>27.588999999999999</v>
      </c>
      <c r="AD77" s="169">
        <f t="shared" si="162"/>
        <v>68.464609999999993</v>
      </c>
      <c r="AE77" s="169">
        <f t="shared" si="162"/>
        <v>60</v>
      </c>
      <c r="AF77" s="169">
        <f t="shared" si="162"/>
        <v>0</v>
      </c>
      <c r="AG77" s="169">
        <f t="shared" si="162"/>
        <v>0.99</v>
      </c>
      <c r="AH77" s="169">
        <f t="shared" si="162"/>
        <v>3.9624000000000001</v>
      </c>
      <c r="AI77" s="169">
        <f t="shared" si="162"/>
        <v>0.2</v>
      </c>
      <c r="AJ77" s="169">
        <f t="shared" si="162"/>
        <v>0</v>
      </c>
      <c r="AK77" s="169">
        <f t="shared" si="162"/>
        <v>0.5</v>
      </c>
      <c r="AL77" s="169">
        <f t="shared" si="162"/>
        <v>14.457000000000001</v>
      </c>
      <c r="AM77" s="169">
        <f t="shared" si="162"/>
        <v>1.7713999999999999</v>
      </c>
      <c r="AN77" s="169">
        <f t="shared" si="162"/>
        <v>15.6548</v>
      </c>
      <c r="AO77" s="169">
        <f t="shared" si="162"/>
        <v>0</v>
      </c>
      <c r="AP77" s="169">
        <f t="shared" si="162"/>
        <v>0</v>
      </c>
      <c r="AQ77" s="169">
        <f t="shared" si="162"/>
        <v>13.5</v>
      </c>
      <c r="AR77" s="169">
        <f t="shared" si="162"/>
        <v>15.2</v>
      </c>
      <c r="AS77" s="169">
        <f t="shared" si="162"/>
        <v>77.852000000000004</v>
      </c>
      <c r="AT77" s="169">
        <f t="shared" si="162"/>
        <v>9.9763999999999999</v>
      </c>
      <c r="AU77" s="169">
        <f t="shared" si="162"/>
        <v>40.846000000000004</v>
      </c>
      <c r="AV77" s="169">
        <f t="shared" si="162"/>
        <v>253.19647999999998</v>
      </c>
      <c r="AW77" s="169">
        <f t="shared" si="162"/>
        <v>17.523099999999999</v>
      </c>
      <c r="AX77" s="169">
        <f t="shared" si="162"/>
        <v>7.7010000000000005</v>
      </c>
      <c r="AY77" s="169">
        <f t="shared" si="162"/>
        <v>15.3994</v>
      </c>
      <c r="AZ77" s="169">
        <f t="shared" si="162"/>
        <v>4.0141999999999997E-2</v>
      </c>
      <c r="BA77" s="169">
        <f t="shared" si="162"/>
        <v>0.67352000000000001</v>
      </c>
      <c r="BB77" s="169">
        <f t="shared" si="162"/>
        <v>5.0350000000000001</v>
      </c>
      <c r="BC77" s="169">
        <f t="shared" si="162"/>
        <v>0</v>
      </c>
      <c r="BD77" s="169">
        <f t="shared" si="162"/>
        <v>5.4838442000000001</v>
      </c>
      <c r="BE77" s="169">
        <f t="shared" si="162"/>
        <v>0</v>
      </c>
      <c r="BF77" s="169">
        <f t="shared" si="162"/>
        <v>0</v>
      </c>
      <c r="BG77" s="169">
        <f t="shared" si="162"/>
        <v>13.767099999999999</v>
      </c>
      <c r="BH77" s="169">
        <f t="shared" si="162"/>
        <v>16.696400000000001</v>
      </c>
      <c r="BI77" s="169">
        <f t="shared" si="162"/>
        <v>0.22639999999999999</v>
      </c>
      <c r="BJ77" s="169">
        <f t="shared" si="162"/>
        <v>47.074399999999997</v>
      </c>
      <c r="BK77" s="169">
        <f t="shared" si="162"/>
        <v>35.900799999999997</v>
      </c>
      <c r="BL77" s="169">
        <f t="shared" si="162"/>
        <v>14</v>
      </c>
      <c r="BM77" s="169">
        <f t="shared" si="162"/>
        <v>0.47</v>
      </c>
      <c r="BN77" s="169">
        <f t="shared" si="162"/>
        <v>21.738230000000001</v>
      </c>
      <c r="BO77" s="169">
        <f t="shared" si="162"/>
        <v>15.189400000000001</v>
      </c>
      <c r="BP77" s="169">
        <f t="shared" si="162"/>
        <v>21.286000000000001</v>
      </c>
      <c r="BQ77" s="169">
        <f t="shared" si="162"/>
        <v>23.556000000000001</v>
      </c>
      <c r="BR77" s="169">
        <f t="shared" si="162"/>
        <v>0</v>
      </c>
      <c r="BS77" s="169">
        <f t="shared" si="162"/>
        <v>0.09</v>
      </c>
      <c r="BT77" s="169">
        <f t="shared" si="162"/>
        <v>34.450600000000001</v>
      </c>
      <c r="BU77" s="169">
        <f t="shared" si="162"/>
        <v>34.8108</v>
      </c>
      <c r="BV77" s="169">
        <f t="shared" si="162"/>
        <v>45.397999999999996</v>
      </c>
      <c r="BW77" s="169">
        <f t="shared" si="162"/>
        <v>0</v>
      </c>
      <c r="BX77" s="169">
        <f t="shared" si="162"/>
        <v>24.7134</v>
      </c>
      <c r="BY77" s="169">
        <f t="shared" si="162"/>
        <v>58.1</v>
      </c>
      <c r="BZ77" s="169">
        <f t="shared" si="162"/>
        <v>3.9</v>
      </c>
      <c r="CA77" s="169">
        <f t="shared" si="162"/>
        <v>88.990633400000021</v>
      </c>
      <c r="CB77" s="169">
        <f t="shared" si="162"/>
        <v>0</v>
      </c>
      <c r="CC77" s="169">
        <f t="shared" ref="CC77:CW77" si="163">CC73+CC71</f>
        <v>0</v>
      </c>
      <c r="CD77" s="169">
        <f t="shared" si="163"/>
        <v>0</v>
      </c>
      <c r="CE77" s="169">
        <f t="shared" si="163"/>
        <v>100.1344</v>
      </c>
      <c r="CF77" s="169">
        <f t="shared" si="163"/>
        <v>1.45</v>
      </c>
      <c r="CG77" s="169">
        <f t="shared" si="163"/>
        <v>63.06</v>
      </c>
      <c r="CH77" s="169">
        <f t="shared" si="163"/>
        <v>30.79999999999999</v>
      </c>
      <c r="CI77" s="169">
        <f t="shared" si="163"/>
        <v>6.0914999999999999</v>
      </c>
      <c r="CJ77" s="169">
        <f t="shared" si="163"/>
        <v>60</v>
      </c>
      <c r="CK77" s="169">
        <f t="shared" si="163"/>
        <v>0</v>
      </c>
      <c r="CL77" s="169">
        <f t="shared" si="163"/>
        <v>1.4999999999999999E-2</v>
      </c>
      <c r="CM77" s="169">
        <f t="shared" si="163"/>
        <v>50.428800000000003</v>
      </c>
      <c r="CN77" s="169">
        <f t="shared" si="163"/>
        <v>3.7334000000000001</v>
      </c>
      <c r="CO77" s="169">
        <f t="shared" si="163"/>
        <v>72.786000000000001</v>
      </c>
      <c r="CP77" s="169">
        <f t="shared" si="163"/>
        <v>0</v>
      </c>
      <c r="CQ77" s="169">
        <f t="shared" si="163"/>
        <v>79.12557000000001</v>
      </c>
      <c r="CR77" s="169">
        <f t="shared" si="163"/>
        <v>0</v>
      </c>
      <c r="CS77" s="169">
        <f t="shared" si="163"/>
        <v>0</v>
      </c>
      <c r="CT77" s="169">
        <f t="shared" si="163"/>
        <v>92.37924000000001</v>
      </c>
      <c r="CU77" s="169">
        <f t="shared" si="163"/>
        <v>0.16500000000000001</v>
      </c>
      <c r="CV77" s="169">
        <f t="shared" si="163"/>
        <v>7.9702400000000004</v>
      </c>
      <c r="CW77" s="169">
        <f t="shared" si="163"/>
        <v>4.4000000000000004</v>
      </c>
    </row>
    <row r="78" spans="1:101" ht="39" thickBot="1" x14ac:dyDescent="0.3">
      <c r="A78" s="1652"/>
      <c r="B78" s="1646"/>
      <c r="C78" s="1646"/>
      <c r="D78" s="119" t="s">
        <v>4831</v>
      </c>
      <c r="E78" s="119">
        <v>37</v>
      </c>
      <c r="F78" s="125" t="s">
        <v>5019</v>
      </c>
      <c r="G78" s="210" t="s">
        <v>231</v>
      </c>
      <c r="H78" s="218" t="s">
        <v>52</v>
      </c>
      <c r="I78" s="214" t="s">
        <v>4994</v>
      </c>
      <c r="J78" s="171"/>
      <c r="K78" s="171"/>
      <c r="L78" s="171"/>
      <c r="M78" s="428">
        <v>7.7869258667379385E-2</v>
      </c>
      <c r="N78" s="428">
        <v>0.10060334720325231</v>
      </c>
      <c r="O78" s="206">
        <v>9.0607842556240437E-2</v>
      </c>
      <c r="P78" s="169">
        <f>P77/P64*100</f>
        <v>6.3314726465133448</v>
      </c>
      <c r="Q78" s="169">
        <f t="shared" ref="Q78:CB78" si="164">Q77/Q64*100</f>
        <v>13.939768976897691</v>
      </c>
      <c r="R78" s="169">
        <f t="shared" si="164"/>
        <v>6.8303222678430604</v>
      </c>
      <c r="S78" s="169">
        <f t="shared" si="164"/>
        <v>11.178380218851265</v>
      </c>
      <c r="T78" s="169">
        <f t="shared" si="164"/>
        <v>4.3400945639705677</v>
      </c>
      <c r="U78" s="169">
        <f t="shared" si="164"/>
        <v>0</v>
      </c>
      <c r="V78" s="169">
        <f t="shared" si="164"/>
        <v>21.640211640211643</v>
      </c>
      <c r="W78" s="169">
        <f t="shared" si="164"/>
        <v>4.6685261038251831</v>
      </c>
      <c r="X78" s="169" t="e">
        <f t="shared" si="164"/>
        <v>#DIV/0!</v>
      </c>
      <c r="Y78" s="169">
        <f t="shared" si="164"/>
        <v>5.2924791086350975</v>
      </c>
      <c r="Z78" s="169">
        <f t="shared" si="164"/>
        <v>0</v>
      </c>
      <c r="AA78" s="169">
        <f t="shared" si="164"/>
        <v>13.188344491482082</v>
      </c>
      <c r="AB78" s="169">
        <f t="shared" si="164"/>
        <v>2.6685393258426964</v>
      </c>
      <c r="AC78" s="169">
        <f t="shared" si="164"/>
        <v>12.187676703420978</v>
      </c>
      <c r="AD78" s="169">
        <f t="shared" si="164"/>
        <v>10.621128992186177</v>
      </c>
      <c r="AE78" s="169">
        <f t="shared" si="164"/>
        <v>4.6549986539295558</v>
      </c>
      <c r="AF78" s="169" t="e">
        <f t="shared" si="164"/>
        <v>#DIV/0!</v>
      </c>
      <c r="AG78" s="169">
        <f t="shared" si="164"/>
        <v>5.0228310502283104</v>
      </c>
      <c r="AH78" s="169">
        <f t="shared" si="164"/>
        <v>6.6512790105627051</v>
      </c>
      <c r="AI78" s="169">
        <f t="shared" si="164"/>
        <v>4</v>
      </c>
      <c r="AJ78" s="169">
        <f t="shared" si="164"/>
        <v>0</v>
      </c>
      <c r="AK78" s="169">
        <f t="shared" si="164"/>
        <v>0.65616797900262469</v>
      </c>
      <c r="AL78" s="169">
        <f t="shared" si="164"/>
        <v>2.2374858193513045</v>
      </c>
      <c r="AM78" s="169">
        <f t="shared" si="164"/>
        <v>1.9291883120419078</v>
      </c>
      <c r="AN78" s="169">
        <f t="shared" si="164"/>
        <v>8.3567142826639316</v>
      </c>
      <c r="AO78" s="169" t="e">
        <f t="shared" si="164"/>
        <v>#DIV/0!</v>
      </c>
      <c r="AP78" s="169" t="e">
        <f t="shared" si="164"/>
        <v>#DIV/0!</v>
      </c>
      <c r="AQ78" s="169">
        <f t="shared" si="164"/>
        <v>11.363636363636363</v>
      </c>
      <c r="AR78" s="169">
        <f t="shared" si="164"/>
        <v>9.4234345939243642</v>
      </c>
      <c r="AS78" s="169">
        <f t="shared" si="164"/>
        <v>20.152205425553944</v>
      </c>
      <c r="AT78" s="169">
        <f t="shared" si="164"/>
        <v>6.6410602903683182</v>
      </c>
      <c r="AU78" s="169">
        <f t="shared" si="164"/>
        <v>6.968024128613151</v>
      </c>
      <c r="AV78" s="169">
        <f t="shared" si="164"/>
        <v>17.496152451374947</v>
      </c>
      <c r="AW78" s="169">
        <f t="shared" si="164"/>
        <v>10.332016509433963</v>
      </c>
      <c r="AX78" s="169">
        <f t="shared" si="164"/>
        <v>1.1609966630956836</v>
      </c>
      <c r="AY78" s="169">
        <f t="shared" si="164"/>
        <v>4.5805373120121828</v>
      </c>
      <c r="AZ78" s="169">
        <f t="shared" si="164"/>
        <v>3.0000221440526449</v>
      </c>
      <c r="BA78" s="169">
        <f t="shared" si="164"/>
        <v>0.11933634308312721</v>
      </c>
      <c r="BB78" s="169">
        <f t="shared" si="164"/>
        <v>6.1606793265465942</v>
      </c>
      <c r="BC78" s="169" t="e">
        <f t="shared" si="164"/>
        <v>#DIV/0!</v>
      </c>
      <c r="BD78" s="169">
        <f t="shared" si="164"/>
        <v>12.841755061619461</v>
      </c>
      <c r="BE78" s="169" t="e">
        <f t="shared" si="164"/>
        <v>#DIV/0!</v>
      </c>
      <c r="BF78" s="169" t="e">
        <f t="shared" si="164"/>
        <v>#DIV/0!</v>
      </c>
      <c r="BG78" s="169">
        <f t="shared" si="164"/>
        <v>2.1022549069423428</v>
      </c>
      <c r="BH78" s="169">
        <f t="shared" si="164"/>
        <v>24.498407993778702</v>
      </c>
      <c r="BI78" s="169">
        <f t="shared" si="164"/>
        <v>1.0359185541066118</v>
      </c>
      <c r="BJ78" s="169">
        <f t="shared" si="164"/>
        <v>3.2906435483341054</v>
      </c>
      <c r="BK78" s="169">
        <f t="shared" si="164"/>
        <v>3.7545636802689</v>
      </c>
      <c r="BL78" s="169">
        <f t="shared" si="164"/>
        <v>8.4235860409145609</v>
      </c>
      <c r="BM78" s="169">
        <f t="shared" si="164"/>
        <v>0.14688050801905073</v>
      </c>
      <c r="BN78" s="169">
        <f t="shared" si="164"/>
        <v>15.816063269404266</v>
      </c>
      <c r="BO78" s="169">
        <f t="shared" si="164"/>
        <v>1.6160506435390849</v>
      </c>
      <c r="BP78" s="169">
        <f t="shared" si="164"/>
        <v>54.186289234528928</v>
      </c>
      <c r="BQ78" s="169">
        <f t="shared" si="164"/>
        <v>10.183825356556255</v>
      </c>
      <c r="BR78" s="169" t="e">
        <f t="shared" si="164"/>
        <v>#DIV/0!</v>
      </c>
      <c r="BS78" s="169">
        <f t="shared" si="164"/>
        <v>0.62864966052918336</v>
      </c>
      <c r="BT78" s="169">
        <f t="shared" si="164"/>
        <v>12.777180242261501</v>
      </c>
      <c r="BU78" s="169">
        <f t="shared" si="164"/>
        <v>13.716282006487123</v>
      </c>
      <c r="BV78" s="169">
        <f t="shared" si="164"/>
        <v>12.455826510678458</v>
      </c>
      <c r="BW78" s="169">
        <f t="shared" si="164"/>
        <v>0</v>
      </c>
      <c r="BX78" s="169">
        <f t="shared" si="164"/>
        <v>2.4416712526095412</v>
      </c>
      <c r="BY78" s="169">
        <f t="shared" si="164"/>
        <v>8.4656855602506198</v>
      </c>
      <c r="BZ78" s="169">
        <f t="shared" si="164"/>
        <v>0.40714062010648283</v>
      </c>
      <c r="CA78" s="169">
        <f t="shared" si="164"/>
        <v>4.5319874259191799</v>
      </c>
      <c r="CB78" s="169">
        <f t="shared" si="164"/>
        <v>0</v>
      </c>
      <c r="CC78" s="169" t="e">
        <f t="shared" ref="CC78:CW78" si="165">CC77/CC64*100</f>
        <v>#DIV/0!</v>
      </c>
      <c r="CD78" s="169">
        <f t="shared" si="165"/>
        <v>0</v>
      </c>
      <c r="CE78" s="169">
        <f t="shared" si="165"/>
        <v>13.428025833029372</v>
      </c>
      <c r="CF78" s="169">
        <f t="shared" si="165"/>
        <v>0.27008450851138727</v>
      </c>
      <c r="CG78" s="169">
        <f t="shared" si="165"/>
        <v>71.857515639778029</v>
      </c>
      <c r="CH78" s="169">
        <f t="shared" si="165"/>
        <v>14.096109839816929</v>
      </c>
      <c r="CI78" s="169">
        <f t="shared" si="165"/>
        <v>11.02994419153706</v>
      </c>
      <c r="CJ78" s="169">
        <f t="shared" si="165"/>
        <v>11.104941699056081</v>
      </c>
      <c r="CK78" s="169" t="e">
        <f t="shared" si="165"/>
        <v>#DIV/0!</v>
      </c>
      <c r="CL78" s="169">
        <f t="shared" si="165"/>
        <v>2.948147973443083E-3</v>
      </c>
      <c r="CM78" s="169">
        <f t="shared" si="165"/>
        <v>18.217049222966381</v>
      </c>
      <c r="CN78" s="169">
        <f t="shared" si="165"/>
        <v>0.54703861013472077</v>
      </c>
      <c r="CO78" s="169">
        <f t="shared" si="165"/>
        <v>11.576154895842281</v>
      </c>
      <c r="CP78" s="169" t="e">
        <f t="shared" si="165"/>
        <v>#DIV/0!</v>
      </c>
      <c r="CQ78" s="169">
        <f t="shared" si="165"/>
        <v>23.810832289251248</v>
      </c>
      <c r="CR78" s="169">
        <f t="shared" si="165"/>
        <v>0</v>
      </c>
      <c r="CS78" s="169" t="e">
        <f t="shared" si="165"/>
        <v>#DIV/0!</v>
      </c>
      <c r="CT78" s="169">
        <f t="shared" si="165"/>
        <v>13.047214979986951</v>
      </c>
      <c r="CU78" s="169">
        <f t="shared" si="165"/>
        <v>0.3653271338425772</v>
      </c>
      <c r="CV78" s="169">
        <f t="shared" si="165"/>
        <v>2.6061504790313483</v>
      </c>
      <c r="CW78" s="169">
        <f t="shared" si="165"/>
        <v>0.63648199045277021</v>
      </c>
    </row>
    <row r="79" spans="1:101" ht="90" thickBot="1" x14ac:dyDescent="0.3">
      <c r="A79" s="156" t="s">
        <v>5020</v>
      </c>
      <c r="B79" s="157" t="s">
        <v>4829</v>
      </c>
      <c r="C79" s="158" t="s">
        <v>5021</v>
      </c>
      <c r="D79" s="159" t="s">
        <v>4831</v>
      </c>
      <c r="E79" s="159">
        <v>38</v>
      </c>
      <c r="F79" s="160" t="s">
        <v>5022</v>
      </c>
      <c r="G79" s="219" t="s">
        <v>5023</v>
      </c>
      <c r="H79" s="220" t="s">
        <v>5024</v>
      </c>
      <c r="I79" s="221" t="s">
        <v>4838</v>
      </c>
      <c r="J79" s="171"/>
      <c r="K79" s="171"/>
      <c r="L79" s="171"/>
      <c r="M79" s="199">
        <v>0.14705625103452222</v>
      </c>
      <c r="N79" s="199">
        <v>0.18506759603608039</v>
      </c>
      <c r="O79" s="200">
        <v>0.16630738598124598</v>
      </c>
      <c r="P79" s="169">
        <f>P77/P67</f>
        <v>0.11962207025512282</v>
      </c>
      <c r="Q79" s="169">
        <f t="shared" ref="Q79:CB79" si="166">Q77/Q67</f>
        <v>0.20284142071035521</v>
      </c>
      <c r="R79" s="169">
        <f t="shared" si="166"/>
        <v>1.5003489832953329</v>
      </c>
      <c r="S79" s="169">
        <f t="shared" si="166"/>
        <v>0.15388724563189965</v>
      </c>
      <c r="T79" s="169">
        <f t="shared" si="166"/>
        <v>5.3609986038346165E-2</v>
      </c>
      <c r="U79" s="169">
        <f t="shared" si="166"/>
        <v>0</v>
      </c>
      <c r="V79" s="169" t="e">
        <f t="shared" si="166"/>
        <v>#DIV/0!</v>
      </c>
      <c r="W79" s="169">
        <f t="shared" si="166"/>
        <v>5.4033898244475374E-2</v>
      </c>
      <c r="X79" s="169" t="e">
        <f t="shared" si="166"/>
        <v>#DIV/0!</v>
      </c>
      <c r="Y79" s="169">
        <f t="shared" si="166"/>
        <v>5.9685863874345553E-2</v>
      </c>
      <c r="Z79" s="169">
        <f t="shared" si="166"/>
        <v>0</v>
      </c>
      <c r="AA79" s="169">
        <f t="shared" si="166"/>
        <v>0.79584158321214038</v>
      </c>
      <c r="AB79" s="169">
        <f t="shared" si="166"/>
        <v>3.6468330134357005E-2</v>
      </c>
      <c r="AC79" s="169">
        <f t="shared" si="166"/>
        <v>0.1762616356701571</v>
      </c>
      <c r="AD79" s="169">
        <f t="shared" si="166"/>
        <v>0.14123986054379667</v>
      </c>
      <c r="AE79" s="169">
        <f t="shared" si="166"/>
        <v>0.31446211255647211</v>
      </c>
      <c r="AF79" s="169" t="e">
        <f t="shared" si="166"/>
        <v>#DIV/0!</v>
      </c>
      <c r="AG79" s="169">
        <f t="shared" si="166"/>
        <v>0.11729857819905214</v>
      </c>
      <c r="AH79" s="169">
        <f t="shared" si="166"/>
        <v>8.9626781271205616E-2</v>
      </c>
      <c r="AI79" s="169">
        <f t="shared" si="166"/>
        <v>0.05</v>
      </c>
      <c r="AJ79" s="169">
        <f t="shared" si="166"/>
        <v>0</v>
      </c>
      <c r="AK79" s="169">
        <f t="shared" si="166"/>
        <v>0.625</v>
      </c>
      <c r="AL79" s="169">
        <f t="shared" si="166"/>
        <v>7.3342079390251697E-2</v>
      </c>
      <c r="AM79" s="169">
        <f t="shared" si="166"/>
        <v>7.6441091941622713E-2</v>
      </c>
      <c r="AN79" s="169">
        <f t="shared" si="166"/>
        <v>0.13032373645548206</v>
      </c>
      <c r="AO79" s="169" t="e">
        <f t="shared" si="166"/>
        <v>#DIV/0!</v>
      </c>
      <c r="AP79" s="169" t="e">
        <f t="shared" si="166"/>
        <v>#DIV/0!</v>
      </c>
      <c r="AQ79" s="169">
        <f t="shared" si="166"/>
        <v>0.16187050359712229</v>
      </c>
      <c r="AR79" s="169">
        <f t="shared" si="166"/>
        <v>0.14960629921259844</v>
      </c>
      <c r="AS79" s="169">
        <f t="shared" si="166"/>
        <v>0.32756012056932149</v>
      </c>
      <c r="AT79" s="169">
        <f t="shared" si="166"/>
        <v>8.1183262075688795E-2</v>
      </c>
      <c r="AU79" s="169">
        <f t="shared" si="166"/>
        <v>0.28828536340922889</v>
      </c>
      <c r="AV79" s="169">
        <f t="shared" si="166"/>
        <v>1.0561497384199412</v>
      </c>
      <c r="AW79" s="169">
        <f t="shared" si="166"/>
        <v>0.12606546762589926</v>
      </c>
      <c r="AX79" s="169">
        <f t="shared" si="166"/>
        <v>5.0002760209502166E-2</v>
      </c>
      <c r="AY79" s="169">
        <f t="shared" si="166"/>
        <v>9.2747691155018741E-2</v>
      </c>
      <c r="AZ79" s="169" t="e">
        <f t="shared" si="166"/>
        <v>#DIV/0!</v>
      </c>
      <c r="BA79" s="169">
        <f t="shared" si="166"/>
        <v>1.4996577720044584E-3</v>
      </c>
      <c r="BB79" s="169">
        <f t="shared" si="166"/>
        <v>7.721634686165775E-2</v>
      </c>
      <c r="BC79" s="169" t="e">
        <f t="shared" si="166"/>
        <v>#DIV/0!</v>
      </c>
      <c r="BD79" s="169">
        <f t="shared" si="166"/>
        <v>0.27218619772278307</v>
      </c>
      <c r="BE79" s="169" t="e">
        <f t="shared" si="166"/>
        <v>#DIV/0!</v>
      </c>
      <c r="BF79" s="169" t="e">
        <f t="shared" si="166"/>
        <v>#DIV/0!</v>
      </c>
      <c r="BG79" s="169">
        <f t="shared" si="166"/>
        <v>2.7602377596639926E-2</v>
      </c>
      <c r="BH79" s="169">
        <f t="shared" si="166"/>
        <v>0.51172940534642664</v>
      </c>
      <c r="BI79" s="169">
        <f t="shared" si="166"/>
        <v>1.3383462202359839E-2</v>
      </c>
      <c r="BJ79" s="169">
        <f t="shared" si="166"/>
        <v>3.8730119656409469E-2</v>
      </c>
      <c r="BK79" s="169">
        <f t="shared" si="166"/>
        <v>0.11095260111605322</v>
      </c>
      <c r="BL79" s="169">
        <f t="shared" si="166"/>
        <v>0.12027491408934707</v>
      </c>
      <c r="BM79" s="169">
        <f t="shared" si="166"/>
        <v>8.2746478873239437E-2</v>
      </c>
      <c r="BN79" s="169">
        <f t="shared" si="166"/>
        <v>0.28621764318630677</v>
      </c>
      <c r="BO79" s="169">
        <f t="shared" si="166"/>
        <v>2.3898245777442689E-2</v>
      </c>
      <c r="BP79" s="169" t="e">
        <f t="shared" si="166"/>
        <v>#DIV/0!</v>
      </c>
      <c r="BQ79" s="169">
        <f t="shared" si="166"/>
        <v>0.11344853493613825</v>
      </c>
      <c r="BR79" s="169" t="e">
        <f t="shared" si="166"/>
        <v>#DIV/0!</v>
      </c>
      <c r="BS79" s="169">
        <f t="shared" si="166"/>
        <v>7.5085096442634985E-3</v>
      </c>
      <c r="BT79" s="169">
        <f t="shared" si="166"/>
        <v>0.17461023821591484</v>
      </c>
      <c r="BU79" s="169">
        <f t="shared" si="166"/>
        <v>0.2036648295713834</v>
      </c>
      <c r="BV79" s="169">
        <f t="shared" si="166"/>
        <v>0.18586085204988165</v>
      </c>
      <c r="BW79" s="169">
        <f t="shared" si="166"/>
        <v>0</v>
      </c>
      <c r="BX79" s="169">
        <f t="shared" si="166"/>
        <v>0.17857664154460912</v>
      </c>
      <c r="BY79" s="169">
        <f t="shared" si="166"/>
        <v>0.1162</v>
      </c>
      <c r="BZ79" s="169">
        <f t="shared" si="166"/>
        <v>4.2244367417677642E-3</v>
      </c>
      <c r="CA79" s="169">
        <f t="shared" si="166"/>
        <v>0.69013662576078127</v>
      </c>
      <c r="CB79" s="169">
        <f t="shared" si="166"/>
        <v>0</v>
      </c>
      <c r="CC79" s="169" t="e">
        <f t="shared" ref="CC79:CW79" si="167">CC77/CC67</f>
        <v>#DIV/0!</v>
      </c>
      <c r="CD79" s="169">
        <f t="shared" si="167"/>
        <v>0</v>
      </c>
      <c r="CE79" s="169">
        <f t="shared" si="167"/>
        <v>0.23203300456676873</v>
      </c>
      <c r="CF79" s="169">
        <f t="shared" si="167"/>
        <v>7.0211729523112255E-3</v>
      </c>
      <c r="CG79" s="169">
        <f t="shared" si="167"/>
        <v>2.6384937238493724</v>
      </c>
      <c r="CH79" s="169">
        <f t="shared" si="167"/>
        <v>0.23637759017651563</v>
      </c>
      <c r="CI79" s="169">
        <f t="shared" si="167"/>
        <v>0.1549751566542768</v>
      </c>
      <c r="CJ79" s="169">
        <f t="shared" si="167"/>
        <v>0.16699137211244086</v>
      </c>
      <c r="CK79" s="169" t="e">
        <f t="shared" si="167"/>
        <v>#DIV/0!</v>
      </c>
      <c r="CL79" s="169">
        <f t="shared" si="167"/>
        <v>4.3531659705470597E-5</v>
      </c>
      <c r="CM79" s="169">
        <f t="shared" si="167"/>
        <v>0.28289464826657695</v>
      </c>
      <c r="CN79" s="169">
        <f t="shared" si="167"/>
        <v>4.5786398003421651E-2</v>
      </c>
      <c r="CO79" s="169">
        <f t="shared" si="167"/>
        <v>0.55956173583605995</v>
      </c>
      <c r="CP79" s="169" t="e">
        <f t="shared" si="167"/>
        <v>#DIV/0!</v>
      </c>
      <c r="CQ79" s="169">
        <f t="shared" si="167"/>
        <v>4.0075754659643446</v>
      </c>
      <c r="CR79" s="169">
        <f t="shared" si="167"/>
        <v>0</v>
      </c>
      <c r="CS79" s="169" t="e">
        <f t="shared" si="167"/>
        <v>#DIV/0!</v>
      </c>
      <c r="CT79" s="169">
        <f t="shared" si="167"/>
        <v>0.20345147990255924</v>
      </c>
      <c r="CU79" s="169">
        <f t="shared" si="167"/>
        <v>4.5329670329670333E-3</v>
      </c>
      <c r="CV79" s="169" t="e">
        <f t="shared" si="167"/>
        <v>#DIV/0!</v>
      </c>
      <c r="CW79" s="169">
        <f t="shared" si="167"/>
        <v>2.9952348536419333E-2</v>
      </c>
    </row>
    <row r="80" spans="1:101" ht="66.95" customHeight="1" x14ac:dyDescent="0.25">
      <c r="A80" s="1651" t="s">
        <v>5025</v>
      </c>
      <c r="B80" s="1634" t="s">
        <v>4881</v>
      </c>
      <c r="C80" s="1636" t="s">
        <v>5026</v>
      </c>
      <c r="D80" s="112" t="s">
        <v>4831</v>
      </c>
      <c r="E80" s="112">
        <v>39</v>
      </c>
      <c r="F80" s="113" t="s">
        <v>5027</v>
      </c>
      <c r="G80" s="213" t="s">
        <v>5028</v>
      </c>
      <c r="H80" s="181" t="s">
        <v>4984</v>
      </c>
      <c r="I80" s="196" t="s">
        <v>4847</v>
      </c>
      <c r="J80" s="171"/>
      <c r="K80" s="171"/>
      <c r="L80" s="171" t="s">
        <v>500</v>
      </c>
      <c r="M80" s="171">
        <v>3782.6800000000007</v>
      </c>
      <c r="N80" s="171">
        <v>3907.3331850799996</v>
      </c>
      <c r="O80" s="172">
        <v>4835.6631719199995</v>
      </c>
      <c r="P80" s="291">
        <f>SUM(Q80:CW80)</f>
        <v>7944.0801941</v>
      </c>
      <c r="Q80" s="170">
        <f>SUMIFS('База практик'!$AR$5:$AR$311,'База практик'!$E$5:$E$311,Расчеты!Q$1)</f>
        <v>0</v>
      </c>
      <c r="R80" s="170">
        <f>SUMIFS('База практик'!$AR$5:$AR$311,'База практик'!$E$5:$E$311,Расчеты!R$1)</f>
        <v>79.19</v>
      </c>
      <c r="S80" s="170">
        <f>SUMIFS('База практик'!$AR$5:$AR$311,'База практик'!$E$5:$E$311,Расчеты!S$1)</f>
        <v>0</v>
      </c>
      <c r="T80" s="170">
        <f>SUMIFS('База практик'!$AR$5:$AR$311,'База практик'!$E$5:$E$311,Расчеты!T$1)</f>
        <v>0</v>
      </c>
      <c r="U80" s="170">
        <f>SUMIFS('База практик'!$AR$5:$AR$311,'База практик'!$E$5:$E$311,Расчеты!U$1)</f>
        <v>0</v>
      </c>
      <c r="V80" s="170">
        <f>SUMIFS('База практик'!$AR$5:$AR$311,'База практик'!$E$5:$E$311,Расчеты!V$1)</f>
        <v>0</v>
      </c>
      <c r="W80" s="170">
        <f>SUMIFS('База практик'!$AR$5:$AR$311,'База практик'!$E$5:$E$311,Расчеты!W$1)</f>
        <v>0</v>
      </c>
      <c r="X80" s="389">
        <f>SUMIFS('База практик'!$AR$5:$AR$311,'База практик'!$E$5:$E$311,Расчеты!X$1)</f>
        <v>0</v>
      </c>
      <c r="Y80" s="170">
        <f>SUMIFS('База практик'!$AR$5:$AR$311,'База практик'!$E$5:$E$311,Расчеты!Y$1)</f>
        <v>0</v>
      </c>
      <c r="Z80" s="170">
        <f>SUMIFS('База практик'!$AR$5:$AR$311,'База практик'!$E$5:$E$311,Расчеты!Z$1)</f>
        <v>0</v>
      </c>
      <c r="AA80" s="170">
        <f>SUMIFS('База практик'!$AR$5:$AR$311,'База практик'!$E$5:$E$311,Расчеты!AA$1)</f>
        <v>501.96999999999997</v>
      </c>
      <c r="AB80" s="170">
        <f>SUMIFS('База практик'!$AR$5:$AR$311,'База практик'!$E$5:$E$311,Расчеты!AB$1)</f>
        <v>0</v>
      </c>
      <c r="AC80" s="170">
        <f>SUMIFS('База практик'!$AR$5:$AR$311,'База практик'!$E$5:$E$311,Расчеты!AC$1)</f>
        <v>0</v>
      </c>
      <c r="AD80" s="170">
        <f>SUMIFS('База практик'!$AR$5:$AR$311,'База практик'!$E$5:$E$311,Расчеты!AD$1)</f>
        <v>0</v>
      </c>
      <c r="AE80" s="170">
        <f>SUMIFS('База практик'!$AR$5:$AR$311,'База практик'!$E$5:$E$311,Расчеты!AE$1)</f>
        <v>925.54</v>
      </c>
      <c r="AF80" s="389">
        <f>SUMIFS('База практик'!$AR$5:$AR$311,'База практик'!$E$5:$E$311,Расчеты!AF$1)</f>
        <v>0</v>
      </c>
      <c r="AG80" s="170">
        <f>SUMIFS('База практик'!$AR$5:$AR$311,'База практик'!$E$5:$E$311,Расчеты!AG$1)</f>
        <v>8.5</v>
      </c>
      <c r="AH80" s="170">
        <f>SUMIFS('База практик'!$AR$5:$AR$311,'База практик'!$E$5:$E$311,Расчеты!AH$1)</f>
        <v>0</v>
      </c>
      <c r="AI80" s="170">
        <f>SUMIFS('База практик'!$AR$5:$AR$311,'База практик'!$E$5:$E$311,Расчеты!AI$1)</f>
        <v>0</v>
      </c>
      <c r="AJ80" s="170">
        <f>SUMIFS('База практик'!$AR$5:$AR$311,'База практик'!$E$5:$E$311,Расчеты!AJ$1)</f>
        <v>0</v>
      </c>
      <c r="AK80" s="170">
        <f>SUMIFS('База практик'!$AR$5:$AR$311,'База практик'!$E$5:$E$311,Расчеты!AK$1)</f>
        <v>73.400000000000006</v>
      </c>
      <c r="AL80" s="170">
        <f>SUMIFS('База практик'!$AR$5:$AR$311,'База практик'!$E$5:$E$311,Расчеты!AL$1)</f>
        <v>285.73500000000001</v>
      </c>
      <c r="AM80" s="170">
        <f>SUMIFS('База практик'!$AR$5:$AR$311,'База практик'!$E$5:$E$311,Расчеты!AM$1)</f>
        <v>52.335000000000001</v>
      </c>
      <c r="AN80" s="170">
        <f>SUMIFS('База практик'!$AR$5:$AR$311,'База практик'!$E$5:$E$311,Расчеты!AN$1)</f>
        <v>0</v>
      </c>
      <c r="AO80" s="389">
        <f>SUMIFS('База практик'!$AR$5:$AR$311,'База практик'!$E$5:$E$311,Расчеты!AO$1)</f>
        <v>0</v>
      </c>
      <c r="AP80" s="389">
        <f>SUMIFS('База практик'!$AR$5:$AR$311,'База практик'!$E$5:$E$311,Расчеты!AP$1)</f>
        <v>0</v>
      </c>
      <c r="AQ80" s="170">
        <f>SUMIFS('База практик'!$AR$5:$AR$311,'База практик'!$E$5:$E$311,Расчеты!AQ$1)</f>
        <v>0</v>
      </c>
      <c r="AR80" s="170">
        <f>SUMIFS('База практик'!$AR$5:$AR$311,'База практик'!$E$5:$E$311,Расчеты!AR$1)</f>
        <v>0</v>
      </c>
      <c r="AS80" s="170">
        <f>SUMIFS('База практик'!$AR$5:$AR$311,'База практик'!$E$5:$E$311,Расчеты!AS$1)</f>
        <v>0</v>
      </c>
      <c r="AT80" s="170">
        <f>SUMIFS('База практик'!$AR$5:$AR$311,'База практик'!$E$5:$E$311,Расчеты!AT$1)</f>
        <v>0</v>
      </c>
      <c r="AU80" s="170">
        <f>SUMIFS('База практик'!$AR$5:$AR$311,'База практик'!$E$5:$E$311,Расчеты!AU$1)</f>
        <v>217.92</v>
      </c>
      <c r="AV80" s="170">
        <f>SUMIFS('База практик'!$AR$5:$AR$311,'База практик'!$E$5:$E$311,Расчеты!AV$1)</f>
        <v>0</v>
      </c>
      <c r="AW80" s="170">
        <f>SUMIFS('База практик'!$AR$5:$AR$311,'База практик'!$E$5:$E$311,Расчеты!AW$1)</f>
        <v>4.1300000000000003E-2</v>
      </c>
      <c r="AX80" s="170">
        <f>SUMIFS('База практик'!$AR$5:$AR$311,'База практик'!$E$5:$E$311,Расчеты!AX$1)</f>
        <v>443.49289409999994</v>
      </c>
      <c r="AY80" s="170">
        <f>SUMIFS('База практик'!$AR$5:$AR$311,'База практик'!$E$5:$E$311,Расчеты!AY$1)</f>
        <v>0</v>
      </c>
      <c r="AZ80" s="170">
        <f>SUMIFS('База практик'!$AR$5:$AR$311,'База практик'!$E$5:$E$311,Расчеты!AZ$1)</f>
        <v>0</v>
      </c>
      <c r="BA80" s="170">
        <f>SUMIFS('База практик'!$AR$5:$AR$311,'База практик'!$E$5:$E$311,Расчеты!BA$1)</f>
        <v>0</v>
      </c>
      <c r="BB80" s="170">
        <f>SUMIFS('База практик'!$AR$5:$AR$311,'База практик'!$E$5:$E$311,Расчеты!BB$1)</f>
        <v>0</v>
      </c>
      <c r="BC80" s="389">
        <f>SUMIFS('База практик'!$AR$5:$AR$311,'База практик'!$E$5:$E$311,Расчеты!BC$1)</f>
        <v>0</v>
      </c>
      <c r="BD80" s="170">
        <f>SUMIFS('База практик'!$AR$5:$AR$311,'База практик'!$E$5:$E$311,Расчеты!BD$1)</f>
        <v>10.0892</v>
      </c>
      <c r="BE80" s="389">
        <f>SUMIFS('База практик'!$AR$5:$AR$311,'База практик'!$E$5:$E$311,Расчеты!BE$1)</f>
        <v>0</v>
      </c>
      <c r="BF80" s="389">
        <f>SUMIFS('База практик'!$AR$5:$AR$311,'База практик'!$E$5:$E$311,Расчеты!BF$1)</f>
        <v>0</v>
      </c>
      <c r="BG80" s="170">
        <f>SUMIFS('База практик'!$AR$5:$AR$311,'База практик'!$E$5:$E$311,Расчеты!BG$1)</f>
        <v>0</v>
      </c>
      <c r="BH80" s="170">
        <f>SUMIFS('База практик'!$AR$5:$AR$311,'База практик'!$E$5:$E$311,Расчеты!BH$1)</f>
        <v>0</v>
      </c>
      <c r="BI80" s="170">
        <f>SUMIFS('База практик'!$AR$5:$AR$311,'База практик'!$E$5:$E$311,Расчеты!BI$1)</f>
        <v>0</v>
      </c>
      <c r="BJ80" s="170">
        <f>SUMIFS('База практик'!$AR$5:$AR$311,'База практик'!$E$5:$E$311,Расчеты!BJ$1)</f>
        <v>0</v>
      </c>
      <c r="BK80" s="170">
        <f>SUMIFS('База практик'!$AR$5:$AR$311,'База практик'!$E$5:$E$311,Расчеты!BK$1)</f>
        <v>514.226</v>
      </c>
      <c r="BL80" s="170">
        <f>SUMIFS('База практик'!$AR$5:$AR$311,'База практик'!$E$5:$E$311,Расчеты!BL$1)</f>
        <v>0</v>
      </c>
      <c r="BM80" s="170">
        <f>SUMIFS('База практик'!$AR$5:$AR$311,'База практик'!$E$5:$E$311,Расчеты!BM$1)</f>
        <v>278.32</v>
      </c>
      <c r="BN80" s="170">
        <f>SUMIFS('База практик'!$AR$5:$AR$311,'База практик'!$E$5:$E$311,Расчеты!BN$1)</f>
        <v>0</v>
      </c>
      <c r="BO80" s="170">
        <f>SUMIFS('База практик'!$AR$5:$AR$311,'База практик'!$E$5:$E$311,Расчеты!BO$1)</f>
        <v>277.01339999999999</v>
      </c>
      <c r="BP80" s="170">
        <f>SUMIFS('База практик'!$AR$5:$AR$311,'База практик'!$E$5:$E$311,Расчеты!BP$1)</f>
        <v>0</v>
      </c>
      <c r="BQ80" s="170">
        <f>SUMIFS('База практик'!$AR$5:$AR$311,'База практик'!$E$5:$E$311,Расчеты!BQ$1)</f>
        <v>0</v>
      </c>
      <c r="BR80" s="389">
        <f>SUMIFS('База практик'!$AR$5:$AR$311,'База практик'!$E$5:$E$311,Расчеты!BR$1)</f>
        <v>0</v>
      </c>
      <c r="BS80" s="170">
        <f>SUMIFS('База практик'!$AR$5:$AR$311,'База практик'!$E$5:$E$311,Расчеты!BS$1)</f>
        <v>0</v>
      </c>
      <c r="BT80" s="170">
        <f>SUMIFS('База практик'!$AR$5:$AR$311,'База практик'!$E$5:$E$311,Расчеты!BT$1)</f>
        <v>0</v>
      </c>
      <c r="BU80" s="170">
        <f>SUMIFS('База практик'!$AR$5:$AR$311,'База практик'!$E$5:$E$311,Расчеты!BU$1)</f>
        <v>7.9720000000000004</v>
      </c>
      <c r="BV80" s="170">
        <f>SUMIFS('База практик'!$AR$5:$AR$311,'База практик'!$E$5:$E$311,Расчеты!BV$1)</f>
        <v>0</v>
      </c>
      <c r="BW80" s="170">
        <f>SUMIFS('База практик'!$AR$5:$AR$311,'База практик'!$E$5:$E$311,Расчеты!BW$1)</f>
        <v>0</v>
      </c>
      <c r="BX80" s="170">
        <f>SUMIFS('База практик'!$AR$5:$AR$311,'База практик'!$E$5:$E$311,Расчеты!BX$1)</f>
        <v>821.02200000000005</v>
      </c>
      <c r="BY80" s="170">
        <f>SUMIFS('База практик'!$AR$5:$AR$311,'База практик'!$E$5:$E$311,Расчеты!BY$1)</f>
        <v>0</v>
      </c>
      <c r="BZ80" s="170">
        <f>SUMIFS('База практик'!$AR$5:$AR$311,'База практик'!$E$5:$E$311,Расчеты!BZ$1)</f>
        <v>0</v>
      </c>
      <c r="CA80" s="170">
        <f>SUMIFS('База практик'!$AR$5:$AR$311,'База практик'!$E$5:$E$311,Расчеты!CA$1)</f>
        <v>1629.8882000000001</v>
      </c>
      <c r="CB80" s="170">
        <f>SUMIFS('База практик'!$AR$5:$AR$311,'База практик'!$E$5:$E$311,Расчеты!CB$1)</f>
        <v>0</v>
      </c>
      <c r="CC80" s="389">
        <f>SUMIFS('База практик'!$AR$5:$AR$311,'База практик'!$E$5:$E$311,Расчеты!CC$1)</f>
        <v>0</v>
      </c>
      <c r="CD80" s="170">
        <f>SUMIFS('База практик'!$AR$5:$AR$311,'База практик'!$E$5:$E$311,Расчеты!CD$1)</f>
        <v>0</v>
      </c>
      <c r="CE80" s="170">
        <f>SUMIFS('База практик'!$AR$5:$AR$311,'База практик'!$E$5:$E$311,Расчеты!CE$1)</f>
        <v>0</v>
      </c>
      <c r="CF80" s="170">
        <f>SUMIFS('База практик'!$AR$5:$AR$311,'База практик'!$E$5:$E$311,Расчеты!CF$1)</f>
        <v>323.72899999999998</v>
      </c>
      <c r="CG80" s="170">
        <f>SUMIFS('База практик'!$AR$5:$AR$311,'База практик'!$E$5:$E$311,Расчеты!CG$1)</f>
        <v>0</v>
      </c>
      <c r="CH80" s="170">
        <f>SUMIFS('База практик'!$AR$5:$AR$311,'База практик'!$E$5:$E$311,Расчеты!CH$1)</f>
        <v>0</v>
      </c>
      <c r="CI80" s="170">
        <f>SUMIFS('База практик'!$AR$5:$AR$311,'База практик'!$E$5:$E$311,Расчеты!CI$1)</f>
        <v>0</v>
      </c>
      <c r="CJ80" s="170">
        <f>SUMIFS('База практик'!$AR$5:$AR$311,'База практик'!$E$5:$E$311,Расчеты!CJ$1)</f>
        <v>0</v>
      </c>
      <c r="CK80" s="389">
        <f>SUMIFS('База практик'!$AR$5:$AR$311,'База практик'!$E$5:$E$311,Расчеты!CK$1)</f>
        <v>0</v>
      </c>
      <c r="CL80" s="170">
        <f>SUMIFS('База практик'!$AR$5:$AR$311,'База практик'!$E$5:$E$311,Расчеты!CL$1)</f>
        <v>124.46600000000001</v>
      </c>
      <c r="CM80" s="170">
        <f>SUMIFS('База практик'!$AR$5:$AR$311,'База практик'!$E$5:$E$311,Расчеты!CM$1)</f>
        <v>0</v>
      </c>
      <c r="CN80" s="170">
        <f>SUMIFS('База практик'!$AR$5:$AR$311,'База практик'!$E$5:$E$311,Расчеты!CN$1)</f>
        <v>532.21519999999998</v>
      </c>
      <c r="CO80" s="170">
        <f>SUMIFS('База практик'!$AR$5:$AR$311,'База практик'!$E$5:$E$311,Расчеты!CO$1)</f>
        <v>376.61500000000001</v>
      </c>
      <c r="CP80" s="389">
        <f>SUMIFS('База практик'!$AR$5:$AR$311,'База практик'!$E$5:$E$311,Расчеты!CP$1)</f>
        <v>0</v>
      </c>
      <c r="CQ80" s="170">
        <f>SUMIFS('База практик'!$AR$5:$AR$311,'База практик'!$E$5:$E$311,Расчеты!CQ$1)</f>
        <v>0</v>
      </c>
      <c r="CR80" s="170">
        <f>SUMIFS('База практик'!$AR$5:$AR$311,'База практик'!$E$5:$E$311,Расчеты!CR$1)</f>
        <v>0</v>
      </c>
      <c r="CS80" s="389">
        <f>SUMIFS('База практик'!$AR$5:$AR$311,'База практик'!$E$5:$E$311,Расчеты!CS$1)</f>
        <v>0</v>
      </c>
      <c r="CT80" s="170">
        <f>SUMIFS('База практик'!$AR$5:$AR$311,'База практик'!$E$5:$E$311,Расчеты!CT$1)</f>
        <v>0</v>
      </c>
      <c r="CU80" s="170">
        <f>SUMIFS('База практик'!$AR$5:$AR$311,'База практик'!$E$5:$E$311,Расчеты!CU$1)</f>
        <v>0</v>
      </c>
      <c r="CV80" s="170">
        <f>SUMIFS('База практик'!$AR$5:$AR$311,'База практик'!$E$5:$E$311,Расчеты!CV$1)</f>
        <v>0</v>
      </c>
      <c r="CW80" s="170">
        <f>SUMIFS('База практик'!$AR$5:$AR$311,'База практик'!$E$5:$E$311,Расчеты!CW$1)</f>
        <v>460.4</v>
      </c>
    </row>
    <row r="81" spans="1:101" ht="39" thickBot="1" x14ac:dyDescent="0.3">
      <c r="A81" s="1652"/>
      <c r="B81" s="1646"/>
      <c r="C81" s="1646"/>
      <c r="D81" s="119" t="s">
        <v>4831</v>
      </c>
      <c r="E81" s="119">
        <v>40</v>
      </c>
      <c r="F81" s="125" t="s">
        <v>5029</v>
      </c>
      <c r="G81" s="210" t="s">
        <v>231</v>
      </c>
      <c r="H81" s="193" t="s">
        <v>52</v>
      </c>
      <c r="I81" s="214" t="s">
        <v>4994</v>
      </c>
      <c r="J81" s="171"/>
      <c r="K81" s="171"/>
      <c r="L81" s="171"/>
      <c r="M81" s="171">
        <v>0.2608432991940508</v>
      </c>
      <c r="N81" s="171">
        <v>0.20230264972150513</v>
      </c>
      <c r="O81" s="206">
        <v>0.20094854338484114</v>
      </c>
      <c r="P81" s="169">
        <f>P80/P64*100</f>
        <v>24.974726822676484</v>
      </c>
      <c r="Q81" s="169">
        <f t="shared" ref="Q81:CB81" si="168">Q80/Q64*100</f>
        <v>0</v>
      </c>
      <c r="R81" s="169">
        <f t="shared" si="168"/>
        <v>83.875018668665774</v>
      </c>
      <c r="S81" s="169">
        <f t="shared" si="168"/>
        <v>0</v>
      </c>
      <c r="T81" s="169">
        <f t="shared" si="168"/>
        <v>0</v>
      </c>
      <c r="U81" s="169">
        <f t="shared" si="168"/>
        <v>0</v>
      </c>
      <c r="V81" s="169">
        <f t="shared" si="168"/>
        <v>0</v>
      </c>
      <c r="W81" s="169">
        <f t="shared" si="168"/>
        <v>0</v>
      </c>
      <c r="X81" s="169" t="e">
        <f t="shared" si="168"/>
        <v>#DIV/0!</v>
      </c>
      <c r="Y81" s="169">
        <f t="shared" si="168"/>
        <v>0</v>
      </c>
      <c r="Z81" s="169">
        <f t="shared" si="168"/>
        <v>0</v>
      </c>
      <c r="AA81" s="169">
        <f t="shared" si="168"/>
        <v>66.252016880755733</v>
      </c>
      <c r="AB81" s="169">
        <f t="shared" si="168"/>
        <v>0</v>
      </c>
      <c r="AC81" s="169">
        <f t="shared" si="168"/>
        <v>0</v>
      </c>
      <c r="AD81" s="169">
        <f t="shared" si="168"/>
        <v>0</v>
      </c>
      <c r="AE81" s="169">
        <f t="shared" si="168"/>
        <v>71.806457569299354</v>
      </c>
      <c r="AF81" s="169" t="e">
        <f t="shared" si="168"/>
        <v>#DIV/0!</v>
      </c>
      <c r="AG81" s="169">
        <f t="shared" si="168"/>
        <v>43.125317097919833</v>
      </c>
      <c r="AH81" s="169">
        <f t="shared" si="168"/>
        <v>0</v>
      </c>
      <c r="AI81" s="169">
        <f t="shared" si="168"/>
        <v>0</v>
      </c>
      <c r="AJ81" s="169">
        <f t="shared" si="168"/>
        <v>0</v>
      </c>
      <c r="AK81" s="169">
        <f t="shared" si="168"/>
        <v>96.325459317585299</v>
      </c>
      <c r="AL81" s="169">
        <f t="shared" si="168"/>
        <v>44.22273020629072</v>
      </c>
      <c r="AM81" s="169">
        <f t="shared" si="168"/>
        <v>56.996765445813047</v>
      </c>
      <c r="AN81" s="169">
        <f t="shared" si="168"/>
        <v>0</v>
      </c>
      <c r="AO81" s="169" t="e">
        <f t="shared" si="168"/>
        <v>#DIV/0!</v>
      </c>
      <c r="AP81" s="169" t="e">
        <f t="shared" si="168"/>
        <v>#DIV/0!</v>
      </c>
      <c r="AQ81" s="169">
        <f t="shared" si="168"/>
        <v>0</v>
      </c>
      <c r="AR81" s="169">
        <f t="shared" si="168"/>
        <v>0</v>
      </c>
      <c r="AS81" s="169">
        <f t="shared" si="168"/>
        <v>0</v>
      </c>
      <c r="AT81" s="169">
        <f t="shared" si="168"/>
        <v>0</v>
      </c>
      <c r="AU81" s="169">
        <f t="shared" si="168"/>
        <v>37.175532931189778</v>
      </c>
      <c r="AV81" s="169">
        <f t="shared" si="168"/>
        <v>0</v>
      </c>
      <c r="AW81" s="169">
        <f t="shared" si="168"/>
        <v>2.4351415094339624E-2</v>
      </c>
      <c r="AX81" s="169">
        <f t="shared" si="168"/>
        <v>66.860637599889273</v>
      </c>
      <c r="AY81" s="169">
        <f t="shared" si="168"/>
        <v>0</v>
      </c>
      <c r="AZ81" s="169">
        <f t="shared" si="168"/>
        <v>0</v>
      </c>
      <c r="BA81" s="169">
        <f t="shared" si="168"/>
        <v>0</v>
      </c>
      <c r="BB81" s="169">
        <f t="shared" si="168"/>
        <v>0</v>
      </c>
      <c r="BC81" s="169" t="e">
        <f t="shared" si="168"/>
        <v>#DIV/0!</v>
      </c>
      <c r="BD81" s="169">
        <f t="shared" si="168"/>
        <v>23.626315854795994</v>
      </c>
      <c r="BE81" s="169" t="e">
        <f t="shared" si="168"/>
        <v>#DIV/0!</v>
      </c>
      <c r="BF81" s="169" t="e">
        <f t="shared" si="168"/>
        <v>#DIV/0!</v>
      </c>
      <c r="BG81" s="169">
        <f t="shared" si="168"/>
        <v>0</v>
      </c>
      <c r="BH81" s="169">
        <f t="shared" si="168"/>
        <v>0</v>
      </c>
      <c r="BI81" s="169">
        <f t="shared" si="168"/>
        <v>0</v>
      </c>
      <c r="BJ81" s="169">
        <f t="shared" si="168"/>
        <v>0</v>
      </c>
      <c r="BK81" s="169">
        <f t="shared" si="168"/>
        <v>53.778586077467786</v>
      </c>
      <c r="BL81" s="169">
        <f t="shared" si="168"/>
        <v>0</v>
      </c>
      <c r="BM81" s="169">
        <f t="shared" si="168"/>
        <v>86.978261684813177</v>
      </c>
      <c r="BN81" s="169">
        <f t="shared" si="168"/>
        <v>0</v>
      </c>
      <c r="BO81" s="169">
        <f t="shared" si="168"/>
        <v>29.472374375482239</v>
      </c>
      <c r="BP81" s="169">
        <f t="shared" si="168"/>
        <v>0</v>
      </c>
      <c r="BQ81" s="169">
        <f t="shared" si="168"/>
        <v>0</v>
      </c>
      <c r="BR81" s="169" t="e">
        <f t="shared" si="168"/>
        <v>#DIV/0!</v>
      </c>
      <c r="BS81" s="169">
        <f t="shared" si="168"/>
        <v>0</v>
      </c>
      <c r="BT81" s="169">
        <f t="shared" si="168"/>
        <v>0</v>
      </c>
      <c r="BU81" s="169">
        <f t="shared" si="168"/>
        <v>3.1411573464475206</v>
      </c>
      <c r="BV81" s="169">
        <f t="shared" si="168"/>
        <v>0</v>
      </c>
      <c r="BW81" s="169">
        <f t="shared" si="168"/>
        <v>0</v>
      </c>
      <c r="BX81" s="169">
        <f t="shared" si="168"/>
        <v>81.116552767324251</v>
      </c>
      <c r="BY81" s="169">
        <f t="shared" si="168"/>
        <v>0</v>
      </c>
      <c r="BZ81" s="169">
        <f t="shared" si="168"/>
        <v>0</v>
      </c>
      <c r="CA81" s="169">
        <f t="shared" si="168"/>
        <v>83.004610101517088</v>
      </c>
      <c r="CB81" s="169">
        <f t="shared" si="168"/>
        <v>0</v>
      </c>
      <c r="CC81" s="169" t="e">
        <f t="shared" ref="CC81:CW81" si="169">CC80/CC64*100</f>
        <v>#DIV/0!</v>
      </c>
      <c r="CD81" s="169">
        <f t="shared" si="169"/>
        <v>0</v>
      </c>
      <c r="CE81" s="169">
        <f t="shared" si="169"/>
        <v>0</v>
      </c>
      <c r="CF81" s="169">
        <f t="shared" si="169"/>
        <v>60.299439900608895</v>
      </c>
      <c r="CG81" s="169">
        <f t="shared" si="169"/>
        <v>0</v>
      </c>
      <c r="CH81" s="169">
        <f t="shared" si="169"/>
        <v>0</v>
      </c>
      <c r="CI81" s="169">
        <f t="shared" si="169"/>
        <v>0</v>
      </c>
      <c r="CJ81" s="169">
        <f t="shared" si="169"/>
        <v>0</v>
      </c>
      <c r="CK81" s="169" t="e">
        <f t="shared" si="169"/>
        <v>#DIV/0!</v>
      </c>
      <c r="CL81" s="169">
        <f t="shared" si="169"/>
        <v>24.462945710837786</v>
      </c>
      <c r="CM81" s="169">
        <f t="shared" si="169"/>
        <v>0</v>
      </c>
      <c r="CN81" s="169">
        <f t="shared" si="169"/>
        <v>77.983142256541598</v>
      </c>
      <c r="CO81" s="169">
        <f t="shared" si="169"/>
        <v>59.898243839442209</v>
      </c>
      <c r="CP81" s="169" t="e">
        <f t="shared" si="169"/>
        <v>#DIV/0!</v>
      </c>
      <c r="CQ81" s="169">
        <f t="shared" si="169"/>
        <v>0</v>
      </c>
      <c r="CR81" s="169">
        <f t="shared" si="169"/>
        <v>0</v>
      </c>
      <c r="CS81" s="169" t="e">
        <f t="shared" si="169"/>
        <v>#DIV/0!</v>
      </c>
      <c r="CT81" s="169">
        <f t="shared" si="169"/>
        <v>0</v>
      </c>
      <c r="CU81" s="169">
        <f t="shared" si="169"/>
        <v>0</v>
      </c>
      <c r="CV81" s="169">
        <f t="shared" si="169"/>
        <v>0</v>
      </c>
      <c r="CW81" s="169">
        <f t="shared" si="169"/>
        <v>66.59916100101259</v>
      </c>
    </row>
    <row r="82" spans="1:101" ht="102.75" thickBot="1" x14ac:dyDescent="0.3">
      <c r="A82" s="222" t="s">
        <v>5030</v>
      </c>
      <c r="B82" s="223" t="s">
        <v>4881</v>
      </c>
      <c r="C82" s="224" t="s">
        <v>5031</v>
      </c>
      <c r="D82" s="225" t="s">
        <v>4831</v>
      </c>
      <c r="E82" s="225">
        <v>41</v>
      </c>
      <c r="F82" s="226" t="s">
        <v>5032</v>
      </c>
      <c r="G82" s="227" t="s">
        <v>5033</v>
      </c>
      <c r="H82" s="228" t="s">
        <v>52</v>
      </c>
      <c r="I82" s="161" t="s">
        <v>4847</v>
      </c>
      <c r="J82" s="191"/>
      <c r="K82" s="191"/>
      <c r="L82" s="191"/>
      <c r="M82" s="191" t="s">
        <v>5034</v>
      </c>
      <c r="N82" s="191" t="s">
        <v>5034</v>
      </c>
      <c r="O82" s="191" t="s">
        <v>5034</v>
      </c>
      <c r="P82" s="436" t="s">
        <v>5448</v>
      </c>
      <c r="Q82" s="431">
        <f>'База практик'!AJ5</f>
        <v>2.9999999999999997E-4</v>
      </c>
      <c r="R82" s="431">
        <f>SUM('База практик'!AJ6:AJ8)</f>
        <v>1.5463582309719606E-4</v>
      </c>
      <c r="S82" s="431">
        <f>'База практик'!AJ9</f>
        <v>1.8E-3</v>
      </c>
      <c r="T82" s="431">
        <f>SUM('База практик'!AJ11)</f>
        <v>1.57E-3</v>
      </c>
      <c r="U82">
        <f>SUM('База практик'!AJ12:AJ13)</f>
        <v>2.2714233617954145E-4</v>
      </c>
      <c r="V82">
        <f>SUM('База практик'!AJ14)</f>
        <v>0</v>
      </c>
      <c r="W82" s="444">
        <f>SUM('База практик'!AJ17:AJ19)</f>
        <v>8.6E-3</v>
      </c>
      <c r="Y82" s="431">
        <f>SUM('База практик'!AJ25)</f>
        <v>1.1999999999999999E-3</v>
      </c>
      <c r="Z82" s="431">
        <f>SUM('База практик'!AJ26)</f>
        <v>6.9999999999999999E-4</v>
      </c>
      <c r="AA82" s="431">
        <f>SUM('База практик'!AJ27:AJ29)</f>
        <v>1.5300000000000001E-3</v>
      </c>
      <c r="AB82" s="431">
        <f>SUM('База практик'!AJ31)</f>
        <v>7.6966315787918658E-4</v>
      </c>
      <c r="AC82" s="431">
        <f>SUM('База практик'!AJ32)</f>
        <v>1.5E-3</v>
      </c>
      <c r="AD82" s="431">
        <f>SUM('База практик'!AJ33:AJ35)</f>
        <v>3.5228699478568148E-3</v>
      </c>
      <c r="AE82" s="431">
        <f>SUM('База практик'!AJ36:AJ37)</f>
        <v>1E-4</v>
      </c>
      <c r="AG82" s="431">
        <f>'База практик'!AJ39</f>
        <v>0</v>
      </c>
      <c r="AH82" s="431">
        <f>'База практик'!AJ40</f>
        <v>7.3999999999999999E-4</v>
      </c>
      <c r="AI82" s="431">
        <f>SUM('База практик'!AJ41)</f>
        <v>2.0000000000000001E-4</v>
      </c>
      <c r="AJ82" s="431">
        <f>SUM('База практик'!AJ42)</f>
        <v>3.8E-3</v>
      </c>
      <c r="AK82" s="431">
        <f>'База практик'!AJ43</f>
        <v>1.6424238069330817E-5</v>
      </c>
      <c r="AL82" s="444">
        <f>SUM('База практик'!AJ44:AJ45)</f>
        <v>5.2754473481998708E-2</v>
      </c>
      <c r="AM82" s="431">
        <f>SUM('База практик'!AJ48:AJ49)</f>
        <v>1.0383278071511785E-3</v>
      </c>
      <c r="AN82" s="431">
        <f>SUM('База практик'!AJ50)</f>
        <v>1.4E-3</v>
      </c>
      <c r="AQ82" s="431">
        <f>SUM('База практик'!AJ57:AJ58)</f>
        <v>1.2000000000000001E-3</v>
      </c>
      <c r="AR82" s="431">
        <f>SUM('База практик'!AJ59)</f>
        <v>1E-3</v>
      </c>
      <c r="AS82" s="431">
        <f>SUM('База практик'!AJ60:AJ62)</f>
        <v>3.4000000000000002E-3</v>
      </c>
      <c r="AT82" s="431">
        <f>SUM('База практик'!AJ63)</f>
        <v>1.1558742665286469E-3</v>
      </c>
      <c r="AU82" s="431">
        <f>SUM('База практик'!AJ64:AJ67)</f>
        <v>3.5687191138022586E-3</v>
      </c>
      <c r="AV82" s="431">
        <f>SUM('База практик'!AJ68)</f>
        <v>7.5000000000000002E-4</v>
      </c>
      <c r="AW82" s="431">
        <f>SUM('База практик'!AJ73)</f>
        <v>5.0000000000000001E-4</v>
      </c>
      <c r="AX82" s="431">
        <f>SUM('База практик'!AJ75:AJ76)</f>
        <v>3.0300000000000001E-3</v>
      </c>
      <c r="AY82" s="431">
        <f>SUM('База практик'!AJ78)</f>
        <v>2.3E-3</v>
      </c>
      <c r="AZ82">
        <f>SUM('База практик'!AJ79)</f>
        <v>0</v>
      </c>
      <c r="BA82" s="431">
        <f>SUM('База практик'!AJ82:AJ83)</f>
        <v>2.6199999999999999E-3</v>
      </c>
      <c r="BB82" s="431">
        <f>SUM('База практик'!AJ84)</f>
        <v>8.2700000000000004E-6</v>
      </c>
      <c r="BD82" s="431">
        <f>SUM('База практик'!AJ86)</f>
        <v>2.3356245810473409E-6</v>
      </c>
      <c r="BG82" s="431">
        <f>SUM('База практик'!AJ90)</f>
        <v>6.6E-4</v>
      </c>
      <c r="BH82" s="444">
        <f>SUM('База практик'!AJ91)</f>
        <v>3.7674302824746458E-2</v>
      </c>
      <c r="BI82" s="431">
        <f>SUM('База практик'!AJ92)</f>
        <v>6.9999999999999999E-4</v>
      </c>
      <c r="BJ82" s="431">
        <f>SUM('База практик'!AJ93:AJ94)</f>
        <v>6.0000000000000001E-3</v>
      </c>
      <c r="BK82" s="444">
        <f>SUM('База практик'!AJ96:AJ102)</f>
        <v>1.3252893789485916E-2</v>
      </c>
      <c r="BL82" s="431">
        <f>SUM('База практик'!AJ109)</f>
        <v>0.06</v>
      </c>
      <c r="BM82" s="431">
        <f>SUM('База практик'!AJ110)</f>
        <v>6.4039260576540503E-5</v>
      </c>
      <c r="BN82" s="431">
        <f>SUM('База практик'!AJ112)</f>
        <v>6.6588306681279567E-4</v>
      </c>
      <c r="BO82" s="444">
        <f>SUM('База практик'!AJ128:AJ130)</f>
        <v>1.3918671697584328E-2</v>
      </c>
      <c r="BP82">
        <f>SUM('База практик'!AJ131)</f>
        <v>0</v>
      </c>
      <c r="BQ82" s="431">
        <f>SUM('База практик'!AJ133)</f>
        <v>1.4704729605290337E-3</v>
      </c>
      <c r="BS82" s="431">
        <f>SUM('База практик'!AJ135)</f>
        <v>2.568116227698992E-4</v>
      </c>
      <c r="BT82" s="431">
        <f>SUM('База практик'!AJ136)</f>
        <v>8.9999999999999998E-4</v>
      </c>
      <c r="BU82" s="431">
        <f>SUM('База практик'!AJ138:AJ139)</f>
        <v>2.5358329606067218E-3</v>
      </c>
      <c r="BV82" s="431">
        <f>SUM('База практик'!AJ140)</f>
        <v>1.4E-3</v>
      </c>
      <c r="BW82" s="431">
        <f>SUM('База практик'!AJ148:AJ150)</f>
        <v>4.4290641836100117E-3</v>
      </c>
      <c r="BX82" s="431">
        <f>SUM('База практик'!AJ151)</f>
        <v>1.0399999999999999E-3</v>
      </c>
      <c r="BY82" s="431">
        <f>SUM('База практик'!AJ152)</f>
        <v>2.2000000000000001E-3</v>
      </c>
      <c r="BZ82" s="431">
        <f>SUM('База практик'!AJ153:AJ155)</f>
        <v>5.4000000000000003E-3</v>
      </c>
      <c r="CA82" s="431">
        <f>SUM('База практик'!AJ156:AJ158)</f>
        <v>4.2575630101241493E-4</v>
      </c>
      <c r="CB82" s="431">
        <f>SUM('База практик'!AJ166)</f>
        <v>1.2999999999999999E-3</v>
      </c>
      <c r="CD82" s="431">
        <f>SUM('База практик'!AJ168)</f>
        <v>1.6000000000000001E-4</v>
      </c>
      <c r="CE82" s="431">
        <f>SUM('База практик'!AJ169)</f>
        <v>2.9486746717303463E-3</v>
      </c>
      <c r="CF82" s="431">
        <f>SUM('База практик'!AJ173:AJ176)</f>
        <v>3.6800000000000001E-3</v>
      </c>
      <c r="CG82" s="431">
        <f>SUM('База практик'!AJ177:AJ178)</f>
        <v>2.6000000000000003E-4</v>
      </c>
      <c r="CH82" s="431">
        <f>SUM('База практик'!AJ179)</f>
        <v>1.5E-5</v>
      </c>
      <c r="CI82" s="431">
        <f>SUM('База практик'!AJ180)</f>
        <v>4.6999999999999999E-4</v>
      </c>
      <c r="CJ82" s="431">
        <f>SUM('База практик'!AJ181)</f>
        <v>0</v>
      </c>
      <c r="CL82" s="431">
        <f>SUM('База практик'!AJ183:AJ184)</f>
        <v>1.7000000000000001E-3</v>
      </c>
      <c r="CM82" s="433">
        <f>SUM('База практик'!AJ187:AJ188)</f>
        <v>0.23549999999999999</v>
      </c>
      <c r="CN82" s="431">
        <f>SUM('База практик'!AJ193:AJ195)</f>
        <v>1E-3</v>
      </c>
      <c r="CO82" s="431">
        <f>SUM('База практик'!AJ220:AJ222)</f>
        <v>5.0000000000000001E-4</v>
      </c>
      <c r="CQ82" s="431">
        <f>SUM('База практик'!AJ226)</f>
        <v>9.0000000000000006E-5</v>
      </c>
      <c r="CR82" s="431">
        <f>SUM('База практик'!AJ273)</f>
        <v>6.6E-3</v>
      </c>
      <c r="CT82" s="431">
        <f>SUM('База практик'!AJ276)</f>
        <v>6.3278001793344706E-3</v>
      </c>
      <c r="CU82" s="431">
        <f>SUM('База практик'!AJ278)</f>
        <v>8.0000000000000004E-4</v>
      </c>
      <c r="CV82" s="431">
        <f>SUM('База практик'!AJ280)</f>
        <v>0</v>
      </c>
      <c r="CW82" s="437">
        <f>SUM('База практик'!AJ311)</f>
        <v>2E-3</v>
      </c>
    </row>
    <row r="83" spans="1:101" ht="76.5" x14ac:dyDescent="0.25">
      <c r="A83" s="1644" t="s">
        <v>5035</v>
      </c>
      <c r="B83" s="152" t="s">
        <v>4881</v>
      </c>
      <c r="C83" s="162" t="s">
        <v>5036</v>
      </c>
      <c r="D83" s="137" t="s">
        <v>4831</v>
      </c>
      <c r="E83" s="137">
        <v>42</v>
      </c>
      <c r="F83" s="153" t="s">
        <v>5037</v>
      </c>
      <c r="G83" s="139" t="s">
        <v>5038</v>
      </c>
      <c r="H83" s="163" t="s">
        <v>5024</v>
      </c>
      <c r="I83" s="164" t="s">
        <v>4838</v>
      </c>
      <c r="J83" s="171"/>
      <c r="K83" s="171"/>
      <c r="L83" s="171"/>
      <c r="M83" s="171">
        <v>151.49940797452095</v>
      </c>
      <c r="N83" s="171">
        <v>161.83562221886461</v>
      </c>
      <c r="O83" s="172">
        <v>196.03077949056186</v>
      </c>
      <c r="P83" s="169">
        <f>P$64/P$148*1000</f>
        <v>248.5341706500453</v>
      </c>
      <c r="Q83">
        <f>Q$64/Q$148*1000</f>
        <v>31.406557716891818</v>
      </c>
      <c r="R83">
        <f t="shared" ref="R83:CC83" si="170">R$64/R$148*1000</f>
        <v>428.80305743910685</v>
      </c>
      <c r="S83">
        <f t="shared" si="170"/>
        <v>147.02870289532024</v>
      </c>
      <c r="T83">
        <f t="shared" si="170"/>
        <v>226.20892000951847</v>
      </c>
      <c r="U83">
        <f t="shared" si="170"/>
        <v>7.6548456492760879</v>
      </c>
      <c r="V83">
        <f t="shared" si="170"/>
        <v>1.8791348423415808</v>
      </c>
      <c r="W83">
        <f t="shared" si="170"/>
        <v>641.21277287550663</v>
      </c>
      <c r="X83" t="e">
        <f t="shared" si="170"/>
        <v>#DIV/0!</v>
      </c>
      <c r="Y83">
        <f t="shared" si="170"/>
        <v>90.315147032556226</v>
      </c>
      <c r="Z83">
        <f t="shared" si="170"/>
        <v>60.855815330999853</v>
      </c>
      <c r="AA83">
        <f t="shared" si="170"/>
        <v>557.75807999905783</v>
      </c>
      <c r="AB83">
        <f t="shared" si="170"/>
        <v>57.164970719010086</v>
      </c>
      <c r="AC83">
        <f t="shared" si="170"/>
        <v>195.06999470030894</v>
      </c>
      <c r="AD83">
        <f t="shared" si="170"/>
        <v>277.34543639653123</v>
      </c>
      <c r="AE83">
        <f t="shared" si="170"/>
        <v>414.33488767407573</v>
      </c>
      <c r="AF83" t="e">
        <f t="shared" si="170"/>
        <v>#DIV/0!</v>
      </c>
      <c r="AG83">
        <f t="shared" si="170"/>
        <v>18.599603661413607</v>
      </c>
      <c r="AH83">
        <f t="shared" si="170"/>
        <v>59.744672978082207</v>
      </c>
      <c r="AI83">
        <f t="shared" si="170"/>
        <v>9.8607465373988532</v>
      </c>
      <c r="AJ83">
        <f t="shared" si="170"/>
        <v>396.53846427285458</v>
      </c>
      <c r="AK83">
        <f t="shared" si="170"/>
        <v>87.752634306443255</v>
      </c>
      <c r="AL83">
        <f t="shared" si="170"/>
        <v>638.14256028570526</v>
      </c>
      <c r="AM83">
        <f t="shared" si="170"/>
        <v>338.65417596400317</v>
      </c>
      <c r="AN83">
        <f t="shared" si="170"/>
        <v>186.85085903797722</v>
      </c>
      <c r="AO83" t="e">
        <f t="shared" si="170"/>
        <v>#DIV/0!</v>
      </c>
      <c r="AP83" t="e">
        <f t="shared" si="170"/>
        <v>#DIV/0!</v>
      </c>
      <c r="AQ83">
        <f t="shared" si="170"/>
        <v>193.46517626827173</v>
      </c>
      <c r="AR83">
        <f t="shared" si="170"/>
        <v>60.688058862525942</v>
      </c>
      <c r="AS83">
        <f t="shared" si="170"/>
        <v>306.01979401173315</v>
      </c>
      <c r="AT83">
        <f t="shared" si="170"/>
        <v>183.09316699026053</v>
      </c>
      <c r="AU83">
        <f t="shared" si="170"/>
        <v>925.49081522296876</v>
      </c>
      <c r="AV83">
        <f t="shared" si="170"/>
        <v>254.9845633712286</v>
      </c>
      <c r="AW83">
        <f t="shared" si="170"/>
        <v>59.171287969842176</v>
      </c>
      <c r="AX83">
        <f t="shared" si="170"/>
        <v>801.9060261180947</v>
      </c>
      <c r="AY83">
        <f t="shared" si="170"/>
        <v>304.51953246715601</v>
      </c>
      <c r="AZ83">
        <f t="shared" si="170"/>
        <v>0.69959290962877141</v>
      </c>
      <c r="BA83">
        <f t="shared" si="170"/>
        <v>300.8670101158288</v>
      </c>
      <c r="BB83">
        <f t="shared" si="170"/>
        <v>71.730805856915779</v>
      </c>
      <c r="BC83" t="e">
        <f t="shared" si="170"/>
        <v>#DIV/0!</v>
      </c>
      <c r="BD83">
        <f t="shared" si="170"/>
        <v>62.85275464111141</v>
      </c>
      <c r="BE83" t="e">
        <f t="shared" si="170"/>
        <v>#DIV/0!</v>
      </c>
      <c r="BF83" t="e">
        <f t="shared" si="170"/>
        <v>#DIV/0!</v>
      </c>
      <c r="BG83">
        <f t="shared" si="170"/>
        <v>85.149483305059519</v>
      </c>
      <c r="BH83">
        <f t="shared" si="170"/>
        <v>91.924241034577648</v>
      </c>
      <c r="BI83">
        <f t="shared" si="170"/>
        <v>495.45464850037405</v>
      </c>
      <c r="BJ83">
        <f t="shared" si="170"/>
        <v>446.63662765466552</v>
      </c>
      <c r="BK83">
        <f t="shared" si="170"/>
        <v>1602.9810161808391</v>
      </c>
      <c r="BL83">
        <f t="shared" si="170"/>
        <v>59.395962361114577</v>
      </c>
      <c r="BM83">
        <f t="shared" si="170"/>
        <v>166.08388069539853</v>
      </c>
      <c r="BN83">
        <f t="shared" si="170"/>
        <v>70.237909685793639</v>
      </c>
      <c r="BO83">
        <f t="shared" si="170"/>
        <v>1281.4058977393256</v>
      </c>
      <c r="BP83">
        <f t="shared" si="170"/>
        <v>30.088934812031283</v>
      </c>
      <c r="BQ83">
        <f t="shared" si="170"/>
        <v>88.989932880896859</v>
      </c>
      <c r="BR83" t="e">
        <f t="shared" si="170"/>
        <v>#DIV/0!</v>
      </c>
      <c r="BS83">
        <f t="shared" si="170"/>
        <v>22.865448040695398</v>
      </c>
      <c r="BT83">
        <f t="shared" si="170"/>
        <v>64.229989797087597</v>
      </c>
      <c r="BU83">
        <f t="shared" si="170"/>
        <v>228.87901334449208</v>
      </c>
      <c r="BV83">
        <f t="shared" si="170"/>
        <v>114.63070665745776</v>
      </c>
      <c r="BW83">
        <f t="shared" si="170"/>
        <v>33.111778593214162</v>
      </c>
      <c r="BX83">
        <f t="shared" si="170"/>
        <v>417.91696171799356</v>
      </c>
      <c r="BY83">
        <f t="shared" si="170"/>
        <v>706.07286449738467</v>
      </c>
      <c r="BZ83">
        <f t="shared" si="170"/>
        <v>1961.8766346411828</v>
      </c>
      <c r="CA83">
        <f t="shared" si="170"/>
        <v>455.52237737842353</v>
      </c>
      <c r="CB83">
        <f t="shared" si="170"/>
        <v>166.98653865849695</v>
      </c>
      <c r="CC83" t="e">
        <f t="shared" si="170"/>
        <v>#DIV/0!</v>
      </c>
      <c r="CD83">
        <f t="shared" ref="CD83:CW83" si="171">CD$64/CD$148*1000</f>
        <v>10.914664735599628</v>
      </c>
      <c r="CE83">
        <f t="shared" si="171"/>
        <v>265.98629677201205</v>
      </c>
      <c r="CF83">
        <f t="shared" si="171"/>
        <v>533.27049072856369</v>
      </c>
      <c r="CG83">
        <f t="shared" si="171"/>
        <v>22.485144334144358</v>
      </c>
      <c r="CH83">
        <f t="shared" si="171"/>
        <v>173.36055265916048</v>
      </c>
      <c r="CI83">
        <f t="shared" si="171"/>
        <v>51.170590157615649</v>
      </c>
      <c r="CJ83">
        <f t="shared" si="171"/>
        <v>368.52196296773741</v>
      </c>
      <c r="CK83" t="e">
        <f t="shared" si="171"/>
        <v>#DIV/0!</v>
      </c>
      <c r="CL83">
        <f t="shared" si="171"/>
        <v>135.44233304299493</v>
      </c>
      <c r="CM83">
        <f t="shared" si="171"/>
        <v>184.4305791979107</v>
      </c>
      <c r="CN83">
        <f t="shared" si="171"/>
        <v>554.93686842182274</v>
      </c>
      <c r="CO83">
        <f t="shared" si="171"/>
        <v>477.90928086114536</v>
      </c>
      <c r="CP83" t="e">
        <f t="shared" si="171"/>
        <v>#DIV/0!</v>
      </c>
      <c r="CQ83">
        <f t="shared" si="171"/>
        <v>198.43189462917016</v>
      </c>
      <c r="CR83">
        <f t="shared" si="171"/>
        <v>430.88315179370682</v>
      </c>
      <c r="CS83" t="e">
        <f t="shared" si="171"/>
        <v>#DIV/0!</v>
      </c>
      <c r="CT83">
        <f t="shared" si="171"/>
        <v>581.39886255581712</v>
      </c>
      <c r="CU83">
        <f t="shared" si="171"/>
        <v>898.12678969137767</v>
      </c>
      <c r="CV83">
        <f t="shared" si="171"/>
        <v>561.7184577293533</v>
      </c>
      <c r="CW83">
        <f t="shared" si="171"/>
        <v>551.54465213912044</v>
      </c>
    </row>
    <row r="84" spans="1:101" ht="51" x14ac:dyDescent="0.25">
      <c r="A84" s="1672"/>
      <c r="B84" s="229"/>
      <c r="C84" s="230"/>
      <c r="D84" s="231"/>
      <c r="E84" s="231"/>
      <c r="F84" s="232"/>
      <c r="G84" s="233" t="s">
        <v>5039</v>
      </c>
      <c r="H84" s="234"/>
      <c r="I84" s="235"/>
      <c r="J84" s="236"/>
      <c r="K84" s="236"/>
      <c r="L84" s="236"/>
      <c r="M84" s="237"/>
      <c r="N84" s="237"/>
      <c r="O84" s="238"/>
      <c r="P84" s="169">
        <f>P$67/P$148*1000</f>
        <v>131.54656994638097</v>
      </c>
      <c r="Q84" s="169">
        <f>Q$67/Q$148*1000</f>
        <v>21.583370763224266</v>
      </c>
      <c r="R84" s="169">
        <f t="shared" ref="R84:CC84" si="172">R$67/R$148*1000</f>
        <v>19.521212093686557</v>
      </c>
      <c r="S84" s="169">
        <f t="shared" si="172"/>
        <v>106.80175197753451</v>
      </c>
      <c r="T84" s="169">
        <f t="shared" si="172"/>
        <v>183.13157241875135</v>
      </c>
      <c r="U84" s="169">
        <f t="shared" si="172"/>
        <v>22.541320768828061</v>
      </c>
      <c r="V84" s="169">
        <f t="shared" si="172"/>
        <v>0</v>
      </c>
      <c r="W84" s="169">
        <f t="shared" si="172"/>
        <v>554.00751482547344</v>
      </c>
      <c r="X84" s="169" t="e">
        <f t="shared" si="172"/>
        <v>#DIV/0!</v>
      </c>
      <c r="Y84" s="169">
        <f t="shared" si="172"/>
        <v>80.084461853380859</v>
      </c>
      <c r="Z84" s="169">
        <f t="shared" si="172"/>
        <v>60.855815330999853</v>
      </c>
      <c r="AA84" s="169">
        <f t="shared" si="172"/>
        <v>92.4292705621842</v>
      </c>
      <c r="AB84" s="169">
        <f t="shared" si="172"/>
        <v>41.829985596354284</v>
      </c>
      <c r="AC84" s="169">
        <f t="shared" si="172"/>
        <v>134.88187721089756</v>
      </c>
      <c r="AD84" s="169">
        <f t="shared" si="172"/>
        <v>208.56163720497977</v>
      </c>
      <c r="AE84" s="169">
        <f t="shared" si="172"/>
        <v>61.33420426133241</v>
      </c>
      <c r="AF84" s="169" t="e">
        <f t="shared" si="172"/>
        <v>#DIV/0!</v>
      </c>
      <c r="AG84" s="169">
        <f t="shared" si="172"/>
        <v>7.9645182598848727</v>
      </c>
      <c r="AH84" s="169">
        <f t="shared" si="172"/>
        <v>44.337025578281782</v>
      </c>
      <c r="AI84" s="169">
        <f t="shared" si="172"/>
        <v>7.8885972299190827</v>
      </c>
      <c r="AJ84" s="169">
        <f t="shared" si="172"/>
        <v>355.4710974814663</v>
      </c>
      <c r="AK84" s="169">
        <f t="shared" si="172"/>
        <v>0.92128749928024412</v>
      </c>
      <c r="AL84" s="169">
        <f t="shared" si="172"/>
        <v>194.68154451502798</v>
      </c>
      <c r="AM84" s="169">
        <f t="shared" si="172"/>
        <v>85.468124734910646</v>
      </c>
      <c r="AN84" s="169">
        <f t="shared" si="172"/>
        <v>119.81387926090318</v>
      </c>
      <c r="AO84" s="169" t="e">
        <f t="shared" si="172"/>
        <v>#DIV/0!</v>
      </c>
      <c r="AP84" s="169" t="e">
        <f t="shared" si="172"/>
        <v>#DIV/0!</v>
      </c>
      <c r="AQ84" s="169">
        <f t="shared" si="172"/>
        <v>135.81646212772611</v>
      </c>
      <c r="AR84" s="169">
        <f t="shared" si="172"/>
        <v>38.226328458974798</v>
      </c>
      <c r="AS84" s="169">
        <f t="shared" si="172"/>
        <v>188.26998056086728</v>
      </c>
      <c r="AT84" s="169">
        <f t="shared" si="172"/>
        <v>149.77628758045662</v>
      </c>
      <c r="AU84" s="169">
        <f t="shared" si="172"/>
        <v>223.6964879180909</v>
      </c>
      <c r="AV84" s="169">
        <f t="shared" si="172"/>
        <v>42.240684546914416</v>
      </c>
      <c r="AW84" s="169">
        <f t="shared" si="172"/>
        <v>48.495336248868291</v>
      </c>
      <c r="AX84" s="169">
        <f t="shared" si="172"/>
        <v>186.19176552227722</v>
      </c>
      <c r="AY84" s="169">
        <f t="shared" si="172"/>
        <v>150.39329425149091</v>
      </c>
      <c r="AZ84" s="169">
        <f t="shared" si="172"/>
        <v>0</v>
      </c>
      <c r="BA84" s="169">
        <f t="shared" si="172"/>
        <v>239.41708176250833</v>
      </c>
      <c r="BB84" s="169">
        <f t="shared" si="172"/>
        <v>57.230173490460956</v>
      </c>
      <c r="BC84" s="169" t="e">
        <f t="shared" si="172"/>
        <v>#DIV/0!</v>
      </c>
      <c r="BD84" s="169">
        <f t="shared" si="172"/>
        <v>29.653953315857567</v>
      </c>
      <c r="BE84" s="169" t="e">
        <f t="shared" si="172"/>
        <v>#DIV/0!</v>
      </c>
      <c r="BF84" s="169" t="e">
        <f t="shared" si="172"/>
        <v>#DIV/0!</v>
      </c>
      <c r="BG84" s="169">
        <f t="shared" si="172"/>
        <v>64.851630434711936</v>
      </c>
      <c r="BH84" s="169">
        <f t="shared" si="172"/>
        <v>44.007585607846735</v>
      </c>
      <c r="BI84" s="169">
        <f t="shared" si="172"/>
        <v>383.49618009113374</v>
      </c>
      <c r="BJ84" s="169">
        <f t="shared" si="172"/>
        <v>379.47776827957767</v>
      </c>
      <c r="BK84" s="169">
        <f t="shared" si="172"/>
        <v>542.43832438123195</v>
      </c>
      <c r="BL84" s="169">
        <f t="shared" si="172"/>
        <v>41.598616238470143</v>
      </c>
      <c r="BM84" s="169">
        <f t="shared" si="172"/>
        <v>2.9480994360721762</v>
      </c>
      <c r="BN84" s="169">
        <f t="shared" si="172"/>
        <v>38.812674548441741</v>
      </c>
      <c r="BO84" s="169">
        <f t="shared" si="172"/>
        <v>866.51415545781992</v>
      </c>
      <c r="BP84" s="169">
        <f t="shared" si="172"/>
        <v>0</v>
      </c>
      <c r="BQ84" s="169">
        <f t="shared" si="172"/>
        <v>79.882735855589658</v>
      </c>
      <c r="BR84" s="169" t="e">
        <f t="shared" si="172"/>
        <v>#DIV/0!</v>
      </c>
      <c r="BS84" s="169">
        <f t="shared" si="172"/>
        <v>19.144086948883192</v>
      </c>
      <c r="BT84" s="169">
        <f t="shared" si="172"/>
        <v>47.000574822032675</v>
      </c>
      <c r="BU84" s="169">
        <f t="shared" si="172"/>
        <v>154.14389902303927</v>
      </c>
      <c r="BV84" s="169">
        <f t="shared" si="172"/>
        <v>76.821997702806584</v>
      </c>
      <c r="BW84" s="169">
        <f t="shared" si="172"/>
        <v>33.111778593214162</v>
      </c>
      <c r="BX84" s="169">
        <f t="shared" si="172"/>
        <v>57.14161844340898</v>
      </c>
      <c r="BY84" s="169">
        <f t="shared" si="172"/>
        <v>514.40540907575746</v>
      </c>
      <c r="BZ84" s="169">
        <f t="shared" si="172"/>
        <v>1890.8075050639316</v>
      </c>
      <c r="CA84" s="169">
        <f t="shared" si="172"/>
        <v>29.913231807224896</v>
      </c>
      <c r="CB84" s="169">
        <f t="shared" si="172"/>
        <v>166.98653865849695</v>
      </c>
      <c r="CC84" s="169" t="e">
        <f t="shared" si="172"/>
        <v>#DIV/0!</v>
      </c>
      <c r="CD84" s="169">
        <f t="shared" ref="CD84:CW84" si="173">CD$67/CD$148*1000</f>
        <v>10.080768946901717</v>
      </c>
      <c r="CE84" s="169">
        <f t="shared" si="173"/>
        <v>153.92943219242017</v>
      </c>
      <c r="CF84" s="169">
        <f t="shared" si="173"/>
        <v>205.13395606447688</v>
      </c>
      <c r="CG84" s="169">
        <f t="shared" si="173"/>
        <v>6.1236704717122299</v>
      </c>
      <c r="CH84" s="169">
        <f t="shared" si="173"/>
        <v>103.38160188324308</v>
      </c>
      <c r="CI84" s="169">
        <f t="shared" si="173"/>
        <v>36.419305253268185</v>
      </c>
      <c r="CJ84" s="169">
        <f t="shared" si="173"/>
        <v>245.06744640812155</v>
      </c>
      <c r="CK84" s="169" t="e">
        <f t="shared" si="173"/>
        <v>#DIV/0!</v>
      </c>
      <c r="CL84" s="169">
        <f t="shared" si="173"/>
        <v>91.727272146466845</v>
      </c>
      <c r="CM84" s="169">
        <f t="shared" si="173"/>
        <v>118.76438667381767</v>
      </c>
      <c r="CN84" s="169">
        <f t="shared" si="173"/>
        <v>66.301763504371351</v>
      </c>
      <c r="CO84" s="169">
        <f t="shared" si="173"/>
        <v>98.869374138729128</v>
      </c>
      <c r="CP84" s="169" t="e">
        <f t="shared" si="173"/>
        <v>#DIV/0!</v>
      </c>
      <c r="CQ84" s="169">
        <f t="shared" si="173"/>
        <v>11.789743210029881</v>
      </c>
      <c r="CR84" s="169">
        <f t="shared" si="173"/>
        <v>430.36387643669786</v>
      </c>
      <c r="CS84" s="169" t="e">
        <f t="shared" si="173"/>
        <v>#DIV/0!</v>
      </c>
      <c r="CT84" s="169">
        <f t="shared" si="173"/>
        <v>372.84742055052561</v>
      </c>
      <c r="CU84" s="169">
        <f t="shared" si="173"/>
        <v>723.83073496659244</v>
      </c>
      <c r="CV84" s="169">
        <f t="shared" si="173"/>
        <v>0</v>
      </c>
      <c r="CW84" s="169">
        <f t="shared" si="173"/>
        <v>117.20224128343237</v>
      </c>
    </row>
    <row r="85" spans="1:101" ht="39" thickBot="1" x14ac:dyDescent="0.3">
      <c r="A85" s="1645"/>
      <c r="B85" s="239" t="s">
        <v>4829</v>
      </c>
      <c r="C85" s="240" t="s">
        <v>5040</v>
      </c>
      <c r="D85" s="241" t="s">
        <v>4831</v>
      </c>
      <c r="E85" s="241">
        <v>43</v>
      </c>
      <c r="F85" s="242" t="s">
        <v>5041</v>
      </c>
      <c r="G85" s="243" t="s">
        <v>5042</v>
      </c>
      <c r="H85" s="244" t="s">
        <v>5024</v>
      </c>
      <c r="I85" s="245" t="s">
        <v>4838</v>
      </c>
      <c r="J85" s="171"/>
      <c r="K85" s="171"/>
      <c r="L85" s="171"/>
      <c r="M85" s="171">
        <v>98.757125077537196</v>
      </c>
      <c r="N85" s="171">
        <v>131.54137349457784</v>
      </c>
      <c r="O85" s="200">
        <v>163.96445204242127</v>
      </c>
      <c r="P85" s="169">
        <f>P64/P149*1000</f>
        <v>216.75577743758009</v>
      </c>
      <c r="Q85" s="388"/>
      <c r="R85" s="388"/>
      <c r="S85" s="388"/>
      <c r="T85" s="388"/>
      <c r="U85" s="388"/>
      <c r="V85" s="388"/>
      <c r="W85" s="388"/>
      <c r="Y85" s="388"/>
      <c r="Z85" s="388"/>
      <c r="AA85" s="388"/>
      <c r="AB85" s="388"/>
      <c r="AC85" s="388"/>
      <c r="AD85" s="388"/>
      <c r="AE85" s="388"/>
      <c r="AG85" s="388"/>
      <c r="AH85" s="388"/>
      <c r="AI85" s="388"/>
      <c r="AJ85" s="388"/>
      <c r="AK85" s="388"/>
      <c r="AL85" s="388"/>
      <c r="AM85" s="388"/>
      <c r="AN85" s="388"/>
      <c r="AQ85" s="388"/>
      <c r="AR85" s="388"/>
      <c r="AS85" s="388"/>
      <c r="AT85" s="388"/>
      <c r="AU85" s="388"/>
      <c r="AV85" s="388"/>
      <c r="AW85" s="388"/>
      <c r="AX85" s="388"/>
      <c r="AY85" s="388"/>
      <c r="AZ85" s="388"/>
      <c r="BA85" s="388"/>
      <c r="BB85" s="388"/>
      <c r="BD85" s="388"/>
      <c r="BG85" s="388"/>
      <c r="BH85" s="388"/>
      <c r="BI85" s="388"/>
      <c r="BJ85" s="388"/>
      <c r="BK85" s="388"/>
      <c r="BL85" s="388"/>
      <c r="BM85" s="388"/>
      <c r="BN85" s="388"/>
      <c r="BO85" s="388"/>
      <c r="BP85" s="388"/>
      <c r="BQ85" s="388"/>
      <c r="BS85" s="388"/>
      <c r="BT85" s="388"/>
      <c r="BU85" s="388"/>
      <c r="BV85" s="388"/>
      <c r="BW85" s="388"/>
      <c r="BX85" s="388"/>
      <c r="BY85" s="388"/>
      <c r="BZ85" s="388"/>
      <c r="CA85" s="388"/>
      <c r="CB85" s="388"/>
      <c r="CD85" s="388"/>
      <c r="CE85" s="388"/>
      <c r="CF85" s="388"/>
      <c r="CG85" s="388"/>
      <c r="CH85" s="388"/>
      <c r="CI85" s="388"/>
      <c r="CJ85" s="388"/>
      <c r="CL85" s="388"/>
      <c r="CM85" s="388"/>
      <c r="CN85" s="388"/>
      <c r="CO85" s="388"/>
      <c r="CQ85" s="388"/>
      <c r="CR85" s="388"/>
      <c r="CT85" s="388"/>
      <c r="CU85" s="388"/>
      <c r="CV85" s="388"/>
      <c r="CW85" s="388"/>
    </row>
    <row r="86" spans="1:101" ht="89.25" x14ac:dyDescent="0.25">
      <c r="A86" s="1651" t="s">
        <v>5043</v>
      </c>
      <c r="B86" s="1634" t="s">
        <v>4881</v>
      </c>
      <c r="C86" s="1636" t="s">
        <v>5044</v>
      </c>
      <c r="D86" s="112" t="s">
        <v>4831</v>
      </c>
      <c r="E86" s="112">
        <v>44</v>
      </c>
      <c r="F86" s="113" t="s">
        <v>5045</v>
      </c>
      <c r="G86" s="123" t="s">
        <v>5470</v>
      </c>
      <c r="H86" s="181" t="s">
        <v>4984</v>
      </c>
      <c r="I86" s="196" t="s">
        <v>4847</v>
      </c>
      <c r="J86" s="171"/>
      <c r="K86" s="171"/>
      <c r="L86" s="171"/>
      <c r="M86" s="171">
        <v>14479.747054480002</v>
      </c>
      <c r="N86" s="171">
        <v>13878.172658840002</v>
      </c>
      <c r="O86" s="172">
        <v>16507.709297650003</v>
      </c>
      <c r="P86" s="171">
        <v>20243.888999999999</v>
      </c>
    </row>
    <row r="87" spans="1:101" ht="64.5" thickBot="1" x14ac:dyDescent="0.3">
      <c r="A87" s="1652"/>
      <c r="B87" s="1646"/>
      <c r="C87" s="1646"/>
      <c r="D87" s="119" t="s">
        <v>4831</v>
      </c>
      <c r="E87" s="119">
        <v>45</v>
      </c>
      <c r="F87" s="125" t="s">
        <v>5046</v>
      </c>
      <c r="G87" s="126" t="s">
        <v>5047</v>
      </c>
      <c r="H87" s="193" t="s">
        <v>52</v>
      </c>
      <c r="I87" s="194" t="s">
        <v>4847</v>
      </c>
      <c r="J87" s="171"/>
      <c r="K87" s="171"/>
      <c r="L87" s="171"/>
      <c r="M87" s="171" t="s">
        <v>4844</v>
      </c>
      <c r="N87" s="171" t="s">
        <v>4844</v>
      </c>
      <c r="O87" s="171" t="s">
        <v>4844</v>
      </c>
    </row>
    <row r="88" spans="1:101" ht="89.25" x14ac:dyDescent="0.25">
      <c r="A88" s="1669">
        <v>33</v>
      </c>
      <c r="B88" s="246"/>
      <c r="C88" s="246"/>
      <c r="D88" s="247" t="s">
        <v>4831</v>
      </c>
      <c r="E88" s="247">
        <v>33</v>
      </c>
      <c r="F88" s="248" t="s">
        <v>5048</v>
      </c>
      <c r="G88" s="249" t="s">
        <v>5049</v>
      </c>
      <c r="H88" s="250" t="s">
        <v>4909</v>
      </c>
      <c r="I88" s="251" t="s">
        <v>4847</v>
      </c>
      <c r="J88" s="252"/>
      <c r="K88" s="252"/>
      <c r="L88" s="252"/>
      <c r="M88" s="252" t="s">
        <v>4844</v>
      </c>
      <c r="N88" s="252">
        <v>0</v>
      </c>
      <c r="O88" s="253"/>
    </row>
    <row r="89" spans="1:101" ht="77.25" thickBot="1" x14ac:dyDescent="0.3">
      <c r="A89" s="1670"/>
      <c r="B89" s="254"/>
      <c r="C89" s="254"/>
      <c r="D89" s="255" t="s">
        <v>4831</v>
      </c>
      <c r="E89" s="255">
        <v>34</v>
      </c>
      <c r="F89" s="256" t="s">
        <v>5050</v>
      </c>
      <c r="G89" s="257" t="s">
        <v>5051</v>
      </c>
      <c r="H89" s="258" t="s">
        <v>52</v>
      </c>
      <c r="I89" s="259" t="s">
        <v>4838</v>
      </c>
      <c r="J89" s="252"/>
      <c r="K89" s="252"/>
      <c r="L89" s="252" t="s">
        <v>500</v>
      </c>
      <c r="M89" s="252" t="s">
        <v>4844</v>
      </c>
      <c r="N89" s="252"/>
      <c r="O89" s="253"/>
    </row>
    <row r="90" spans="1:101" ht="25.5" x14ac:dyDescent="0.25">
      <c r="A90" s="1660" t="s">
        <v>5052</v>
      </c>
      <c r="B90" s="1660" t="s">
        <v>4881</v>
      </c>
      <c r="C90" s="1671" t="s">
        <v>5053</v>
      </c>
      <c r="D90" s="137" t="s">
        <v>4831</v>
      </c>
      <c r="E90" s="137">
        <v>52</v>
      </c>
      <c r="F90" s="153" t="s">
        <v>5054</v>
      </c>
      <c r="G90" s="1640" t="s">
        <v>5055</v>
      </c>
      <c r="H90" s="202" t="s">
        <v>5056</v>
      </c>
      <c r="I90" s="203" t="s">
        <v>4847</v>
      </c>
      <c r="J90" s="171"/>
      <c r="K90" s="171"/>
      <c r="L90" s="171"/>
      <c r="M90" s="171">
        <v>1554</v>
      </c>
      <c r="N90" s="171">
        <v>1605</v>
      </c>
      <c r="O90" s="172">
        <v>1551</v>
      </c>
      <c r="P90">
        <f>SUM(Q90:CW90)</f>
        <v>1188</v>
      </c>
      <c r="Q90">
        <f>SUMIFS('База практик'!$BF$5:$BF$311,'База практик'!$E$5:$E$311,Расчеты!Q$1)</f>
        <v>1</v>
      </c>
      <c r="R90">
        <f>SUMIFS('База практик'!$BF$5:$BF$311,'База практик'!$E$5:$E$311,Расчеты!R$1)</f>
        <v>0</v>
      </c>
      <c r="S90">
        <f>SUMIFS('База практик'!$BF$5:$BF$311,'База практик'!$E$5:$E$311,Расчеты!S$1)</f>
        <v>53</v>
      </c>
      <c r="T90">
        <f>SUMIFS('База практик'!$BF$5:$BF$311,'База практик'!$E$5:$E$311,Расчеты!T$1)</f>
        <v>3</v>
      </c>
      <c r="U90">
        <f>SUMIFS('База практик'!$BF$5:$BF$311,'База практик'!$E$5:$E$311,Расчеты!U$1)</f>
        <v>27</v>
      </c>
      <c r="V90">
        <f>SUMIFS('База практик'!$BF$5:$BF$311,'База практик'!$E$5:$E$311,Расчеты!V$1)</f>
        <v>0</v>
      </c>
      <c r="W90">
        <f>SUMIFS('База практик'!$BF$5:$BF$311,'База практик'!$E$5:$E$311,Расчеты!W$1)</f>
        <v>53</v>
      </c>
      <c r="X90" s="388">
        <f>SUMIFS('База практик'!$BF$5:$BF$311,'База практик'!$E$5:$E$311,Расчеты!X$1)</f>
        <v>0</v>
      </c>
      <c r="Y90">
        <f>SUMIFS('База практик'!$BF$5:$BF$311,'База практик'!$E$5:$E$311,Расчеты!Y$1)</f>
        <v>0</v>
      </c>
      <c r="Z90">
        <f>SUMIFS('База практик'!$BF$5:$BF$311,'База практик'!$E$5:$E$311,Расчеты!Z$1)</f>
        <v>4</v>
      </c>
      <c r="AA90">
        <f>SUMIFS('База практик'!$BF$5:$BF$311,'База практик'!$E$5:$E$311,Расчеты!AA$1)</f>
        <v>3</v>
      </c>
      <c r="AB90">
        <f>SUMIFS('База практик'!$BF$5:$BF$311,'База практик'!$E$5:$E$311,Расчеты!AB$1)</f>
        <v>7</v>
      </c>
      <c r="AC90">
        <f>SUMIFS('База практик'!$BF$5:$BF$311,'База практик'!$E$5:$E$311,Расчеты!AC$1)</f>
        <v>117</v>
      </c>
      <c r="AD90">
        <f>SUMIFS('База практик'!$BF$5:$BF$311,'База практик'!$E$5:$E$311,Расчеты!AD$1)</f>
        <v>38</v>
      </c>
      <c r="AE90">
        <f>SUMIFS('База практик'!$BF$5:$BF$311,'База практик'!$E$5:$E$311,Расчеты!AE$1)</f>
        <v>12</v>
      </c>
      <c r="AF90" s="388">
        <f>SUMIFS('База практик'!$BF$5:$BF$311,'База практик'!$E$5:$E$311,Расчеты!AF$1)</f>
        <v>0</v>
      </c>
      <c r="AG90">
        <f>SUMIFS('База практик'!$BF$5:$BF$311,'База практик'!$E$5:$E$311,Расчеты!AG$1)</f>
        <v>0</v>
      </c>
      <c r="AH90">
        <f>SUMIFS('База практик'!$BF$5:$BF$311,'База практик'!$E$5:$E$311,Расчеты!AH$1)</f>
        <v>0</v>
      </c>
      <c r="AI90">
        <f>SUMIFS('База практик'!$BF$5:$BF$311,'База практик'!$E$5:$E$311,Расчеты!AI$1)</f>
        <v>0</v>
      </c>
      <c r="AJ90">
        <f>SUMIFS('База практик'!$BF$5:$BF$311,'База практик'!$E$5:$E$311,Расчеты!AJ$1)</f>
        <v>168</v>
      </c>
      <c r="AK90">
        <f>SUMIFS('База практик'!$BF$5:$BF$311,'База практик'!$E$5:$E$311,Расчеты!AK$1)</f>
        <v>0</v>
      </c>
      <c r="AL90">
        <f>SUMIFS('База практик'!$BF$5:$BF$311,'База практик'!$E$5:$E$311,Расчеты!AL$1)</f>
        <v>54</v>
      </c>
      <c r="AM90">
        <f>SUMIFS('База практик'!$BF$5:$BF$311,'База практик'!$E$5:$E$311,Расчеты!AM$1)</f>
        <v>1</v>
      </c>
      <c r="AN90">
        <f>SUMIFS('База практик'!$BF$5:$BF$311,'База практик'!$E$5:$E$311,Расчеты!AN$1)</f>
        <v>8</v>
      </c>
      <c r="AO90" s="388">
        <f>SUMIFS('База практик'!$BF$5:$BF$311,'База практик'!$E$5:$E$311,Расчеты!AO$1)</f>
        <v>0</v>
      </c>
      <c r="AP90" s="388">
        <f>SUMIFS('База практик'!$BF$5:$BF$311,'База практик'!$E$5:$E$311,Расчеты!AP$1)</f>
        <v>0</v>
      </c>
      <c r="AQ90">
        <f>SUMIFS('База практик'!$BF$5:$BF$311,'База практик'!$E$5:$E$311,Расчеты!AQ$1)</f>
        <v>13</v>
      </c>
      <c r="AR90">
        <f>SUMIFS('База практик'!$BF$5:$BF$311,'База практик'!$E$5:$E$311,Расчеты!AR$1)</f>
        <v>0</v>
      </c>
      <c r="AS90">
        <f>SUMIFS('База практик'!$BF$5:$BF$311,'База практик'!$E$5:$E$311,Расчеты!AS$1)</f>
        <v>52</v>
      </c>
      <c r="AT90">
        <f>SUMIFS('База практик'!$BF$5:$BF$311,'База практик'!$E$5:$E$311,Расчеты!AT$1)</f>
        <v>10</v>
      </c>
      <c r="AU90">
        <f>SUMIFS('База практик'!$BF$5:$BF$311,'База практик'!$E$5:$E$311,Расчеты!AU$1)</f>
        <v>47</v>
      </c>
      <c r="AV90">
        <f>SUMIFS('База практик'!$BF$5:$BF$311,'База практик'!$E$5:$E$311,Расчеты!AV$1)</f>
        <v>1</v>
      </c>
      <c r="AW90">
        <f>SUMIFS('База практик'!$BF$5:$BF$311,'База практик'!$E$5:$E$311,Расчеты!AW$1)</f>
        <v>24</v>
      </c>
      <c r="AX90">
        <f>SUMIFS('База практик'!$BF$5:$BF$311,'База практик'!$E$5:$E$311,Расчеты!AX$1)</f>
        <v>0</v>
      </c>
      <c r="AY90">
        <f>SUMIFS('База практик'!$BF$5:$BF$311,'База практик'!$E$5:$E$311,Расчеты!AY$1)</f>
        <v>3</v>
      </c>
      <c r="AZ90">
        <f>SUMIFS('База практик'!$BF$5:$BF$311,'База практик'!$E$5:$E$311,Расчеты!AZ$1)</f>
        <v>0</v>
      </c>
      <c r="BA90">
        <f>SUMIFS('База практик'!$BF$5:$BF$311,'База практик'!$E$5:$E$311,Расчеты!BA$1)</f>
        <v>12</v>
      </c>
      <c r="BB90">
        <f>SUMIFS('База практик'!$BF$5:$BF$311,'База практик'!$E$5:$E$311,Расчеты!BB$1)</f>
        <v>0</v>
      </c>
      <c r="BC90" s="388">
        <f>SUMIFS('База практик'!$BF$5:$BF$311,'База практик'!$E$5:$E$311,Расчеты!BC$1)</f>
        <v>0</v>
      </c>
      <c r="BD90">
        <f>SUMIFS('База практик'!$BF$5:$BF$311,'База практик'!$E$5:$E$311,Расчеты!BD$1)</f>
        <v>0</v>
      </c>
      <c r="BE90" s="388">
        <f>SUMIFS('База практик'!$BF$5:$BF$311,'База практик'!$E$5:$E$311,Расчеты!BE$1)</f>
        <v>0</v>
      </c>
      <c r="BF90" s="388">
        <f>SUMIFS('База практик'!$BF$5:$BF$311,'База практик'!$E$5:$E$311,Расчеты!BF$1)</f>
        <v>0</v>
      </c>
      <c r="BG90">
        <f>SUMIFS('База практик'!$BF$5:$BF$311,'База практик'!$E$5:$E$311,Расчеты!BG$1)</f>
        <v>0</v>
      </c>
      <c r="BH90">
        <f>SUMIFS('База практик'!$BF$5:$BF$311,'База практик'!$E$5:$E$311,Расчеты!BH$1)</f>
        <v>0</v>
      </c>
      <c r="BI90">
        <f>SUMIFS('База практик'!$BF$5:$BF$311,'База практик'!$E$5:$E$311,Расчеты!BI$1)</f>
        <v>0</v>
      </c>
      <c r="BJ90">
        <f>SUMIFS('База практик'!$BF$5:$BF$311,'База практик'!$E$5:$E$311,Расчеты!BJ$1)</f>
        <v>41</v>
      </c>
      <c r="BK90">
        <f>SUMIFS('База практик'!$BF$5:$BF$311,'База практик'!$E$5:$E$311,Расчеты!BK$1)</f>
        <v>2</v>
      </c>
      <c r="BL90">
        <f>SUMIFS('База практик'!$BF$5:$BF$311,'База практик'!$E$5:$E$311,Расчеты!BL$1)</f>
        <v>2</v>
      </c>
      <c r="BM90">
        <f>SUMIFS('База практик'!$BF$5:$BF$311,'База практик'!$E$5:$E$311,Расчеты!BM$1)</f>
        <v>0</v>
      </c>
      <c r="BN90">
        <f>SUMIFS('База практик'!$BF$5:$BF$311,'База практик'!$E$5:$E$311,Расчеты!BN$1)</f>
        <v>12</v>
      </c>
      <c r="BO90">
        <f>SUMIFS('База практик'!$BF$5:$BF$311,'База практик'!$E$5:$E$311,Расчеты!BO$1)</f>
        <v>2</v>
      </c>
      <c r="BP90">
        <f>SUMIFS('База практик'!$BF$5:$BF$311,'База практик'!$E$5:$E$311,Расчеты!BP$1)</f>
        <v>3</v>
      </c>
      <c r="BQ90">
        <f>SUMIFS('База практик'!$BF$5:$BF$311,'База практик'!$E$5:$E$311,Расчеты!BQ$1)</f>
        <v>27</v>
      </c>
      <c r="BR90" s="388">
        <f>SUMIFS('База практик'!$BF$5:$BF$311,'База практик'!$E$5:$E$311,Расчеты!BR$1)</f>
        <v>0</v>
      </c>
      <c r="BS90">
        <f>SUMIFS('База практик'!$BF$5:$BF$311,'База практик'!$E$5:$E$311,Расчеты!BS$1)</f>
        <v>2</v>
      </c>
      <c r="BT90">
        <f>SUMIFS('База практик'!$BF$5:$BF$311,'База практик'!$E$5:$E$311,Расчеты!BT$1)</f>
        <v>2</v>
      </c>
      <c r="BU90">
        <f>SUMIFS('База практик'!$BF$5:$BF$311,'База практик'!$E$5:$E$311,Расчеты!BU$1)</f>
        <v>6</v>
      </c>
      <c r="BV90">
        <f>SUMIFS('База практик'!$BF$5:$BF$311,'База практик'!$E$5:$E$311,Расчеты!BV$1)</f>
        <v>23</v>
      </c>
      <c r="BW90">
        <f>SUMIFS('База практик'!$BF$5:$BF$311,'База практик'!$E$5:$E$311,Расчеты!BW$1)</f>
        <v>0</v>
      </c>
      <c r="BX90">
        <f>SUMIFS('База практик'!$BF$5:$BF$311,'База практик'!$E$5:$E$311,Расчеты!BX$1)</f>
        <v>62</v>
      </c>
      <c r="BY90">
        <f>SUMIFS('База практик'!$BF$5:$BF$311,'База практик'!$E$5:$E$311,Расчеты!BY$1)</f>
        <v>41</v>
      </c>
      <c r="BZ90">
        <f>SUMIFS('База практик'!$BF$5:$BF$311,'База практик'!$E$5:$E$311,Расчеты!BZ$1)</f>
        <v>1</v>
      </c>
      <c r="CA90">
        <f>SUMIFS('База практик'!$BF$5:$BF$311,'База практик'!$E$5:$E$311,Расчеты!CA$1)</f>
        <v>0</v>
      </c>
      <c r="CB90">
        <f>SUMIFS('База практик'!$BF$5:$BF$311,'База практик'!$E$5:$E$311,Расчеты!CB$1)</f>
        <v>0</v>
      </c>
      <c r="CC90" s="388">
        <f>SUMIFS('База практик'!$BF$5:$BF$311,'База практик'!$E$5:$E$311,Расчеты!CC$1)</f>
        <v>0</v>
      </c>
      <c r="CD90">
        <f>SUMIFS('База практик'!$BF$5:$BF$311,'База практик'!$E$5:$E$311,Расчеты!CD$1)</f>
        <v>0</v>
      </c>
      <c r="CE90">
        <f>SUMIFS('База практик'!$BF$5:$BF$311,'База практик'!$E$5:$E$311,Расчеты!CE$1)</f>
        <v>0</v>
      </c>
      <c r="CF90">
        <f>SUMIFS('База практик'!$BF$5:$BF$311,'База практик'!$E$5:$E$311,Расчеты!CF$1)</f>
        <v>89</v>
      </c>
      <c r="CG90">
        <f>SUMIFS('База практик'!$BF$5:$BF$311,'База практик'!$E$5:$E$311,Расчеты!CG$1)</f>
        <v>0</v>
      </c>
      <c r="CH90">
        <f>SUMIFS('База практик'!$BF$5:$BF$311,'База практик'!$E$5:$E$311,Расчеты!CH$1)</f>
        <v>44</v>
      </c>
      <c r="CI90">
        <f>SUMIFS('База практик'!$BF$5:$BF$311,'База практик'!$E$5:$E$311,Расчеты!CI$1)</f>
        <v>3</v>
      </c>
      <c r="CJ90">
        <f>SUMIFS('База практик'!$BF$5:$BF$311,'База практик'!$E$5:$E$311,Расчеты!CJ$1)</f>
        <v>35</v>
      </c>
      <c r="CK90" s="388">
        <f>SUMIFS('База практик'!$BF$5:$BF$311,'База практик'!$E$5:$E$311,Расчеты!CK$1)</f>
        <v>0</v>
      </c>
      <c r="CL90">
        <f>SUMIFS('База практик'!$BF$5:$BF$311,'База практик'!$E$5:$E$311,Расчеты!CL$1)</f>
        <v>1</v>
      </c>
      <c r="CM90">
        <f>SUMIFS('База практик'!$BF$5:$BF$311,'База практик'!$E$5:$E$311,Расчеты!CM$1)</f>
        <v>6</v>
      </c>
      <c r="CN90">
        <f>SUMIFS('База практик'!$BF$5:$BF$311,'База практик'!$E$5:$E$311,Расчеты!CN$1)</f>
        <v>0</v>
      </c>
      <c r="CO90">
        <f>SUMIFS('База практик'!$BF$5:$BF$311,'База практик'!$E$5:$E$311,Расчеты!CO$1)</f>
        <v>10</v>
      </c>
      <c r="CP90" s="388">
        <f>SUMIFS('База практик'!$BF$5:$BF$311,'База практик'!$E$5:$E$311,Расчеты!CP$1)</f>
        <v>0</v>
      </c>
      <c r="CQ90">
        <f>SUMIFS('База практик'!$BF$5:$BF$311,'База практик'!$E$5:$E$311,Расчеты!CQ$1)</f>
        <v>0</v>
      </c>
      <c r="CR90">
        <f>SUMIFS('База практик'!$BF$5:$BF$311,'База практик'!$E$5:$E$311,Расчеты!CR$1)</f>
        <v>0</v>
      </c>
      <c r="CS90" s="388">
        <f>SUMIFS('База практик'!$BF$5:$BF$311,'База практик'!$E$5:$E$311,Расчеты!CS$1)</f>
        <v>0</v>
      </c>
      <c r="CT90">
        <f>SUMIFS('База практик'!$BF$5:$BF$311,'База практик'!$E$5:$E$311,Расчеты!CT$1)</f>
        <v>58</v>
      </c>
      <c r="CU90">
        <f>SUMIFS('База практик'!$BF$5:$BF$311,'База практик'!$E$5:$E$311,Расчеты!CU$1)</f>
        <v>0</v>
      </c>
      <c r="CV90">
        <f>SUMIFS('База практик'!$BF$5:$BF$311,'База практик'!$E$5:$E$311,Расчеты!CV$1)</f>
        <v>2</v>
      </c>
      <c r="CW90">
        <f>SUMIFS('База практик'!$BF$5:$BF$311,'База практик'!$E$5:$E$311,Расчеты!CW$1)</f>
        <v>3</v>
      </c>
    </row>
    <row r="91" spans="1:101" x14ac:dyDescent="0.25">
      <c r="A91" s="1660"/>
      <c r="B91" s="1660"/>
      <c r="C91" s="1671"/>
      <c r="D91" s="115" t="s">
        <v>4831</v>
      </c>
      <c r="E91" s="115">
        <v>53</v>
      </c>
      <c r="F91" s="116" t="s">
        <v>5057</v>
      </c>
      <c r="G91" s="1640"/>
      <c r="H91" s="183" t="s">
        <v>52</v>
      </c>
      <c r="I91" s="184"/>
      <c r="J91" s="171"/>
      <c r="K91" s="171"/>
      <c r="L91" s="171" t="s">
        <v>500</v>
      </c>
      <c r="M91" s="171">
        <v>9.7478359051561908E-2</v>
      </c>
      <c r="N91" s="171">
        <v>8.5105254785513548E-2</v>
      </c>
      <c r="O91" s="206">
        <v>7.1013231994872028E-2</v>
      </c>
    </row>
    <row r="92" spans="1:101" ht="25.5" x14ac:dyDescent="0.25">
      <c r="A92" s="1660"/>
      <c r="B92" s="1660"/>
      <c r="C92" s="1671"/>
      <c r="D92" s="115" t="s">
        <v>4831</v>
      </c>
      <c r="E92" s="115">
        <v>54</v>
      </c>
      <c r="F92" s="116" t="s">
        <v>5058</v>
      </c>
      <c r="G92" s="1640" t="s">
        <v>5059</v>
      </c>
      <c r="H92" s="183" t="s">
        <v>5056</v>
      </c>
      <c r="I92" s="184"/>
      <c r="J92" s="171"/>
      <c r="K92" s="171"/>
      <c r="L92" s="171"/>
      <c r="M92" s="171">
        <v>2079</v>
      </c>
      <c r="N92" s="171">
        <v>2853</v>
      </c>
      <c r="O92" s="172">
        <v>3288</v>
      </c>
      <c r="P92">
        <f>SUM(Q92:CW92)</f>
        <v>2790</v>
      </c>
      <c r="Q92">
        <f>SUMIFS('База практик'!$BG$5:$BG$311,'База практик'!$E$5:$E$311,Расчеты!Q$1)</f>
        <v>4</v>
      </c>
      <c r="R92">
        <f>SUMIFS('База практик'!$BG$5:$BG$311,'База практик'!$E$5:$E$311,Расчеты!R$1)</f>
        <v>0</v>
      </c>
      <c r="S92">
        <f>SUMIFS('База практик'!$BG$5:$BG$311,'База практик'!$E$5:$E$311,Расчеты!S$1)</f>
        <v>49</v>
      </c>
      <c r="T92">
        <f>SUMIFS('База практик'!$BG$5:$BG$311,'База практик'!$E$5:$E$311,Расчеты!T$1)</f>
        <v>0</v>
      </c>
      <c r="U92">
        <f>SUMIFS('База практик'!$BG$5:$BG$311,'База практик'!$E$5:$E$311,Расчеты!U$1)</f>
        <v>0</v>
      </c>
      <c r="V92">
        <f>SUMIFS('База практик'!$BG$5:$BG$311,'База практик'!$E$5:$E$311,Расчеты!V$1)</f>
        <v>0</v>
      </c>
      <c r="W92">
        <f>SUMIFS('База практик'!$BG$5:$BG$311,'База практик'!$E$5:$E$311,Расчеты!W$1)</f>
        <v>222</v>
      </c>
      <c r="X92" s="388">
        <f>SUMIFS('База практик'!$BG$5:$BG$311,'База практик'!$E$5:$E$311,Расчеты!X$1)</f>
        <v>0</v>
      </c>
      <c r="Y92">
        <f>SUMIFS('База практик'!$BG$5:$BG$311,'База практик'!$E$5:$E$311,Расчеты!Y$1)</f>
        <v>0</v>
      </c>
      <c r="Z92">
        <f>SUMIFS('База практик'!$BG$5:$BG$311,'База практик'!$E$5:$E$311,Расчеты!Z$1)</f>
        <v>0</v>
      </c>
      <c r="AA92">
        <f>SUMIFS('База практик'!$BG$5:$BG$311,'База практик'!$E$5:$E$311,Расчеты!AA$1)</f>
        <v>40</v>
      </c>
      <c r="AB92">
        <f>SUMIFS('База практик'!$BG$5:$BG$311,'База практик'!$E$5:$E$311,Расчеты!AB$1)</f>
        <v>18</v>
      </c>
      <c r="AC92">
        <f>SUMIFS('База практик'!$BG$5:$BG$311,'База практик'!$E$5:$E$311,Расчеты!AC$1)</f>
        <v>91</v>
      </c>
      <c r="AD92">
        <f>SUMIFS('База практик'!$BG$5:$BG$311,'База практик'!$E$5:$E$311,Расчеты!AD$1)</f>
        <v>44</v>
      </c>
      <c r="AE92">
        <f>SUMIFS('База практик'!$BG$5:$BG$311,'База практик'!$E$5:$E$311,Расчеты!AE$1)</f>
        <v>0</v>
      </c>
      <c r="AF92" s="388">
        <f>SUMIFS('База практик'!$BG$5:$BG$311,'База практик'!$E$5:$E$311,Расчеты!AF$1)</f>
        <v>0</v>
      </c>
      <c r="AG92">
        <f>SUMIFS('База практик'!$BG$5:$BG$311,'База практик'!$E$5:$E$311,Расчеты!AG$1)</f>
        <v>2</v>
      </c>
      <c r="AH92">
        <f>SUMIFS('База практик'!$BG$5:$BG$311,'База практик'!$E$5:$E$311,Расчеты!AH$1)</f>
        <v>0</v>
      </c>
      <c r="AI92">
        <f>SUMIFS('База практик'!$BG$5:$BG$311,'База практик'!$E$5:$E$311,Расчеты!AI$1)</f>
        <v>0</v>
      </c>
      <c r="AJ92">
        <f>SUMIFS('База практик'!$BG$5:$BG$311,'База практик'!$E$5:$E$311,Расчеты!AJ$1)</f>
        <v>114</v>
      </c>
      <c r="AK92">
        <f>SUMIFS('База практик'!$BG$5:$BG$311,'База практик'!$E$5:$E$311,Расчеты!AK$1)</f>
        <v>0</v>
      </c>
      <c r="AL92">
        <f>SUMIFS('База практик'!$BG$5:$BG$311,'База практик'!$E$5:$E$311,Расчеты!AL$1)</f>
        <v>81</v>
      </c>
      <c r="AM92">
        <f>SUMIFS('База практик'!$BG$5:$BG$311,'База практик'!$E$5:$E$311,Расчеты!AM$1)</f>
        <v>10</v>
      </c>
      <c r="AN92">
        <f>SUMIFS('База практик'!$BG$5:$BG$311,'База практик'!$E$5:$E$311,Расчеты!AN$1)</f>
        <v>5</v>
      </c>
      <c r="AO92" s="388">
        <f>SUMIFS('База практик'!$BG$5:$BG$311,'База практик'!$E$5:$E$311,Расчеты!AO$1)</f>
        <v>0</v>
      </c>
      <c r="AP92" s="388">
        <f>SUMIFS('База практик'!$BG$5:$BG$311,'База практик'!$E$5:$E$311,Расчеты!AP$1)</f>
        <v>0</v>
      </c>
      <c r="AQ92">
        <f>SUMIFS('База практик'!$BG$5:$BG$311,'База практик'!$E$5:$E$311,Расчеты!AQ$1)</f>
        <v>17</v>
      </c>
      <c r="AR92">
        <f>SUMIFS('База практик'!$BG$5:$BG$311,'База практик'!$E$5:$E$311,Расчеты!AR$1)</f>
        <v>4</v>
      </c>
      <c r="AS92">
        <f>SUMIFS('База практик'!$BG$5:$BG$311,'База практик'!$E$5:$E$311,Расчеты!AS$1)</f>
        <v>111</v>
      </c>
      <c r="AT92">
        <f>SUMIFS('База практик'!$BG$5:$BG$311,'База практик'!$E$5:$E$311,Расчеты!AT$1)</f>
        <v>16</v>
      </c>
      <c r="AU92">
        <f>SUMIFS('База практик'!$BG$5:$BG$311,'База практик'!$E$5:$E$311,Расчеты!AU$1)</f>
        <v>80</v>
      </c>
      <c r="AV92">
        <f>SUMIFS('База практик'!$BG$5:$BG$311,'База практик'!$E$5:$E$311,Расчеты!AV$1)</f>
        <v>145</v>
      </c>
      <c r="AW92">
        <f>SUMIFS('База практик'!$BG$5:$BG$311,'База практик'!$E$5:$E$311,Расчеты!AW$1)</f>
        <v>0</v>
      </c>
      <c r="AX92">
        <f>SUMIFS('База практик'!$BG$5:$BG$311,'База практик'!$E$5:$E$311,Расчеты!AX$1)</f>
        <v>0</v>
      </c>
      <c r="AY92">
        <f>SUMIFS('База практик'!$BG$5:$BG$311,'База практик'!$E$5:$E$311,Расчеты!AY$1)</f>
        <v>51</v>
      </c>
      <c r="AZ92">
        <f>SUMIFS('База практик'!$BG$5:$BG$311,'База практик'!$E$5:$E$311,Расчеты!AZ$1)</f>
        <v>0</v>
      </c>
      <c r="BA92">
        <f>SUMIFS('База практик'!$BG$5:$BG$311,'База практик'!$E$5:$E$311,Расчеты!BA$1)</f>
        <v>183</v>
      </c>
      <c r="BB92">
        <f>SUMIFS('База практик'!$BG$5:$BG$311,'База практик'!$E$5:$E$311,Расчеты!BB$1)</f>
        <v>0</v>
      </c>
      <c r="BC92" s="388">
        <f>SUMIFS('База практик'!$BG$5:$BG$311,'База практик'!$E$5:$E$311,Расчеты!BC$1)</f>
        <v>0</v>
      </c>
      <c r="BD92">
        <f>SUMIFS('База практик'!$BG$5:$BG$311,'База практик'!$E$5:$E$311,Расчеты!BD$1)</f>
        <v>12</v>
      </c>
      <c r="BE92" s="388">
        <f>SUMIFS('База практик'!$BG$5:$BG$311,'База практик'!$E$5:$E$311,Расчеты!BE$1)</f>
        <v>0</v>
      </c>
      <c r="BF92" s="388">
        <f>SUMIFS('База практик'!$BG$5:$BG$311,'База практик'!$E$5:$E$311,Расчеты!BF$1)</f>
        <v>0</v>
      </c>
      <c r="BG92">
        <f>SUMIFS('База практик'!$BG$5:$BG$311,'База практик'!$E$5:$E$311,Расчеты!BG$1)</f>
        <v>0</v>
      </c>
      <c r="BH92">
        <f>SUMIFS('База практик'!$BG$5:$BG$311,'База практик'!$E$5:$E$311,Расчеты!BH$1)</f>
        <v>2</v>
      </c>
      <c r="BI92">
        <f>SUMIFS('База практик'!$BG$5:$BG$311,'База практик'!$E$5:$E$311,Расчеты!BI$1)</f>
        <v>6</v>
      </c>
      <c r="BJ92">
        <f>SUMIFS('База практик'!$BG$5:$BG$311,'База практик'!$E$5:$E$311,Расчеты!BJ$1)</f>
        <v>222</v>
      </c>
      <c r="BK92">
        <f>SUMIFS('База практик'!$BG$5:$BG$311,'База практик'!$E$5:$E$311,Расчеты!BK$1)</f>
        <v>154</v>
      </c>
      <c r="BL92">
        <f>SUMIFS('База практик'!$BG$5:$BG$311,'База практик'!$E$5:$E$311,Расчеты!BL$1)</f>
        <v>15</v>
      </c>
      <c r="BM92">
        <f>SUMIFS('База практик'!$BG$5:$BG$311,'База практик'!$E$5:$E$311,Расчеты!BM$1)</f>
        <v>0</v>
      </c>
      <c r="BN92">
        <f>SUMIFS('База практик'!$BG$5:$BG$311,'База практик'!$E$5:$E$311,Расчеты!BN$1)</f>
        <v>28</v>
      </c>
      <c r="BO92">
        <f>SUMIFS('База практик'!$BG$5:$BG$311,'База практик'!$E$5:$E$311,Расчеты!BO$1)</f>
        <v>7</v>
      </c>
      <c r="BP92">
        <f>SUMIFS('База практик'!$BG$5:$BG$311,'База практик'!$E$5:$E$311,Расчеты!BP$1)</f>
        <v>0</v>
      </c>
      <c r="BQ92">
        <f>SUMIFS('База практик'!$BG$5:$BG$311,'База практик'!$E$5:$E$311,Расчеты!BQ$1)</f>
        <v>0</v>
      </c>
      <c r="BR92" s="388">
        <f>SUMIFS('База практик'!$BG$5:$BG$311,'База практик'!$E$5:$E$311,Расчеты!BR$1)</f>
        <v>0</v>
      </c>
      <c r="BS92">
        <f>SUMIFS('База практик'!$BG$5:$BG$311,'База практик'!$E$5:$E$311,Расчеты!BS$1)</f>
        <v>3</v>
      </c>
      <c r="BT92">
        <f>SUMIFS('База практик'!$BG$5:$BG$311,'База практик'!$E$5:$E$311,Расчеты!BT$1)</f>
        <v>56</v>
      </c>
      <c r="BU92">
        <f>SUMIFS('База практик'!$BG$5:$BG$311,'База практик'!$E$5:$E$311,Расчеты!BU$1)</f>
        <v>19</v>
      </c>
      <c r="BV92">
        <f>SUMIFS('База практик'!$BG$5:$BG$311,'База практик'!$E$5:$E$311,Расчеты!BV$1)</f>
        <v>36</v>
      </c>
      <c r="BW92">
        <f>SUMIFS('База практик'!$BG$5:$BG$311,'База практик'!$E$5:$E$311,Расчеты!BW$1)</f>
        <v>5</v>
      </c>
      <c r="BX92">
        <f>SUMIFS('База практик'!$BG$5:$BG$311,'База практик'!$E$5:$E$311,Расчеты!BX$1)</f>
        <v>0</v>
      </c>
      <c r="BY92">
        <f>SUMIFS('База практик'!$BG$5:$BG$311,'База практик'!$E$5:$E$311,Расчеты!BY$1)</f>
        <v>25</v>
      </c>
      <c r="BZ92">
        <f>SUMIFS('База практик'!$BG$5:$BG$311,'База практик'!$E$5:$E$311,Расчеты!BZ$1)</f>
        <v>14</v>
      </c>
      <c r="CA92">
        <f>SUMIFS('База практик'!$BG$5:$BG$311,'База практик'!$E$5:$E$311,Расчеты!CA$1)</f>
        <v>0</v>
      </c>
      <c r="CB92">
        <f>SUMIFS('База практик'!$BG$5:$BG$311,'База практик'!$E$5:$E$311,Расчеты!CB$1)</f>
        <v>8</v>
      </c>
      <c r="CC92" s="388">
        <f>SUMIFS('База практик'!$BG$5:$BG$311,'База практик'!$E$5:$E$311,Расчеты!CC$1)</f>
        <v>0</v>
      </c>
      <c r="CD92">
        <f>SUMIFS('База практик'!$BG$5:$BG$311,'База практик'!$E$5:$E$311,Расчеты!CD$1)</f>
        <v>0</v>
      </c>
      <c r="CE92">
        <f>SUMIFS('База практик'!$BG$5:$BG$311,'База практик'!$E$5:$E$311,Расчеты!CE$1)</f>
        <v>46</v>
      </c>
      <c r="CF92">
        <f>SUMIFS('База практик'!$BG$5:$BG$311,'База практик'!$E$5:$E$311,Расчеты!CF$1)</f>
        <v>188</v>
      </c>
      <c r="CG92">
        <f>SUMIFS('База практик'!$BG$5:$BG$311,'База практик'!$E$5:$E$311,Расчеты!CG$1)</f>
        <v>0</v>
      </c>
      <c r="CH92">
        <f>SUMIFS('База практик'!$BG$5:$BG$311,'База практик'!$E$5:$E$311,Расчеты!CH$1)</f>
        <v>33</v>
      </c>
      <c r="CI92">
        <f>SUMIFS('База практик'!$BG$5:$BG$311,'База практик'!$E$5:$E$311,Расчеты!CI$1)</f>
        <v>9</v>
      </c>
      <c r="CJ92">
        <f>SUMIFS('База практик'!$BG$5:$BG$311,'База практик'!$E$5:$E$311,Расчеты!CJ$1)</f>
        <v>79</v>
      </c>
      <c r="CK92" s="388">
        <f>SUMIFS('База практик'!$BG$5:$BG$311,'База практик'!$E$5:$E$311,Расчеты!CK$1)</f>
        <v>0</v>
      </c>
      <c r="CL92">
        <f>SUMIFS('База практик'!$BG$5:$BG$311,'База практик'!$E$5:$E$311,Расчеты!CL$1)</f>
        <v>5</v>
      </c>
      <c r="CM92">
        <f>SUMIFS('База практик'!$BG$5:$BG$311,'База практик'!$E$5:$E$311,Расчеты!CM$1)</f>
        <v>85</v>
      </c>
      <c r="CN92">
        <f>SUMIFS('База практик'!$BG$5:$BG$311,'База практик'!$E$5:$E$311,Расчеты!CN$1)</f>
        <v>13</v>
      </c>
      <c r="CO92">
        <f>SUMIFS('База практик'!$BG$5:$BG$311,'База практик'!$E$5:$E$311,Расчеты!CO$1)</f>
        <v>14</v>
      </c>
      <c r="CP92" s="388">
        <f>SUMIFS('База практик'!$BG$5:$BG$311,'База практик'!$E$5:$E$311,Расчеты!CP$1)</f>
        <v>0</v>
      </c>
      <c r="CQ92">
        <f>SUMIFS('База практик'!$BG$5:$BG$311,'База практик'!$E$5:$E$311,Расчеты!CQ$1)</f>
        <v>13</v>
      </c>
      <c r="CR92">
        <f>SUMIFS('База практик'!$BG$5:$BG$311,'База практик'!$E$5:$E$311,Расчеты!CR$1)</f>
        <v>30</v>
      </c>
      <c r="CS92" s="388">
        <f>SUMIFS('База практик'!$BG$5:$BG$311,'База практик'!$E$5:$E$311,Расчеты!CS$1)</f>
        <v>0</v>
      </c>
      <c r="CT92">
        <f>SUMIFS('База практик'!$BG$5:$BG$311,'База практик'!$E$5:$E$311,Расчеты!CT$1)</f>
        <v>358</v>
      </c>
      <c r="CU92">
        <f>SUMIFS('База практик'!$BG$5:$BG$311,'База практик'!$E$5:$E$311,Расчеты!CU$1)</f>
        <v>3</v>
      </c>
      <c r="CV92">
        <f>SUMIFS('База практик'!$BG$5:$BG$311,'База практик'!$E$5:$E$311,Расчеты!CV$1)</f>
        <v>9</v>
      </c>
      <c r="CW92">
        <f>SUMIFS('База практик'!$BG$5:$BG$311,'База практик'!$E$5:$E$311,Расчеты!CW$1)</f>
        <v>6</v>
      </c>
    </row>
    <row r="93" spans="1:101" x14ac:dyDescent="0.25">
      <c r="A93" s="1660"/>
      <c r="B93" s="1660"/>
      <c r="C93" s="1671"/>
      <c r="D93" s="115" t="s">
        <v>4831</v>
      </c>
      <c r="E93" s="115">
        <v>55</v>
      </c>
      <c r="F93" s="116" t="s">
        <v>5060</v>
      </c>
      <c r="G93" s="1640"/>
      <c r="H93" s="183" t="s">
        <v>52</v>
      </c>
      <c r="I93" s="184"/>
      <c r="J93" s="171"/>
      <c r="K93" s="171"/>
      <c r="L93" s="171" t="s">
        <v>500</v>
      </c>
      <c r="M93" s="171">
        <v>0.13041023710952201</v>
      </c>
      <c r="N93" s="171">
        <v>0.15128055570284746</v>
      </c>
      <c r="O93" s="206">
        <v>0.1505425575752026</v>
      </c>
    </row>
    <row r="94" spans="1:101" ht="25.5" x14ac:dyDescent="0.25">
      <c r="A94" s="1660"/>
      <c r="B94" s="1660"/>
      <c r="C94" s="1671"/>
      <c r="D94" s="115" t="s">
        <v>4831</v>
      </c>
      <c r="E94" s="115">
        <v>56</v>
      </c>
      <c r="F94" s="116" t="s">
        <v>5061</v>
      </c>
      <c r="G94" s="1640" t="s">
        <v>5062</v>
      </c>
      <c r="H94" s="183" t="s">
        <v>5056</v>
      </c>
      <c r="I94" s="184"/>
      <c r="J94" s="171"/>
      <c r="K94" s="171"/>
      <c r="L94" s="171"/>
      <c r="M94" s="171">
        <v>1145</v>
      </c>
      <c r="N94" s="171">
        <v>1576</v>
      </c>
      <c r="O94" s="172">
        <v>1318</v>
      </c>
      <c r="P94">
        <f t="shared" ref="P94:P130" si="174">SUM(Q94:CW94)</f>
        <v>1120</v>
      </c>
      <c r="Q94">
        <f>SUMIFS('База практик'!$BH$5:$BH$311,'База практик'!$E$5:$E$311,Расчеты!Q$1)</f>
        <v>0</v>
      </c>
      <c r="R94">
        <f>SUMIFS('База практик'!$BH$5:$BH$311,'База практик'!$E$5:$E$311,Расчеты!R$1)</f>
        <v>1</v>
      </c>
      <c r="S94">
        <f>SUMIFS('База практик'!$BH$5:$BH$311,'База практик'!$E$5:$E$311,Расчеты!S$1)</f>
        <v>26</v>
      </c>
      <c r="T94">
        <f>SUMIFS('База практик'!$BH$5:$BH$311,'База практик'!$E$5:$E$311,Расчеты!T$1)</f>
        <v>18</v>
      </c>
      <c r="U94">
        <f>SUMIFS('База практик'!$BH$5:$BH$311,'База практик'!$E$5:$E$311,Расчеты!U$1)</f>
        <v>0</v>
      </c>
      <c r="V94">
        <f>SUMIFS('База практик'!$BH$5:$BH$311,'База практик'!$E$5:$E$311,Расчеты!V$1)</f>
        <v>0</v>
      </c>
      <c r="W94">
        <f>SUMIFS('База практик'!$BH$5:$BH$311,'База практик'!$E$5:$E$311,Расчеты!W$1)</f>
        <v>73</v>
      </c>
      <c r="X94" s="388">
        <f>SUMIFS('База практик'!$BH$5:$BH$311,'База практик'!$E$5:$E$311,Расчеты!X$1)</f>
        <v>0</v>
      </c>
      <c r="Y94">
        <f>SUMIFS('База практик'!$BH$5:$BH$311,'База практик'!$E$5:$E$311,Расчеты!Y$1)</f>
        <v>1</v>
      </c>
      <c r="Z94">
        <f>SUMIFS('База практик'!$BH$5:$BH$311,'База практик'!$E$5:$E$311,Расчеты!Z$1)</f>
        <v>15</v>
      </c>
      <c r="AA94">
        <f>SUMIFS('База практик'!$BH$5:$BH$311,'База практик'!$E$5:$E$311,Расчеты!AA$1)</f>
        <v>18</v>
      </c>
      <c r="AB94">
        <f>SUMIFS('База практик'!$BH$5:$BH$311,'База практик'!$E$5:$E$311,Расчеты!AB$1)</f>
        <v>1</v>
      </c>
      <c r="AC94">
        <f>SUMIFS('База практик'!$BH$5:$BH$311,'База практик'!$E$5:$E$311,Расчеты!AC$1)</f>
        <v>23</v>
      </c>
      <c r="AD94">
        <f>SUMIFS('База практик'!$BH$5:$BH$311,'База практик'!$E$5:$E$311,Расчеты!AD$1)</f>
        <v>10</v>
      </c>
      <c r="AE94">
        <f>SUMIFS('База практик'!$BH$5:$BH$311,'База практик'!$E$5:$E$311,Расчеты!AE$1)</f>
        <v>1</v>
      </c>
      <c r="AF94" s="388">
        <f>SUMIFS('База практик'!$BH$5:$BH$311,'База практик'!$E$5:$E$311,Расчеты!AF$1)</f>
        <v>0</v>
      </c>
      <c r="AG94">
        <f>SUMIFS('База практик'!$BH$5:$BH$311,'База практик'!$E$5:$E$311,Расчеты!AG$1)</f>
        <v>0</v>
      </c>
      <c r="AH94">
        <f>SUMIFS('База практик'!$BH$5:$BH$311,'База практик'!$E$5:$E$311,Расчеты!AH$1)</f>
        <v>0</v>
      </c>
      <c r="AI94">
        <f>SUMIFS('База практик'!$BH$5:$BH$311,'База практик'!$E$5:$E$311,Расчеты!AI$1)</f>
        <v>0</v>
      </c>
      <c r="AJ94">
        <f>SUMIFS('База практик'!$BH$5:$BH$311,'База практик'!$E$5:$E$311,Расчеты!AJ$1)</f>
        <v>101</v>
      </c>
      <c r="AK94">
        <f>SUMIFS('База практик'!$BH$5:$BH$311,'База практик'!$E$5:$E$311,Расчеты!AK$1)</f>
        <v>0</v>
      </c>
      <c r="AL94">
        <f>SUMIFS('База практик'!$BH$5:$BH$311,'База практик'!$E$5:$E$311,Расчеты!AL$1)</f>
        <v>66</v>
      </c>
      <c r="AM94">
        <f>SUMIFS('База практик'!$BH$5:$BH$311,'База практик'!$E$5:$E$311,Расчеты!AM$1)</f>
        <v>12</v>
      </c>
      <c r="AN94">
        <f>SUMIFS('База практик'!$BH$5:$BH$311,'База практик'!$E$5:$E$311,Расчеты!AN$1)</f>
        <v>19</v>
      </c>
      <c r="AO94" s="388">
        <f>SUMIFS('База практик'!$BH$5:$BH$311,'База практик'!$E$5:$E$311,Расчеты!AO$1)</f>
        <v>0</v>
      </c>
      <c r="AP94" s="388">
        <f>SUMIFS('База практик'!$BH$5:$BH$311,'База практик'!$E$5:$E$311,Расчеты!AP$1)</f>
        <v>0</v>
      </c>
      <c r="AQ94">
        <f>SUMIFS('База практик'!$BH$5:$BH$311,'База практик'!$E$5:$E$311,Расчеты!AQ$1)</f>
        <v>17</v>
      </c>
      <c r="AR94">
        <f>SUMIFS('База практик'!$BH$5:$BH$311,'База практик'!$E$5:$E$311,Расчеты!AR$1)</f>
        <v>0</v>
      </c>
      <c r="AS94">
        <f>SUMIFS('База практик'!$BH$5:$BH$311,'База практик'!$E$5:$E$311,Расчеты!AS$1)</f>
        <v>19</v>
      </c>
      <c r="AT94">
        <f>SUMIFS('База практик'!$BH$5:$BH$311,'База практик'!$E$5:$E$311,Расчеты!AT$1)</f>
        <v>14</v>
      </c>
      <c r="AU94">
        <f>SUMIFS('База практик'!$BH$5:$BH$311,'База практик'!$E$5:$E$311,Расчеты!AU$1)</f>
        <v>21</v>
      </c>
      <c r="AV94">
        <f>SUMIFS('База практик'!$BH$5:$BH$311,'База практик'!$E$5:$E$311,Расчеты!AV$1)</f>
        <v>10</v>
      </c>
      <c r="AW94">
        <f>SUMIFS('База практик'!$BH$5:$BH$311,'База практик'!$E$5:$E$311,Расчеты!AW$1)</f>
        <v>23</v>
      </c>
      <c r="AX94">
        <f>SUMIFS('База практик'!$BH$5:$BH$311,'База практик'!$E$5:$E$311,Расчеты!AX$1)</f>
        <v>0</v>
      </c>
      <c r="AY94">
        <f>SUMIFS('База практик'!$BH$5:$BH$311,'База практик'!$E$5:$E$311,Расчеты!AY$1)</f>
        <v>2</v>
      </c>
      <c r="AZ94">
        <f>SUMIFS('База практик'!$BH$5:$BH$311,'База практик'!$E$5:$E$311,Расчеты!AZ$1)</f>
        <v>0</v>
      </c>
      <c r="BA94">
        <f>SUMIFS('База практик'!$BH$5:$BH$311,'База практик'!$E$5:$E$311,Расчеты!BA$1)</f>
        <v>68</v>
      </c>
      <c r="BB94">
        <f>SUMIFS('База практик'!$BH$5:$BH$311,'База практик'!$E$5:$E$311,Расчеты!BB$1)</f>
        <v>0</v>
      </c>
      <c r="BC94" s="388">
        <f>SUMIFS('База практик'!$BH$5:$BH$311,'База практик'!$E$5:$E$311,Расчеты!BC$1)</f>
        <v>0</v>
      </c>
      <c r="BD94">
        <f>SUMIFS('База практик'!$BH$5:$BH$311,'База практик'!$E$5:$E$311,Расчеты!BD$1)</f>
        <v>9</v>
      </c>
      <c r="BE94" s="388">
        <f>SUMIFS('База практик'!$BH$5:$BH$311,'База практик'!$E$5:$E$311,Расчеты!BE$1)</f>
        <v>0</v>
      </c>
      <c r="BF94" s="388">
        <f>SUMIFS('База практик'!$BH$5:$BH$311,'База практик'!$E$5:$E$311,Расчеты!BF$1)</f>
        <v>0</v>
      </c>
      <c r="BG94">
        <f>SUMIFS('База практик'!$BH$5:$BH$311,'База практик'!$E$5:$E$311,Расчеты!BG$1)</f>
        <v>0</v>
      </c>
      <c r="BH94">
        <f>SUMIFS('База практик'!$BH$5:$BH$311,'База практик'!$E$5:$E$311,Расчеты!BH$1)</f>
        <v>1</v>
      </c>
      <c r="BI94">
        <f>SUMIFS('База практик'!$BH$5:$BH$311,'База практик'!$E$5:$E$311,Расчеты!BI$1)</f>
        <v>1</v>
      </c>
      <c r="BJ94">
        <f>SUMIFS('База практик'!$BH$5:$BH$311,'База практик'!$E$5:$E$311,Расчеты!BJ$1)</f>
        <v>17</v>
      </c>
      <c r="BK94">
        <f>SUMIFS('База практик'!$BH$5:$BH$311,'База практик'!$E$5:$E$311,Расчеты!BK$1)</f>
        <v>12</v>
      </c>
      <c r="BL94">
        <f>SUMIFS('База практик'!$BH$5:$BH$311,'База практик'!$E$5:$E$311,Расчеты!BL$1)</f>
        <v>20</v>
      </c>
      <c r="BM94">
        <f>SUMIFS('База практик'!$BH$5:$BH$311,'База практик'!$E$5:$E$311,Расчеты!BM$1)</f>
        <v>0</v>
      </c>
      <c r="BN94">
        <f>SUMIFS('База практик'!$BH$5:$BH$311,'База практик'!$E$5:$E$311,Расчеты!BN$1)</f>
        <v>0</v>
      </c>
      <c r="BO94">
        <f>SUMIFS('База практик'!$BH$5:$BH$311,'База практик'!$E$5:$E$311,Расчеты!BO$1)</f>
        <v>5</v>
      </c>
      <c r="BP94">
        <f>SUMIFS('База практик'!$BH$5:$BH$311,'База практик'!$E$5:$E$311,Расчеты!BP$1)</f>
        <v>0</v>
      </c>
      <c r="BQ94">
        <f>SUMIFS('База практик'!$BH$5:$BH$311,'База практик'!$E$5:$E$311,Расчеты!BQ$1)</f>
        <v>0</v>
      </c>
      <c r="BR94" s="388">
        <f>SUMIFS('База практик'!$BH$5:$BH$311,'База практик'!$E$5:$E$311,Расчеты!BR$1)</f>
        <v>0</v>
      </c>
      <c r="BS94">
        <f>SUMIFS('База практик'!$BH$5:$BH$311,'База практик'!$E$5:$E$311,Расчеты!BS$1)</f>
        <v>2</v>
      </c>
      <c r="BT94">
        <f>SUMIFS('База практик'!$BH$5:$BH$311,'База практик'!$E$5:$E$311,Расчеты!BT$1)</f>
        <v>8</v>
      </c>
      <c r="BU94">
        <f>SUMIFS('База практик'!$BH$5:$BH$311,'База практик'!$E$5:$E$311,Расчеты!BU$1)</f>
        <v>0</v>
      </c>
      <c r="BV94">
        <f>SUMIFS('База практик'!$BH$5:$BH$311,'База практик'!$E$5:$E$311,Расчеты!BV$1)</f>
        <v>10</v>
      </c>
      <c r="BW94">
        <f>SUMIFS('База практик'!$BH$5:$BH$311,'База практик'!$E$5:$E$311,Расчеты!BW$1)</f>
        <v>0</v>
      </c>
      <c r="BX94">
        <f>SUMIFS('База практик'!$BH$5:$BH$311,'База практик'!$E$5:$E$311,Расчеты!BX$1)</f>
        <v>12</v>
      </c>
      <c r="BY94">
        <f>SUMIFS('База практик'!$BH$5:$BH$311,'База практик'!$E$5:$E$311,Расчеты!BY$1)</f>
        <v>22</v>
      </c>
      <c r="BZ94">
        <f>SUMIFS('База практик'!$BH$5:$BH$311,'База практик'!$E$5:$E$311,Расчеты!BZ$1)</f>
        <v>3</v>
      </c>
      <c r="CA94">
        <f>SUMIFS('База практик'!$BH$5:$BH$311,'База практик'!$E$5:$E$311,Расчеты!CA$1)</f>
        <v>0</v>
      </c>
      <c r="CB94">
        <f>SUMIFS('База практик'!$BH$5:$BH$311,'База практик'!$E$5:$E$311,Расчеты!CB$1)</f>
        <v>0</v>
      </c>
      <c r="CC94" s="388">
        <f>SUMIFS('База практик'!$BH$5:$BH$311,'База практик'!$E$5:$E$311,Расчеты!CC$1)</f>
        <v>0</v>
      </c>
      <c r="CD94">
        <f>SUMIFS('База практик'!$BH$5:$BH$311,'База практик'!$E$5:$E$311,Расчеты!CD$1)</f>
        <v>1</v>
      </c>
      <c r="CE94">
        <f>SUMIFS('База практик'!$BH$5:$BH$311,'База практик'!$E$5:$E$311,Расчеты!CE$1)</f>
        <v>0</v>
      </c>
      <c r="CF94">
        <f>SUMIFS('База практик'!$BH$5:$BH$311,'База практик'!$E$5:$E$311,Расчеты!CF$1)</f>
        <v>178</v>
      </c>
      <c r="CG94">
        <f>SUMIFS('База практик'!$BH$5:$BH$311,'База практик'!$E$5:$E$311,Расчеты!CG$1)</f>
        <v>0</v>
      </c>
      <c r="CH94">
        <f>SUMIFS('База практик'!$BH$5:$BH$311,'База практик'!$E$5:$E$311,Расчеты!CH$1)</f>
        <v>48</v>
      </c>
      <c r="CI94">
        <f>SUMIFS('База практик'!$BH$5:$BH$311,'База практик'!$E$5:$E$311,Расчеты!CI$1)</f>
        <v>3</v>
      </c>
      <c r="CJ94">
        <f>SUMIFS('База практик'!$BH$5:$BH$311,'База практик'!$E$5:$E$311,Расчеты!CJ$1)</f>
        <v>9</v>
      </c>
      <c r="CK94" s="388">
        <f>SUMIFS('База практик'!$BH$5:$BH$311,'База практик'!$E$5:$E$311,Расчеты!CK$1)</f>
        <v>0</v>
      </c>
      <c r="CL94">
        <f>SUMIFS('База практик'!$BH$5:$BH$311,'База практик'!$E$5:$E$311,Расчеты!CL$1)</f>
        <v>4</v>
      </c>
      <c r="CM94">
        <f>SUMIFS('База практик'!$BH$5:$BH$311,'База практик'!$E$5:$E$311,Расчеты!CM$1)</f>
        <v>17</v>
      </c>
      <c r="CN94">
        <f>SUMIFS('База практик'!$BH$5:$BH$311,'База практик'!$E$5:$E$311,Расчеты!CN$1)</f>
        <v>46</v>
      </c>
      <c r="CO94">
        <f>SUMIFS('База практик'!$BH$5:$BH$311,'База практик'!$E$5:$E$311,Расчеты!CO$1)</f>
        <v>49</v>
      </c>
      <c r="CP94" s="388">
        <f>SUMIFS('База практик'!$BH$5:$BH$311,'База практик'!$E$5:$E$311,Расчеты!CP$1)</f>
        <v>0</v>
      </c>
      <c r="CQ94">
        <f>SUMIFS('База практик'!$BH$5:$BH$311,'База практик'!$E$5:$E$311,Расчеты!CQ$1)</f>
        <v>3</v>
      </c>
      <c r="CR94">
        <f>SUMIFS('База практик'!$BH$5:$BH$311,'База практик'!$E$5:$E$311,Расчеты!CR$1)</f>
        <v>41</v>
      </c>
      <c r="CS94" s="388">
        <f>SUMIFS('База практик'!$BH$5:$BH$311,'База практик'!$E$5:$E$311,Расчеты!CS$1)</f>
        <v>0</v>
      </c>
      <c r="CT94">
        <f>SUMIFS('База практик'!$BH$5:$BH$311,'База практик'!$E$5:$E$311,Расчеты!CT$1)</f>
        <v>30</v>
      </c>
      <c r="CU94">
        <f>SUMIFS('База практик'!$BH$5:$BH$311,'База практик'!$E$5:$E$311,Расчеты!CU$1)</f>
        <v>1</v>
      </c>
      <c r="CV94">
        <f>SUMIFS('База практик'!$BH$5:$BH$311,'База практик'!$E$5:$E$311,Расчеты!CV$1)</f>
        <v>2</v>
      </c>
      <c r="CW94">
        <f>SUMIFS('База практик'!$BH$5:$BH$311,'База практик'!$E$5:$E$311,Расчеты!CW$1)</f>
        <v>7</v>
      </c>
    </row>
    <row r="95" spans="1:101" x14ac:dyDescent="0.25">
      <c r="A95" s="1660"/>
      <c r="B95" s="1660"/>
      <c r="C95" s="1671"/>
      <c r="D95" s="115" t="s">
        <v>4831</v>
      </c>
      <c r="E95" s="115">
        <v>57</v>
      </c>
      <c r="F95" s="116" t="s">
        <v>5063</v>
      </c>
      <c r="G95" s="1640"/>
      <c r="H95" s="183" t="s">
        <v>52</v>
      </c>
      <c r="I95" s="184"/>
      <c r="J95" s="171"/>
      <c r="K95" s="171"/>
      <c r="L95" s="171" t="s">
        <v>500</v>
      </c>
      <c r="M95" s="171">
        <v>7.182285785974156E-2</v>
      </c>
      <c r="N95" s="171">
        <v>8.356752744047935E-2</v>
      </c>
      <c r="O95" s="206">
        <v>6.0345222288356759E-2</v>
      </c>
    </row>
    <row r="96" spans="1:101" ht="25.5" x14ac:dyDescent="0.25">
      <c r="A96" s="1660"/>
      <c r="B96" s="1660"/>
      <c r="C96" s="1671"/>
      <c r="D96" s="115" t="s">
        <v>4831</v>
      </c>
      <c r="E96" s="115">
        <v>58</v>
      </c>
      <c r="F96" s="116" t="s">
        <v>5064</v>
      </c>
      <c r="G96" s="1640" t="s">
        <v>5065</v>
      </c>
      <c r="H96" s="183" t="s">
        <v>5056</v>
      </c>
      <c r="I96" s="184"/>
      <c r="J96" s="171"/>
      <c r="K96" s="171"/>
      <c r="L96" s="171"/>
      <c r="M96" s="171">
        <v>436</v>
      </c>
      <c r="N96" s="171">
        <v>503</v>
      </c>
      <c r="O96" s="172">
        <v>570</v>
      </c>
      <c r="P96">
        <f t="shared" si="174"/>
        <v>466</v>
      </c>
      <c r="Q96">
        <f>SUMIFS('База практик'!$BI$5:$BI$311,'База практик'!$E$5:$E$311,Расчеты!Q$1)</f>
        <v>0</v>
      </c>
      <c r="R96">
        <f>SUMIFS('База практик'!$BI$5:$BI$311,'База практик'!$E$5:$E$311,Расчеты!R$1)</f>
        <v>0</v>
      </c>
      <c r="S96">
        <f>SUMIFS('База практик'!$BI$5:$BI$311,'База практик'!$E$5:$E$311,Расчеты!S$1)</f>
        <v>0</v>
      </c>
      <c r="T96">
        <f>SUMIFS('База практик'!$BI$5:$BI$311,'База практик'!$E$5:$E$311,Расчеты!T$1)</f>
        <v>0</v>
      </c>
      <c r="U96">
        <f>SUMIFS('База практик'!$BI$5:$BI$311,'База практик'!$E$5:$E$311,Расчеты!U$1)</f>
        <v>17</v>
      </c>
      <c r="V96">
        <f>SUMIFS('База практик'!$BI$5:$BI$311,'База практик'!$E$5:$E$311,Расчеты!V$1)</f>
        <v>0</v>
      </c>
      <c r="W96">
        <f>SUMIFS('База практик'!$BI$5:$BI$311,'База практик'!$E$5:$E$311,Расчеты!W$1)</f>
        <v>48</v>
      </c>
      <c r="X96" s="388">
        <f>SUMIFS('База практик'!$BI$5:$BI$311,'База практик'!$E$5:$E$311,Расчеты!X$1)</f>
        <v>0</v>
      </c>
      <c r="Y96">
        <f>SUMIFS('База практик'!$BI$5:$BI$311,'База практик'!$E$5:$E$311,Расчеты!Y$1)</f>
        <v>0</v>
      </c>
      <c r="Z96">
        <f>SUMIFS('База практик'!$BI$5:$BI$311,'База практик'!$E$5:$E$311,Расчеты!Z$1)</f>
        <v>68</v>
      </c>
      <c r="AA96">
        <f>SUMIFS('База практик'!$BI$5:$BI$311,'База практик'!$E$5:$E$311,Расчеты!AA$1)</f>
        <v>1</v>
      </c>
      <c r="AB96">
        <f>SUMIFS('База практик'!$BI$5:$BI$311,'База практик'!$E$5:$E$311,Расчеты!AB$1)</f>
        <v>1</v>
      </c>
      <c r="AC96">
        <f>SUMIFS('База практик'!$BI$5:$BI$311,'База практик'!$E$5:$E$311,Расчеты!AC$1)</f>
        <v>139</v>
      </c>
      <c r="AD96">
        <f>SUMIFS('База практик'!$BI$5:$BI$311,'База практик'!$E$5:$E$311,Расчеты!AD$1)</f>
        <v>1</v>
      </c>
      <c r="AE96">
        <f>SUMIFS('База практик'!$BI$5:$BI$311,'База практик'!$E$5:$E$311,Расчеты!AE$1)</f>
        <v>0</v>
      </c>
      <c r="AF96" s="388">
        <f>SUMIFS('База практик'!$BI$5:$BI$311,'База практик'!$E$5:$E$311,Расчеты!AF$1)</f>
        <v>0</v>
      </c>
      <c r="AG96">
        <f>SUMIFS('База практик'!$BI$5:$BI$311,'База практик'!$E$5:$E$311,Расчеты!AG$1)</f>
        <v>0</v>
      </c>
      <c r="AH96">
        <f>SUMIFS('База практик'!$BI$5:$BI$311,'База практик'!$E$5:$E$311,Расчеты!AH$1)</f>
        <v>0</v>
      </c>
      <c r="AI96">
        <f>SUMIFS('База практик'!$BI$5:$BI$311,'База практик'!$E$5:$E$311,Расчеты!AI$1)</f>
        <v>0</v>
      </c>
      <c r="AJ96">
        <f>SUMIFS('База практик'!$BI$5:$BI$311,'База практик'!$E$5:$E$311,Расчеты!AJ$1)</f>
        <v>94</v>
      </c>
      <c r="AK96">
        <f>SUMIFS('База практик'!$BI$5:$BI$311,'База практик'!$E$5:$E$311,Расчеты!AK$1)</f>
        <v>0</v>
      </c>
      <c r="AL96">
        <f>SUMIFS('База практик'!$BI$5:$BI$311,'База практик'!$E$5:$E$311,Расчеты!AL$1)</f>
        <v>0</v>
      </c>
      <c r="AM96">
        <f>SUMIFS('База практик'!$BI$5:$BI$311,'База практик'!$E$5:$E$311,Расчеты!AM$1)</f>
        <v>0</v>
      </c>
      <c r="AN96">
        <f>SUMIFS('База практик'!$BI$5:$BI$311,'База практик'!$E$5:$E$311,Расчеты!AN$1)</f>
        <v>2</v>
      </c>
      <c r="AO96" s="388">
        <f>SUMIFS('База практик'!$BI$5:$BI$311,'База практик'!$E$5:$E$311,Расчеты!AO$1)</f>
        <v>0</v>
      </c>
      <c r="AP96" s="388">
        <f>SUMIFS('База практик'!$BI$5:$BI$311,'База практик'!$E$5:$E$311,Расчеты!AP$1)</f>
        <v>0</v>
      </c>
      <c r="AQ96">
        <f>SUMIFS('База практик'!$BI$5:$BI$311,'База практик'!$E$5:$E$311,Расчеты!AQ$1)</f>
        <v>5</v>
      </c>
      <c r="AR96">
        <f>SUMIFS('База практик'!$BI$5:$BI$311,'База практик'!$E$5:$E$311,Расчеты!AR$1)</f>
        <v>0</v>
      </c>
      <c r="AS96">
        <f>SUMIFS('База практик'!$BI$5:$BI$311,'База практик'!$E$5:$E$311,Расчеты!AS$1)</f>
        <v>8</v>
      </c>
      <c r="AT96">
        <f>SUMIFS('База практик'!$BI$5:$BI$311,'База практик'!$E$5:$E$311,Расчеты!AT$1)</f>
        <v>12</v>
      </c>
      <c r="AU96">
        <f>SUMIFS('База практик'!$BI$5:$BI$311,'База практик'!$E$5:$E$311,Расчеты!AU$1)</f>
        <v>1</v>
      </c>
      <c r="AV96">
        <f>SUMIFS('База практик'!$BI$5:$BI$311,'База практик'!$E$5:$E$311,Расчеты!AV$1)</f>
        <v>0</v>
      </c>
      <c r="AW96">
        <f>SUMIFS('База практик'!$BI$5:$BI$311,'База практик'!$E$5:$E$311,Расчеты!AW$1)</f>
        <v>2</v>
      </c>
      <c r="AX96">
        <f>SUMIFS('База практик'!$BI$5:$BI$311,'База практик'!$E$5:$E$311,Расчеты!AX$1)</f>
        <v>0</v>
      </c>
      <c r="AY96">
        <f>SUMIFS('База практик'!$BI$5:$BI$311,'База практик'!$E$5:$E$311,Расчеты!AY$1)</f>
        <v>0</v>
      </c>
      <c r="AZ96">
        <f>SUMIFS('База практик'!$BI$5:$BI$311,'База практик'!$E$5:$E$311,Расчеты!AZ$1)</f>
        <v>0</v>
      </c>
      <c r="BA96">
        <f>SUMIFS('База практик'!$BI$5:$BI$311,'База практик'!$E$5:$E$311,Расчеты!BA$1)</f>
        <v>35</v>
      </c>
      <c r="BB96">
        <f>SUMIFS('База практик'!$BI$5:$BI$311,'База практик'!$E$5:$E$311,Расчеты!BB$1)</f>
        <v>0</v>
      </c>
      <c r="BC96" s="388">
        <f>SUMIFS('База практик'!$BI$5:$BI$311,'База практик'!$E$5:$E$311,Расчеты!BC$1)</f>
        <v>0</v>
      </c>
      <c r="BD96">
        <f>SUMIFS('База практик'!$BI$5:$BI$311,'База практик'!$E$5:$E$311,Расчеты!BD$1)</f>
        <v>0</v>
      </c>
      <c r="BE96" s="388">
        <f>SUMIFS('База практик'!$BI$5:$BI$311,'База практик'!$E$5:$E$311,Расчеты!BE$1)</f>
        <v>0</v>
      </c>
      <c r="BF96" s="388">
        <f>SUMIFS('База практик'!$BI$5:$BI$311,'База практик'!$E$5:$E$311,Расчеты!BF$1)</f>
        <v>0</v>
      </c>
      <c r="BG96">
        <f>SUMIFS('База практик'!$BI$5:$BI$311,'База практик'!$E$5:$E$311,Расчеты!BG$1)</f>
        <v>0</v>
      </c>
      <c r="BH96">
        <f>SUMIFS('База практик'!$BI$5:$BI$311,'База практик'!$E$5:$E$311,Расчеты!BH$1)</f>
        <v>0</v>
      </c>
      <c r="BI96">
        <f>SUMIFS('База практик'!$BI$5:$BI$311,'База практик'!$E$5:$E$311,Расчеты!BI$1)</f>
        <v>0</v>
      </c>
      <c r="BJ96">
        <f>SUMIFS('База практик'!$BI$5:$BI$311,'База практик'!$E$5:$E$311,Расчеты!BJ$1)</f>
        <v>0</v>
      </c>
      <c r="BK96">
        <f>SUMIFS('База практик'!$BI$5:$BI$311,'База практик'!$E$5:$E$311,Расчеты!BK$1)</f>
        <v>3</v>
      </c>
      <c r="BL96">
        <f>SUMIFS('База практик'!$BI$5:$BI$311,'База практик'!$E$5:$E$311,Расчеты!BL$1)</f>
        <v>1</v>
      </c>
      <c r="BM96">
        <f>SUMIFS('База практик'!$BI$5:$BI$311,'База практик'!$E$5:$E$311,Расчеты!BM$1)</f>
        <v>0</v>
      </c>
      <c r="BN96">
        <f>SUMIFS('База практик'!$BI$5:$BI$311,'База практик'!$E$5:$E$311,Расчеты!BN$1)</f>
        <v>0</v>
      </c>
      <c r="BO96">
        <f>SUMIFS('База практик'!$BI$5:$BI$311,'База практик'!$E$5:$E$311,Расчеты!BO$1)</f>
        <v>0</v>
      </c>
      <c r="BP96">
        <f>SUMIFS('База практик'!$BI$5:$BI$311,'База практик'!$E$5:$E$311,Расчеты!BP$1)</f>
        <v>0</v>
      </c>
      <c r="BQ96">
        <f>SUMIFS('База практик'!$BI$5:$BI$311,'База практик'!$E$5:$E$311,Расчеты!BQ$1)</f>
        <v>0</v>
      </c>
      <c r="BR96" s="388">
        <f>SUMIFS('База практик'!$BI$5:$BI$311,'База практик'!$E$5:$E$311,Расчеты!BR$1)</f>
        <v>0</v>
      </c>
      <c r="BS96">
        <f>SUMIFS('База практик'!$BI$5:$BI$311,'База практик'!$E$5:$E$311,Расчеты!BS$1)</f>
        <v>0</v>
      </c>
      <c r="BT96">
        <f>SUMIFS('База практик'!$BI$5:$BI$311,'База практик'!$E$5:$E$311,Расчеты!BT$1)</f>
        <v>0</v>
      </c>
      <c r="BU96">
        <f>SUMIFS('База практик'!$BI$5:$BI$311,'База практик'!$E$5:$E$311,Расчеты!BU$1)</f>
        <v>1</v>
      </c>
      <c r="BV96">
        <f>SUMIFS('База практик'!$BI$5:$BI$311,'База практик'!$E$5:$E$311,Расчеты!BV$1)</f>
        <v>3</v>
      </c>
      <c r="BW96">
        <f>SUMIFS('База практик'!$BI$5:$BI$311,'База практик'!$E$5:$E$311,Расчеты!BW$1)</f>
        <v>0</v>
      </c>
      <c r="BX96">
        <f>SUMIFS('База практик'!$BI$5:$BI$311,'База практик'!$E$5:$E$311,Расчеты!BX$1)</f>
        <v>3</v>
      </c>
      <c r="BY96">
        <f>SUMIFS('База практик'!$BI$5:$BI$311,'База практик'!$E$5:$E$311,Расчеты!BY$1)</f>
        <v>3</v>
      </c>
      <c r="BZ96">
        <f>SUMIFS('База практик'!$BI$5:$BI$311,'База практик'!$E$5:$E$311,Расчеты!BZ$1)</f>
        <v>0</v>
      </c>
      <c r="CA96">
        <f>SUMIFS('База практик'!$BI$5:$BI$311,'База практик'!$E$5:$E$311,Расчеты!CA$1)</f>
        <v>0</v>
      </c>
      <c r="CB96">
        <f>SUMIFS('База практик'!$BI$5:$BI$311,'База практик'!$E$5:$E$311,Расчеты!CB$1)</f>
        <v>0</v>
      </c>
      <c r="CC96" s="388">
        <f>SUMIFS('База практик'!$BI$5:$BI$311,'База практик'!$E$5:$E$311,Расчеты!CC$1)</f>
        <v>0</v>
      </c>
      <c r="CD96">
        <f>SUMIFS('База практик'!$BI$5:$BI$311,'База практик'!$E$5:$E$311,Расчеты!CD$1)</f>
        <v>0</v>
      </c>
      <c r="CE96">
        <f>SUMIFS('База практик'!$BI$5:$BI$311,'База практик'!$E$5:$E$311,Расчеты!CE$1)</f>
        <v>1</v>
      </c>
      <c r="CF96">
        <f>SUMIFS('База практик'!$BI$5:$BI$311,'База практик'!$E$5:$E$311,Расчеты!CF$1)</f>
        <v>0</v>
      </c>
      <c r="CG96">
        <f>SUMIFS('База практик'!$BI$5:$BI$311,'База практик'!$E$5:$E$311,Расчеты!CG$1)</f>
        <v>0</v>
      </c>
      <c r="CH96">
        <f>SUMIFS('База практик'!$BI$5:$BI$311,'База практик'!$E$5:$E$311,Расчеты!CH$1)</f>
        <v>8</v>
      </c>
      <c r="CI96">
        <f>SUMIFS('База практик'!$BI$5:$BI$311,'База практик'!$E$5:$E$311,Расчеты!CI$1)</f>
        <v>0</v>
      </c>
      <c r="CJ96">
        <f>SUMIFS('База практик'!$BI$5:$BI$311,'База практик'!$E$5:$E$311,Расчеты!CJ$1)</f>
        <v>0</v>
      </c>
      <c r="CK96" s="388">
        <f>SUMIFS('База практик'!$BI$5:$BI$311,'База практик'!$E$5:$E$311,Расчеты!CK$1)</f>
        <v>0</v>
      </c>
      <c r="CL96">
        <f>SUMIFS('База практик'!$BI$5:$BI$311,'База практик'!$E$5:$E$311,Расчеты!CL$1)</f>
        <v>0</v>
      </c>
      <c r="CM96">
        <f>SUMIFS('База практик'!$BI$5:$BI$311,'База практик'!$E$5:$E$311,Расчеты!CM$1)</f>
        <v>0</v>
      </c>
      <c r="CN96">
        <f>SUMIFS('База практик'!$BI$5:$BI$311,'База практик'!$E$5:$E$311,Расчеты!CN$1)</f>
        <v>0</v>
      </c>
      <c r="CO96">
        <f>SUMIFS('База практик'!$BI$5:$BI$311,'База практик'!$E$5:$E$311,Расчеты!CO$1)</f>
        <v>0</v>
      </c>
      <c r="CP96" s="388">
        <f>SUMIFS('База практик'!$BI$5:$BI$311,'База практик'!$E$5:$E$311,Расчеты!CP$1)</f>
        <v>0</v>
      </c>
      <c r="CQ96">
        <f>SUMIFS('База практик'!$BI$5:$BI$311,'База практик'!$E$5:$E$311,Расчеты!CQ$1)</f>
        <v>1</v>
      </c>
      <c r="CR96">
        <f>SUMIFS('База практик'!$BI$5:$BI$311,'База практик'!$E$5:$E$311,Расчеты!CR$1)</f>
        <v>0</v>
      </c>
      <c r="CS96" s="388">
        <f>SUMIFS('База практик'!$BI$5:$BI$311,'База практик'!$E$5:$E$311,Расчеты!CS$1)</f>
        <v>0</v>
      </c>
      <c r="CT96">
        <f>SUMIFS('База практик'!$BI$5:$BI$311,'База практик'!$E$5:$E$311,Расчеты!CT$1)</f>
        <v>4</v>
      </c>
      <c r="CU96">
        <f>SUMIFS('База практик'!$BI$5:$BI$311,'База практик'!$E$5:$E$311,Расчеты!CU$1)</f>
        <v>0</v>
      </c>
      <c r="CV96">
        <f>SUMIFS('База практик'!$BI$5:$BI$311,'База практик'!$E$5:$E$311,Расчеты!CV$1)</f>
        <v>0</v>
      </c>
      <c r="CW96">
        <f>SUMIFS('База практик'!$BI$5:$BI$311,'База практик'!$E$5:$E$311,Расчеты!CW$1)</f>
        <v>4</v>
      </c>
    </row>
    <row r="97" spans="1:101" x14ac:dyDescent="0.25">
      <c r="A97" s="1660"/>
      <c r="B97" s="1660"/>
      <c r="C97" s="1671"/>
      <c r="D97" s="115" t="s">
        <v>4831</v>
      </c>
      <c r="E97" s="115">
        <v>59</v>
      </c>
      <c r="F97" s="116" t="s">
        <v>5066</v>
      </c>
      <c r="G97" s="1640"/>
      <c r="H97" s="183" t="s">
        <v>52</v>
      </c>
      <c r="I97" s="184"/>
      <c r="J97" s="171"/>
      <c r="K97" s="171"/>
      <c r="L97" s="171" t="s">
        <v>500</v>
      </c>
      <c r="M97" s="171">
        <v>2.7349140634801154E-2</v>
      </c>
      <c r="N97" s="171">
        <v>2.6671615674213903E-2</v>
      </c>
      <c r="O97" s="206">
        <v>2.6097706148985853E-2</v>
      </c>
    </row>
    <row r="98" spans="1:101" ht="25.5" x14ac:dyDescent="0.25">
      <c r="A98" s="1660"/>
      <c r="B98" s="1660"/>
      <c r="C98" s="1671"/>
      <c r="D98" s="115" t="s">
        <v>4831</v>
      </c>
      <c r="E98" s="115">
        <v>60</v>
      </c>
      <c r="F98" s="116" t="s">
        <v>5067</v>
      </c>
      <c r="G98" s="1640" t="s">
        <v>5068</v>
      </c>
      <c r="H98" s="183" t="s">
        <v>5056</v>
      </c>
      <c r="I98" s="184"/>
      <c r="J98" s="171"/>
      <c r="K98" s="171"/>
      <c r="L98" s="171"/>
      <c r="M98" s="171">
        <v>36</v>
      </c>
      <c r="N98" s="171">
        <v>18</v>
      </c>
      <c r="O98" s="172">
        <v>15</v>
      </c>
      <c r="P98">
        <f t="shared" si="174"/>
        <v>31</v>
      </c>
      <c r="Q98">
        <f>SUMIFS('База практик'!$BJ$5:$BJ$311,'База практик'!$E$5:$E$311,Расчеты!Q$1)</f>
        <v>0</v>
      </c>
      <c r="R98">
        <f>SUMIFS('База практик'!$BJ$5:$BJ$311,'База практик'!$E$5:$E$311,Расчеты!R$1)</f>
        <v>0</v>
      </c>
      <c r="S98">
        <f>SUMIFS('База практик'!$BJ$5:$BJ$311,'База практик'!$E$5:$E$311,Расчеты!S$1)</f>
        <v>0</v>
      </c>
      <c r="T98">
        <f>SUMIFS('База практик'!$BJ$5:$BJ$311,'База практик'!$E$5:$E$311,Расчеты!T$1)</f>
        <v>0</v>
      </c>
      <c r="U98">
        <f>SUMIFS('База практик'!$BJ$5:$BJ$311,'База практик'!$E$5:$E$311,Расчеты!U$1)</f>
        <v>0</v>
      </c>
      <c r="V98">
        <f>SUMIFS('База практик'!$BJ$5:$BJ$311,'База практик'!$E$5:$E$311,Расчеты!V$1)</f>
        <v>0</v>
      </c>
      <c r="W98">
        <f>SUMIFS('База практик'!$BJ$5:$BJ$311,'База практик'!$E$5:$E$311,Расчеты!W$1)</f>
        <v>1</v>
      </c>
      <c r="X98" s="388">
        <f>SUMIFS('База практик'!$BJ$5:$BJ$311,'База практик'!$E$5:$E$311,Расчеты!X$1)</f>
        <v>0</v>
      </c>
      <c r="Y98">
        <f>SUMIFS('База практик'!$BJ$5:$BJ$311,'База практик'!$E$5:$E$311,Расчеты!Y$1)</f>
        <v>0</v>
      </c>
      <c r="Z98">
        <f>SUMIFS('База практик'!$BJ$5:$BJ$311,'База практик'!$E$5:$E$311,Расчеты!Z$1)</f>
        <v>0</v>
      </c>
      <c r="AA98">
        <f>SUMIFS('База практик'!$BJ$5:$BJ$311,'База практик'!$E$5:$E$311,Расчеты!AA$1)</f>
        <v>0</v>
      </c>
      <c r="AB98">
        <f>SUMIFS('База практик'!$BJ$5:$BJ$311,'База практик'!$E$5:$E$311,Расчеты!AB$1)</f>
        <v>2</v>
      </c>
      <c r="AC98">
        <f>SUMIFS('База практик'!$BJ$5:$BJ$311,'База практик'!$E$5:$E$311,Расчеты!AC$1)</f>
        <v>0</v>
      </c>
      <c r="AD98">
        <f>SUMIFS('База практик'!$BJ$5:$BJ$311,'База практик'!$E$5:$E$311,Расчеты!AD$1)</f>
        <v>0</v>
      </c>
      <c r="AE98">
        <f>SUMIFS('База практик'!$BJ$5:$BJ$311,'База практик'!$E$5:$E$311,Расчеты!AE$1)</f>
        <v>0</v>
      </c>
      <c r="AF98" s="388">
        <f>SUMIFS('База практик'!$BJ$5:$BJ$311,'База практик'!$E$5:$E$311,Расчеты!AF$1)</f>
        <v>0</v>
      </c>
      <c r="AG98">
        <f>SUMIFS('База практик'!$BJ$5:$BJ$311,'База практик'!$E$5:$E$311,Расчеты!AG$1)</f>
        <v>0</v>
      </c>
      <c r="AH98">
        <f>SUMIFS('База практик'!$BJ$5:$BJ$311,'База практик'!$E$5:$E$311,Расчеты!AH$1)</f>
        <v>0</v>
      </c>
      <c r="AI98">
        <f>SUMIFS('База практик'!$BJ$5:$BJ$311,'База практик'!$E$5:$E$311,Расчеты!AI$1)</f>
        <v>0</v>
      </c>
      <c r="AJ98">
        <f>SUMIFS('База практик'!$BJ$5:$BJ$311,'База практик'!$E$5:$E$311,Расчеты!AJ$1)</f>
        <v>0</v>
      </c>
      <c r="AK98">
        <f>SUMIFS('База практик'!$BJ$5:$BJ$311,'База практик'!$E$5:$E$311,Расчеты!AK$1)</f>
        <v>0</v>
      </c>
      <c r="AL98">
        <f>SUMIFS('База практик'!$BJ$5:$BJ$311,'База практик'!$E$5:$E$311,Расчеты!AL$1)</f>
        <v>3</v>
      </c>
      <c r="AM98">
        <f>SUMIFS('База практик'!$BJ$5:$BJ$311,'База практик'!$E$5:$E$311,Расчеты!AM$1)</f>
        <v>0</v>
      </c>
      <c r="AN98">
        <f>SUMIFS('База практик'!$BJ$5:$BJ$311,'База практик'!$E$5:$E$311,Расчеты!AN$1)</f>
        <v>3</v>
      </c>
      <c r="AO98" s="388">
        <f>SUMIFS('База практик'!$BJ$5:$BJ$311,'База практик'!$E$5:$E$311,Расчеты!AO$1)</f>
        <v>0</v>
      </c>
      <c r="AP98" s="388">
        <f>SUMIFS('База практик'!$BJ$5:$BJ$311,'База практик'!$E$5:$E$311,Расчеты!AP$1)</f>
        <v>0</v>
      </c>
      <c r="AQ98">
        <f>SUMIFS('База практик'!$BJ$5:$BJ$311,'База практик'!$E$5:$E$311,Расчеты!AQ$1)</f>
        <v>1</v>
      </c>
      <c r="AR98">
        <f>SUMIFS('База практик'!$BJ$5:$BJ$311,'База практик'!$E$5:$E$311,Расчеты!AR$1)</f>
        <v>0</v>
      </c>
      <c r="AS98">
        <f>SUMIFS('База практик'!$BJ$5:$BJ$311,'База практик'!$E$5:$E$311,Расчеты!AS$1)</f>
        <v>0</v>
      </c>
      <c r="AT98">
        <f>SUMIFS('База практик'!$BJ$5:$BJ$311,'База практик'!$E$5:$E$311,Расчеты!AT$1)</f>
        <v>0</v>
      </c>
      <c r="AU98">
        <f>SUMIFS('База практик'!$BJ$5:$BJ$311,'База практик'!$E$5:$E$311,Расчеты!AU$1)</f>
        <v>0</v>
      </c>
      <c r="AV98">
        <f>SUMIFS('База практик'!$BJ$5:$BJ$311,'База практик'!$E$5:$E$311,Расчеты!AV$1)</f>
        <v>1</v>
      </c>
      <c r="AW98">
        <f>SUMIFS('База практик'!$BJ$5:$BJ$311,'База практик'!$E$5:$E$311,Расчеты!AW$1)</f>
        <v>0</v>
      </c>
      <c r="AX98">
        <f>SUMIFS('База практик'!$BJ$5:$BJ$311,'База практик'!$E$5:$E$311,Расчеты!AX$1)</f>
        <v>0</v>
      </c>
      <c r="AY98">
        <f>SUMIFS('База практик'!$BJ$5:$BJ$311,'База практик'!$E$5:$E$311,Расчеты!AY$1)</f>
        <v>0</v>
      </c>
      <c r="AZ98">
        <f>SUMIFS('База практик'!$BJ$5:$BJ$311,'База практик'!$E$5:$E$311,Расчеты!AZ$1)</f>
        <v>0</v>
      </c>
      <c r="BA98">
        <f>SUMIFS('База практик'!$BJ$5:$BJ$311,'База практик'!$E$5:$E$311,Расчеты!BA$1)</f>
        <v>8</v>
      </c>
      <c r="BB98">
        <f>SUMIFS('База практик'!$BJ$5:$BJ$311,'База практик'!$E$5:$E$311,Расчеты!BB$1)</f>
        <v>0</v>
      </c>
      <c r="BC98" s="388">
        <f>SUMIFS('База практик'!$BJ$5:$BJ$311,'База практик'!$E$5:$E$311,Расчеты!BC$1)</f>
        <v>0</v>
      </c>
      <c r="BD98">
        <f>SUMIFS('База практик'!$BJ$5:$BJ$311,'База практик'!$E$5:$E$311,Расчеты!BD$1)</f>
        <v>0</v>
      </c>
      <c r="BE98" s="388">
        <f>SUMIFS('База практик'!$BJ$5:$BJ$311,'База практик'!$E$5:$E$311,Расчеты!BE$1)</f>
        <v>0</v>
      </c>
      <c r="BF98" s="388">
        <f>SUMIFS('База практик'!$BJ$5:$BJ$311,'База практик'!$E$5:$E$311,Расчеты!BF$1)</f>
        <v>0</v>
      </c>
      <c r="BG98">
        <f>SUMIFS('База практик'!$BJ$5:$BJ$311,'База практик'!$E$5:$E$311,Расчеты!BG$1)</f>
        <v>0</v>
      </c>
      <c r="BH98">
        <f>SUMIFS('База практик'!$BJ$5:$BJ$311,'База практик'!$E$5:$E$311,Расчеты!BH$1)</f>
        <v>0</v>
      </c>
      <c r="BI98">
        <f>SUMIFS('База практик'!$BJ$5:$BJ$311,'База практик'!$E$5:$E$311,Расчеты!BI$1)</f>
        <v>0</v>
      </c>
      <c r="BJ98">
        <f>SUMIFS('База практик'!$BJ$5:$BJ$311,'База практик'!$E$5:$E$311,Расчеты!BJ$1)</f>
        <v>0</v>
      </c>
      <c r="BK98">
        <f>SUMIFS('База практик'!$BJ$5:$BJ$311,'База практик'!$E$5:$E$311,Расчеты!BK$1)</f>
        <v>1</v>
      </c>
      <c r="BL98">
        <f>SUMIFS('База практик'!$BJ$5:$BJ$311,'База практик'!$E$5:$E$311,Расчеты!BL$1)</f>
        <v>2</v>
      </c>
      <c r="BM98">
        <f>SUMIFS('База практик'!$BJ$5:$BJ$311,'База практик'!$E$5:$E$311,Расчеты!BM$1)</f>
        <v>0</v>
      </c>
      <c r="BN98">
        <f>SUMIFS('База практик'!$BJ$5:$BJ$311,'База практик'!$E$5:$E$311,Расчеты!BN$1)</f>
        <v>0</v>
      </c>
      <c r="BO98">
        <f>SUMIFS('База практик'!$BJ$5:$BJ$311,'База практик'!$E$5:$E$311,Расчеты!BO$1)</f>
        <v>0</v>
      </c>
      <c r="BP98">
        <f>SUMIFS('База практик'!$BJ$5:$BJ$311,'База практик'!$E$5:$E$311,Расчеты!BP$1)</f>
        <v>0</v>
      </c>
      <c r="BQ98">
        <f>SUMIFS('База практик'!$BJ$5:$BJ$311,'База практик'!$E$5:$E$311,Расчеты!BQ$1)</f>
        <v>0</v>
      </c>
      <c r="BR98" s="388">
        <f>SUMIFS('База практик'!$BJ$5:$BJ$311,'База практик'!$E$5:$E$311,Расчеты!BR$1)</f>
        <v>0</v>
      </c>
      <c r="BS98">
        <f>SUMIFS('База практик'!$BJ$5:$BJ$311,'База практик'!$E$5:$E$311,Расчеты!BS$1)</f>
        <v>0</v>
      </c>
      <c r="BT98">
        <f>SUMIFS('База практик'!$BJ$5:$BJ$311,'База практик'!$E$5:$E$311,Расчеты!BT$1)</f>
        <v>0</v>
      </c>
      <c r="BU98">
        <f>SUMIFS('База практик'!$BJ$5:$BJ$311,'База практик'!$E$5:$E$311,Расчеты!BU$1)</f>
        <v>0</v>
      </c>
      <c r="BV98">
        <f>SUMIFS('База практик'!$BJ$5:$BJ$311,'База практик'!$E$5:$E$311,Расчеты!BV$1)</f>
        <v>0</v>
      </c>
      <c r="BW98">
        <f>SUMIFS('База практик'!$BJ$5:$BJ$311,'База практик'!$E$5:$E$311,Расчеты!BW$1)</f>
        <v>0</v>
      </c>
      <c r="BX98">
        <f>SUMIFS('База практик'!$BJ$5:$BJ$311,'База практик'!$E$5:$E$311,Расчеты!BX$1)</f>
        <v>0</v>
      </c>
      <c r="BY98">
        <f>SUMIFS('База практик'!$BJ$5:$BJ$311,'База практик'!$E$5:$E$311,Расчеты!BY$1)</f>
        <v>2</v>
      </c>
      <c r="BZ98">
        <f>SUMIFS('База практик'!$BJ$5:$BJ$311,'База практик'!$E$5:$E$311,Расчеты!BZ$1)</f>
        <v>1</v>
      </c>
      <c r="CA98">
        <f>SUMIFS('База практик'!$BJ$5:$BJ$311,'База практик'!$E$5:$E$311,Расчеты!CA$1)</f>
        <v>0</v>
      </c>
      <c r="CB98">
        <f>SUMIFS('База практик'!$BJ$5:$BJ$311,'База практик'!$E$5:$E$311,Расчеты!CB$1)</f>
        <v>0</v>
      </c>
      <c r="CC98" s="388">
        <f>SUMIFS('База практик'!$BJ$5:$BJ$311,'База практик'!$E$5:$E$311,Расчеты!CC$1)</f>
        <v>0</v>
      </c>
      <c r="CD98">
        <f>SUMIFS('База практик'!$BJ$5:$BJ$311,'База практик'!$E$5:$E$311,Расчеты!CD$1)</f>
        <v>0</v>
      </c>
      <c r="CE98">
        <f>SUMIFS('База практик'!$BJ$5:$BJ$311,'База практик'!$E$5:$E$311,Расчеты!CE$1)</f>
        <v>1</v>
      </c>
      <c r="CF98">
        <f>SUMIFS('База практик'!$BJ$5:$BJ$311,'База практик'!$E$5:$E$311,Расчеты!CF$1)</f>
        <v>0</v>
      </c>
      <c r="CG98">
        <f>SUMIFS('База практик'!$BJ$5:$BJ$311,'База практик'!$E$5:$E$311,Расчеты!CG$1)</f>
        <v>0</v>
      </c>
      <c r="CH98">
        <f>SUMIFS('База практик'!$BJ$5:$BJ$311,'База практик'!$E$5:$E$311,Расчеты!CH$1)</f>
        <v>1</v>
      </c>
      <c r="CI98">
        <f>SUMIFS('База практик'!$BJ$5:$BJ$311,'База практик'!$E$5:$E$311,Расчеты!CI$1)</f>
        <v>0</v>
      </c>
      <c r="CJ98">
        <f>SUMIFS('База практик'!$BJ$5:$BJ$311,'База практик'!$E$5:$E$311,Расчеты!CJ$1)</f>
        <v>1</v>
      </c>
      <c r="CK98" s="388">
        <f>SUMIFS('База практик'!$BJ$5:$BJ$311,'База практик'!$E$5:$E$311,Расчеты!CK$1)</f>
        <v>0</v>
      </c>
      <c r="CL98">
        <f>SUMIFS('База практик'!$BJ$5:$BJ$311,'База практик'!$E$5:$E$311,Расчеты!CL$1)</f>
        <v>0</v>
      </c>
      <c r="CM98">
        <f>SUMIFS('База практик'!$BJ$5:$BJ$311,'База практик'!$E$5:$E$311,Расчеты!CM$1)</f>
        <v>0</v>
      </c>
      <c r="CN98">
        <f>SUMIFS('База практик'!$BJ$5:$BJ$311,'База практик'!$E$5:$E$311,Расчеты!CN$1)</f>
        <v>0</v>
      </c>
      <c r="CO98">
        <f>SUMIFS('База практик'!$BJ$5:$BJ$311,'База практик'!$E$5:$E$311,Расчеты!CO$1)</f>
        <v>0</v>
      </c>
      <c r="CP98" s="388">
        <f>SUMIFS('База практик'!$BJ$5:$BJ$311,'База практик'!$E$5:$E$311,Расчеты!CP$1)</f>
        <v>0</v>
      </c>
      <c r="CQ98">
        <f>SUMIFS('База практик'!$BJ$5:$BJ$311,'База практик'!$E$5:$E$311,Расчеты!CQ$1)</f>
        <v>0</v>
      </c>
      <c r="CR98">
        <f>SUMIFS('База практик'!$BJ$5:$BJ$311,'База практик'!$E$5:$E$311,Расчеты!CR$1)</f>
        <v>3</v>
      </c>
      <c r="CS98" s="388">
        <f>SUMIFS('База практик'!$BJ$5:$BJ$311,'База практик'!$E$5:$E$311,Расчеты!CS$1)</f>
        <v>0</v>
      </c>
      <c r="CT98">
        <f>SUMIFS('База практик'!$BJ$5:$BJ$311,'База практик'!$E$5:$E$311,Расчеты!CT$1)</f>
        <v>0</v>
      </c>
      <c r="CU98">
        <f>SUMIFS('База практик'!$BJ$5:$BJ$311,'База практик'!$E$5:$E$311,Расчеты!CU$1)</f>
        <v>0</v>
      </c>
      <c r="CV98">
        <f>SUMIFS('База практик'!$BJ$5:$BJ$311,'База практик'!$E$5:$E$311,Расчеты!CV$1)</f>
        <v>0</v>
      </c>
      <c r="CW98">
        <f>SUMIFS('База практик'!$BJ$5:$BJ$311,'База практик'!$E$5:$E$311,Расчеты!CW$1)</f>
        <v>0</v>
      </c>
    </row>
    <row r="99" spans="1:101" x14ac:dyDescent="0.25">
      <c r="A99" s="1660"/>
      <c r="B99" s="1660"/>
      <c r="C99" s="1671"/>
      <c r="D99" s="115" t="s">
        <v>4831</v>
      </c>
      <c r="E99" s="115">
        <v>61</v>
      </c>
      <c r="F99" s="116" t="s">
        <v>5069</v>
      </c>
      <c r="G99" s="1640"/>
      <c r="H99" s="183" t="s">
        <v>52</v>
      </c>
      <c r="I99" s="184"/>
      <c r="J99" s="171"/>
      <c r="K99" s="171"/>
      <c r="L99" s="171" t="s">
        <v>500</v>
      </c>
      <c r="M99" s="171">
        <v>2.2581859239744072E-3</v>
      </c>
      <c r="N99" s="171">
        <v>9.5445145553846973E-4</v>
      </c>
      <c r="O99" s="206">
        <v>6.8678174076278555E-4</v>
      </c>
    </row>
    <row r="100" spans="1:101" ht="25.5" x14ac:dyDescent="0.25">
      <c r="A100" s="1660"/>
      <c r="B100" s="1660"/>
      <c r="C100" s="1671"/>
      <c r="D100" s="115" t="s">
        <v>4831</v>
      </c>
      <c r="E100" s="115">
        <v>62</v>
      </c>
      <c r="F100" s="116" t="s">
        <v>5070</v>
      </c>
      <c r="G100" s="1640" t="s">
        <v>5071</v>
      </c>
      <c r="H100" s="183" t="s">
        <v>5056</v>
      </c>
      <c r="I100" s="184"/>
      <c r="J100" s="171"/>
      <c r="K100" s="171"/>
      <c r="L100" s="171"/>
      <c r="M100" s="171">
        <v>352</v>
      </c>
      <c r="N100" s="171">
        <v>412</v>
      </c>
      <c r="O100" s="172">
        <v>625</v>
      </c>
      <c r="P100">
        <f t="shared" si="174"/>
        <v>894</v>
      </c>
      <c r="Q100">
        <f>SUMIFS('База практик'!$BK$5:$BK$311,'База практик'!$E$5:$E$311,Расчеты!Q$1)</f>
        <v>2</v>
      </c>
      <c r="R100">
        <f>SUMIFS('База практик'!$BK$5:$BK$311,'База практик'!$E$5:$E$311,Расчеты!R$1)</f>
        <v>13</v>
      </c>
      <c r="S100">
        <f>SUMIFS('База практик'!$BK$5:$BK$311,'База практик'!$E$5:$E$311,Расчеты!S$1)</f>
        <v>38</v>
      </c>
      <c r="T100">
        <f>SUMIFS('База практик'!$BK$5:$BK$311,'База практик'!$E$5:$E$311,Расчеты!T$1)</f>
        <v>0</v>
      </c>
      <c r="U100">
        <f>SUMIFS('База практик'!$BK$5:$BK$311,'База практик'!$E$5:$E$311,Расчеты!U$1)</f>
        <v>10</v>
      </c>
      <c r="V100">
        <f>SUMIFS('База практик'!$BK$5:$BK$311,'База практик'!$E$5:$E$311,Расчеты!V$1)</f>
        <v>0</v>
      </c>
      <c r="W100">
        <f>SUMIFS('База практик'!$BK$5:$BK$311,'База практик'!$E$5:$E$311,Расчеты!W$1)</f>
        <v>158</v>
      </c>
      <c r="X100" s="388">
        <f>SUMIFS('База практик'!$BK$5:$BK$311,'База практик'!$E$5:$E$311,Расчеты!X$1)</f>
        <v>0</v>
      </c>
      <c r="Y100">
        <f>SUMIFS('База практик'!$BK$5:$BK$311,'База практик'!$E$5:$E$311,Расчеты!Y$1)</f>
        <v>0</v>
      </c>
      <c r="Z100">
        <f>SUMIFS('База практик'!$BK$5:$BK$311,'База практик'!$E$5:$E$311,Расчеты!Z$1)</f>
        <v>0</v>
      </c>
      <c r="AA100">
        <f>SUMIFS('База практик'!$BK$5:$BK$311,'База практик'!$E$5:$E$311,Расчеты!AA$1)</f>
        <v>40</v>
      </c>
      <c r="AB100">
        <f>SUMIFS('База практик'!$BK$5:$BK$311,'База практик'!$E$5:$E$311,Расчеты!AB$1)</f>
        <v>0</v>
      </c>
      <c r="AC100">
        <f>SUMIFS('База практик'!$BK$5:$BK$311,'База практик'!$E$5:$E$311,Расчеты!AC$1)</f>
        <v>86</v>
      </c>
      <c r="AD100">
        <f>SUMIFS('База практик'!$BK$5:$BK$311,'База практик'!$E$5:$E$311,Расчеты!AD$1)</f>
        <v>57</v>
      </c>
      <c r="AE100">
        <f>SUMIFS('База практик'!$BK$5:$BK$311,'База практик'!$E$5:$E$311,Расчеты!AE$1)</f>
        <v>0</v>
      </c>
      <c r="AF100" s="388">
        <f>SUMIFS('База практик'!$BK$5:$BK$311,'База практик'!$E$5:$E$311,Расчеты!AF$1)</f>
        <v>0</v>
      </c>
      <c r="AG100">
        <f>SUMIFS('База практик'!$BK$5:$BK$311,'База практик'!$E$5:$E$311,Расчеты!AG$1)</f>
        <v>2</v>
      </c>
      <c r="AH100">
        <f>SUMIFS('База практик'!$BK$5:$BK$311,'База практик'!$E$5:$E$311,Расчеты!AH$1)</f>
        <v>0</v>
      </c>
      <c r="AI100">
        <f>SUMIFS('База практик'!$BK$5:$BK$311,'База практик'!$E$5:$E$311,Расчеты!AI$1)</f>
        <v>0</v>
      </c>
      <c r="AJ100">
        <f>SUMIFS('База практик'!$BK$5:$BK$311,'База практик'!$E$5:$E$311,Расчеты!AJ$1)</f>
        <v>45</v>
      </c>
      <c r="AK100">
        <f>SUMIFS('База практик'!$BK$5:$BK$311,'База практик'!$E$5:$E$311,Расчеты!AK$1)</f>
        <v>0</v>
      </c>
      <c r="AL100">
        <f>SUMIFS('База практик'!$BK$5:$BK$311,'База практик'!$E$5:$E$311,Расчеты!AL$1)</f>
        <v>0</v>
      </c>
      <c r="AM100">
        <f>SUMIFS('База практик'!$BK$5:$BK$311,'База практик'!$E$5:$E$311,Расчеты!AM$1)</f>
        <v>3</v>
      </c>
      <c r="AN100">
        <f>SUMIFS('База практик'!$BK$5:$BK$311,'База практик'!$E$5:$E$311,Расчеты!AN$1)</f>
        <v>0</v>
      </c>
      <c r="AO100" s="388">
        <f>SUMIFS('База практик'!$BK$5:$BK$311,'База практик'!$E$5:$E$311,Расчеты!AO$1)</f>
        <v>0</v>
      </c>
      <c r="AP100" s="388">
        <f>SUMIFS('База практик'!$BK$5:$BK$311,'База практик'!$E$5:$E$311,Расчеты!AP$1)</f>
        <v>0</v>
      </c>
      <c r="AQ100">
        <f>SUMIFS('База практик'!$BK$5:$BK$311,'База практик'!$E$5:$E$311,Расчеты!AQ$1)</f>
        <v>0</v>
      </c>
      <c r="AR100">
        <f>SUMIFS('База практик'!$BK$5:$BK$311,'База практик'!$E$5:$E$311,Расчеты!AR$1)</f>
        <v>6</v>
      </c>
      <c r="AS100">
        <f>SUMIFS('База практик'!$BK$5:$BK$311,'База практик'!$E$5:$E$311,Расчеты!AS$1)</f>
        <v>13</v>
      </c>
      <c r="AT100">
        <f>SUMIFS('База практик'!$BK$5:$BK$311,'База практик'!$E$5:$E$311,Расчеты!AT$1)</f>
        <v>18</v>
      </c>
      <c r="AU100">
        <f>SUMIFS('База практик'!$BK$5:$BK$311,'База практик'!$E$5:$E$311,Расчеты!AU$1)</f>
        <v>9</v>
      </c>
      <c r="AV100">
        <f>SUMIFS('База практик'!$BK$5:$BK$311,'База практик'!$E$5:$E$311,Расчеты!AV$1)</f>
        <v>0</v>
      </c>
      <c r="AW100">
        <f>SUMIFS('База практик'!$BK$5:$BK$311,'База практик'!$E$5:$E$311,Расчеты!AW$1)</f>
        <v>0</v>
      </c>
      <c r="AX100">
        <f>SUMIFS('База практик'!$BK$5:$BK$311,'База практик'!$E$5:$E$311,Расчеты!AX$1)</f>
        <v>1</v>
      </c>
      <c r="AY100">
        <f>SUMIFS('База практик'!$BK$5:$BK$311,'База практик'!$E$5:$E$311,Расчеты!AY$1)</f>
        <v>0</v>
      </c>
      <c r="AZ100">
        <f>SUMIFS('База практик'!$BK$5:$BK$311,'База практик'!$E$5:$E$311,Расчеты!AZ$1)</f>
        <v>0</v>
      </c>
      <c r="BA100">
        <f>SUMIFS('База практик'!$BK$5:$BK$311,'База практик'!$E$5:$E$311,Расчеты!BA$1)</f>
        <v>2</v>
      </c>
      <c r="BB100">
        <f>SUMIFS('База практик'!$BK$5:$BK$311,'База практик'!$E$5:$E$311,Расчеты!BB$1)</f>
        <v>0</v>
      </c>
      <c r="BC100" s="388">
        <f>SUMIFS('База практик'!$BK$5:$BK$311,'База практик'!$E$5:$E$311,Расчеты!BC$1)</f>
        <v>0</v>
      </c>
      <c r="BD100">
        <f>SUMIFS('База практик'!$BK$5:$BK$311,'База практик'!$E$5:$E$311,Расчеты!BD$1)</f>
        <v>7</v>
      </c>
      <c r="BE100" s="388">
        <f>SUMIFS('База практик'!$BK$5:$BK$311,'База практик'!$E$5:$E$311,Расчеты!BE$1)</f>
        <v>0</v>
      </c>
      <c r="BF100" s="388">
        <f>SUMIFS('База практик'!$BK$5:$BK$311,'База практик'!$E$5:$E$311,Расчеты!BF$1)</f>
        <v>0</v>
      </c>
      <c r="BG100">
        <f>SUMIFS('База практик'!$BK$5:$BK$311,'База практик'!$E$5:$E$311,Расчеты!BG$1)</f>
        <v>12</v>
      </c>
      <c r="BH100">
        <f>SUMIFS('База практик'!$BK$5:$BK$311,'База практик'!$E$5:$E$311,Расчеты!BH$1)</f>
        <v>2</v>
      </c>
      <c r="BI100">
        <f>SUMIFS('База практик'!$BK$5:$BK$311,'База практик'!$E$5:$E$311,Расчеты!BI$1)</f>
        <v>1</v>
      </c>
      <c r="BJ100">
        <f>SUMIFS('База практик'!$BK$5:$BK$311,'База практик'!$E$5:$E$311,Расчеты!BJ$1)</f>
        <v>99</v>
      </c>
      <c r="BK100">
        <f>SUMIFS('База практик'!$BK$5:$BK$311,'База практик'!$E$5:$E$311,Расчеты!BK$1)</f>
        <v>0</v>
      </c>
      <c r="BL100">
        <f>SUMIFS('База практик'!$BK$5:$BK$311,'База практик'!$E$5:$E$311,Расчеты!BL$1)</f>
        <v>8</v>
      </c>
      <c r="BM100">
        <f>SUMIFS('База практик'!$BK$5:$BK$311,'База практик'!$E$5:$E$311,Расчеты!BM$1)</f>
        <v>0</v>
      </c>
      <c r="BN100">
        <f>SUMIFS('База практик'!$BK$5:$BK$311,'База практик'!$E$5:$E$311,Расчеты!BN$1)</f>
        <v>16</v>
      </c>
      <c r="BO100">
        <f>SUMIFS('База практик'!$BK$5:$BK$311,'База практик'!$E$5:$E$311,Расчеты!BO$1)</f>
        <v>1</v>
      </c>
      <c r="BP100">
        <f>SUMIFS('База практик'!$BK$5:$BK$311,'База практик'!$E$5:$E$311,Расчеты!BP$1)</f>
        <v>0</v>
      </c>
      <c r="BQ100">
        <f>SUMIFS('База практик'!$BK$5:$BK$311,'База практик'!$E$5:$E$311,Расчеты!BQ$1)</f>
        <v>54</v>
      </c>
      <c r="BR100" s="388">
        <f>SUMIFS('База практик'!$BK$5:$BK$311,'База практик'!$E$5:$E$311,Расчеты!BR$1)</f>
        <v>0</v>
      </c>
      <c r="BS100">
        <f>SUMIFS('База практик'!$BK$5:$BK$311,'База практик'!$E$5:$E$311,Расчеты!BS$1)</f>
        <v>1</v>
      </c>
      <c r="BT100">
        <f>SUMIFS('База практик'!$BK$5:$BK$311,'База практик'!$E$5:$E$311,Расчеты!BT$1)</f>
        <v>7</v>
      </c>
      <c r="BU100">
        <f>SUMIFS('База практик'!$BK$5:$BK$311,'База практик'!$E$5:$E$311,Расчеты!BU$1)</f>
        <v>33</v>
      </c>
      <c r="BV100">
        <f>SUMIFS('База практик'!$BK$5:$BK$311,'База практик'!$E$5:$E$311,Расчеты!BV$1)</f>
        <v>1</v>
      </c>
      <c r="BW100">
        <f>SUMIFS('База практик'!$BK$5:$BK$311,'База практик'!$E$5:$E$311,Расчеты!BW$1)</f>
        <v>2</v>
      </c>
      <c r="BX100">
        <f>SUMIFS('База практик'!$BK$5:$BK$311,'База практик'!$E$5:$E$311,Расчеты!BX$1)</f>
        <v>0</v>
      </c>
      <c r="BY100">
        <f>SUMIFS('База практик'!$BK$5:$BK$311,'База практик'!$E$5:$E$311,Расчеты!BY$1)</f>
        <v>11</v>
      </c>
      <c r="BZ100">
        <f>SUMIFS('База практик'!$BK$5:$BK$311,'База практик'!$E$5:$E$311,Расчеты!BZ$1)</f>
        <v>4</v>
      </c>
      <c r="CA100">
        <f>SUMIFS('База практик'!$BK$5:$BK$311,'База практик'!$E$5:$E$311,Расчеты!CA$1)</f>
        <v>1</v>
      </c>
      <c r="CB100">
        <f>SUMIFS('База практик'!$BK$5:$BK$311,'База практик'!$E$5:$E$311,Расчеты!CB$1)</f>
        <v>0</v>
      </c>
      <c r="CC100" s="388">
        <f>SUMIFS('База практик'!$BK$5:$BK$311,'База практик'!$E$5:$E$311,Расчеты!CC$1)</f>
        <v>0</v>
      </c>
      <c r="CD100">
        <f>SUMIFS('База практик'!$BK$5:$BK$311,'База практик'!$E$5:$E$311,Расчеты!CD$1)</f>
        <v>0</v>
      </c>
      <c r="CE100">
        <f>SUMIFS('База практик'!$BK$5:$BK$311,'База практик'!$E$5:$E$311,Расчеты!CE$1)</f>
        <v>0</v>
      </c>
      <c r="CF100">
        <f>SUMIFS('База практик'!$BK$5:$BK$311,'База практик'!$E$5:$E$311,Расчеты!CF$1)</f>
        <v>39</v>
      </c>
      <c r="CG100">
        <f>SUMIFS('База практик'!$BK$5:$BK$311,'База практик'!$E$5:$E$311,Расчеты!CG$1)</f>
        <v>4</v>
      </c>
      <c r="CH100">
        <f>SUMIFS('База практик'!$BK$5:$BK$311,'База практик'!$E$5:$E$311,Расчеты!CH$1)</f>
        <v>0</v>
      </c>
      <c r="CI100">
        <f>SUMIFS('База практик'!$BK$5:$BK$311,'База практик'!$E$5:$E$311,Расчеты!CI$1)</f>
        <v>1</v>
      </c>
      <c r="CJ100">
        <f>SUMIFS('База практик'!$BK$5:$BK$311,'База практик'!$E$5:$E$311,Расчеты!CJ$1)</f>
        <v>0</v>
      </c>
      <c r="CK100" s="388">
        <f>SUMIFS('База практик'!$BK$5:$BK$311,'База практик'!$E$5:$E$311,Расчеты!CK$1)</f>
        <v>0</v>
      </c>
      <c r="CL100">
        <f>SUMIFS('База практик'!$BK$5:$BK$311,'База практик'!$E$5:$E$311,Расчеты!CL$1)</f>
        <v>0</v>
      </c>
      <c r="CM100">
        <f>SUMIFS('База практик'!$BK$5:$BK$311,'База практик'!$E$5:$E$311,Расчеты!CM$1)</f>
        <v>21</v>
      </c>
      <c r="CN100">
        <f>SUMIFS('База практик'!$BK$5:$BK$311,'База практик'!$E$5:$E$311,Расчеты!CN$1)</f>
        <v>11</v>
      </c>
      <c r="CO100">
        <f>SUMIFS('База практик'!$BK$5:$BK$311,'База практик'!$E$5:$E$311,Расчеты!CO$1)</f>
        <v>9</v>
      </c>
      <c r="CP100" s="388">
        <f>SUMIFS('База практик'!$BK$5:$BK$311,'База практик'!$E$5:$E$311,Расчеты!CP$1)</f>
        <v>0</v>
      </c>
      <c r="CQ100">
        <f>SUMIFS('База практик'!$BK$5:$BK$311,'База практик'!$E$5:$E$311,Расчеты!CQ$1)</f>
        <v>29</v>
      </c>
      <c r="CR100">
        <f>SUMIFS('База практик'!$BK$5:$BK$311,'База практик'!$E$5:$E$311,Расчеты!CR$1)</f>
        <v>1</v>
      </c>
      <c r="CS100" s="388">
        <f>SUMIFS('База практик'!$BK$5:$BK$311,'База практик'!$E$5:$E$311,Расчеты!CS$1)</f>
        <v>0</v>
      </c>
      <c r="CT100">
        <f>SUMIFS('База практик'!$BK$5:$BK$311,'База практик'!$E$5:$E$311,Расчеты!CT$1)</f>
        <v>1</v>
      </c>
      <c r="CU100">
        <f>SUMIFS('База практик'!$BK$5:$BK$311,'База практик'!$E$5:$E$311,Расчеты!CU$1)</f>
        <v>3</v>
      </c>
      <c r="CV100">
        <f>SUMIFS('База практик'!$BK$5:$BK$311,'База практик'!$E$5:$E$311,Расчеты!CV$1)</f>
        <v>10</v>
      </c>
      <c r="CW100">
        <f>SUMIFS('База практик'!$BK$5:$BK$311,'База практик'!$E$5:$E$311,Расчеты!CW$1)</f>
        <v>2</v>
      </c>
    </row>
    <row r="101" spans="1:101" x14ac:dyDescent="0.25">
      <c r="A101" s="1660"/>
      <c r="B101" s="1660"/>
      <c r="C101" s="1671"/>
      <c r="D101" s="115" t="s">
        <v>4831</v>
      </c>
      <c r="E101" s="115">
        <v>63</v>
      </c>
      <c r="F101" s="116" t="s">
        <v>5072</v>
      </c>
      <c r="G101" s="1640"/>
      <c r="H101" s="183" t="s">
        <v>52</v>
      </c>
      <c r="I101" s="184"/>
      <c r="J101" s="171"/>
      <c r="K101" s="171"/>
      <c r="L101" s="171" t="s">
        <v>500</v>
      </c>
      <c r="M101" s="171">
        <v>2.2080040145527537E-2</v>
      </c>
      <c r="N101" s="171">
        <v>2.1846333315658308E-2</v>
      </c>
      <c r="O101" s="206">
        <v>2.8615905865116066E-2</v>
      </c>
    </row>
    <row r="102" spans="1:101" ht="25.5" x14ac:dyDescent="0.25">
      <c r="A102" s="1660"/>
      <c r="B102" s="1660"/>
      <c r="C102" s="1671"/>
      <c r="D102" s="115" t="s">
        <v>4831</v>
      </c>
      <c r="E102" s="115">
        <v>64</v>
      </c>
      <c r="F102" s="116" t="s">
        <v>5073</v>
      </c>
      <c r="G102" s="1640" t="s">
        <v>5074</v>
      </c>
      <c r="H102" s="183" t="s">
        <v>5056</v>
      </c>
      <c r="I102" s="184"/>
      <c r="J102" s="171"/>
      <c r="K102" s="171"/>
      <c r="L102" s="171"/>
      <c r="M102" s="171">
        <v>1618</v>
      </c>
      <c r="N102" s="171">
        <v>1051</v>
      </c>
      <c r="O102" s="172">
        <v>1573</v>
      </c>
      <c r="P102">
        <f t="shared" si="174"/>
        <v>1964</v>
      </c>
      <c r="Q102">
        <f>SUMIFS('База практик'!$BL$5:$BL$311,'База практик'!$E$5:$E$311,Расчеты!Q$1)</f>
        <v>0</v>
      </c>
      <c r="R102">
        <f>SUMIFS('База практик'!$BL$5:$BL$311,'База практик'!$E$5:$E$311,Расчеты!R$1)</f>
        <v>0</v>
      </c>
      <c r="S102">
        <f>SUMIFS('База практик'!$BL$5:$BL$311,'База практик'!$E$5:$E$311,Расчеты!S$1)</f>
        <v>0</v>
      </c>
      <c r="T102">
        <f>SUMIFS('База практик'!$BL$5:$BL$311,'База практик'!$E$5:$E$311,Расчеты!T$1)</f>
        <v>0</v>
      </c>
      <c r="U102">
        <f>SUMIFS('База практик'!$BL$5:$BL$311,'База практик'!$E$5:$E$311,Расчеты!U$1)</f>
        <v>4</v>
      </c>
      <c r="V102">
        <f>SUMIFS('База практик'!$BL$5:$BL$311,'База практик'!$E$5:$E$311,Расчеты!V$1)</f>
        <v>0</v>
      </c>
      <c r="W102">
        <f>SUMIFS('База практик'!$BL$5:$BL$311,'База практик'!$E$5:$E$311,Расчеты!W$1)</f>
        <v>354</v>
      </c>
      <c r="X102" s="388">
        <f>SUMIFS('База практик'!$BL$5:$BL$311,'База практик'!$E$5:$E$311,Расчеты!X$1)</f>
        <v>0</v>
      </c>
      <c r="Y102">
        <f>SUMIFS('База практик'!$BL$5:$BL$311,'База практик'!$E$5:$E$311,Расчеты!Y$1)</f>
        <v>0</v>
      </c>
      <c r="Z102">
        <f>SUMIFS('База практик'!$BL$5:$BL$311,'База практик'!$E$5:$E$311,Расчеты!Z$1)</f>
        <v>0</v>
      </c>
      <c r="AA102">
        <f>SUMIFS('База практик'!$BL$5:$BL$311,'База практик'!$E$5:$E$311,Расчеты!AA$1)</f>
        <v>0</v>
      </c>
      <c r="AB102">
        <f>SUMIFS('База практик'!$BL$5:$BL$311,'База практик'!$E$5:$E$311,Расчеты!AB$1)</f>
        <v>44</v>
      </c>
      <c r="AC102">
        <f>SUMIFS('База практик'!$BL$5:$BL$311,'База практик'!$E$5:$E$311,Расчеты!AC$1)</f>
        <v>0</v>
      </c>
      <c r="AD102">
        <f>SUMIFS('База практик'!$BL$5:$BL$311,'База практик'!$E$5:$E$311,Расчеты!AD$1)</f>
        <v>0</v>
      </c>
      <c r="AE102">
        <f>SUMIFS('База практик'!$BL$5:$BL$311,'База практик'!$E$5:$E$311,Расчеты!AE$1)</f>
        <v>3</v>
      </c>
      <c r="AF102" s="388">
        <f>SUMIFS('База практик'!$BL$5:$BL$311,'База практик'!$E$5:$E$311,Расчеты!AF$1)</f>
        <v>0</v>
      </c>
      <c r="AG102">
        <f>SUMIFS('База практик'!$BL$5:$BL$311,'База практик'!$E$5:$E$311,Расчеты!AG$1)</f>
        <v>0</v>
      </c>
      <c r="AH102">
        <f>SUMIFS('База практик'!$BL$5:$BL$311,'База практик'!$E$5:$E$311,Расчеты!AH$1)</f>
        <v>0</v>
      </c>
      <c r="AI102">
        <f>SUMIFS('База практик'!$BL$5:$BL$311,'База практик'!$E$5:$E$311,Расчеты!AI$1)</f>
        <v>0</v>
      </c>
      <c r="AJ102">
        <f>SUMIFS('База практик'!$BL$5:$BL$311,'База практик'!$E$5:$E$311,Расчеты!AJ$1)</f>
        <v>163</v>
      </c>
      <c r="AK102">
        <f>SUMIFS('База практик'!$BL$5:$BL$311,'База практик'!$E$5:$E$311,Расчеты!AK$1)</f>
        <v>0</v>
      </c>
      <c r="AL102">
        <f>SUMIFS('База практик'!$BL$5:$BL$311,'База практик'!$E$5:$E$311,Расчеты!AL$1)</f>
        <v>0</v>
      </c>
      <c r="AM102">
        <f>SUMIFS('База практик'!$BL$5:$BL$311,'База практик'!$E$5:$E$311,Расчеты!AM$1)</f>
        <v>0</v>
      </c>
      <c r="AN102">
        <f>SUMIFS('База практик'!$BL$5:$BL$311,'База практик'!$E$5:$E$311,Расчеты!AN$1)</f>
        <v>0</v>
      </c>
      <c r="AO102" s="388">
        <f>SUMIFS('База практик'!$BL$5:$BL$311,'База практик'!$E$5:$E$311,Расчеты!AO$1)</f>
        <v>0</v>
      </c>
      <c r="AP102" s="388">
        <f>SUMIFS('База практик'!$BL$5:$BL$311,'База практик'!$E$5:$E$311,Расчеты!AP$1)</f>
        <v>0</v>
      </c>
      <c r="AQ102">
        <f>SUMIFS('База практик'!$BL$5:$BL$311,'База практик'!$E$5:$E$311,Расчеты!AQ$1)</f>
        <v>9</v>
      </c>
      <c r="AR102">
        <f>SUMIFS('База практик'!$BL$5:$BL$311,'База практик'!$E$5:$E$311,Расчеты!AR$1)</f>
        <v>4</v>
      </c>
      <c r="AS102">
        <f>SUMIFS('База практик'!$BL$5:$BL$311,'База практик'!$E$5:$E$311,Расчеты!AS$1)</f>
        <v>10</v>
      </c>
      <c r="AT102">
        <f>SUMIFS('База практик'!$BL$5:$BL$311,'База практик'!$E$5:$E$311,Расчеты!AT$1)</f>
        <v>30</v>
      </c>
      <c r="AU102">
        <f>SUMIFS('База практик'!$BL$5:$BL$311,'База практик'!$E$5:$E$311,Расчеты!AU$1)</f>
        <v>29</v>
      </c>
      <c r="AV102">
        <f>SUMIFS('База практик'!$BL$5:$BL$311,'База практик'!$E$5:$E$311,Расчеты!AV$1)</f>
        <v>8</v>
      </c>
      <c r="AW102">
        <f>SUMIFS('База практик'!$BL$5:$BL$311,'База практик'!$E$5:$E$311,Расчеты!AW$1)</f>
        <v>0</v>
      </c>
      <c r="AX102">
        <f>SUMIFS('База практик'!$BL$5:$BL$311,'База практик'!$E$5:$E$311,Расчеты!AX$1)</f>
        <v>1</v>
      </c>
      <c r="AY102">
        <f>SUMIFS('База практик'!$BL$5:$BL$311,'База практик'!$E$5:$E$311,Расчеты!AY$1)</f>
        <v>54</v>
      </c>
      <c r="AZ102">
        <f>SUMIFS('База практик'!$BL$5:$BL$311,'База практик'!$E$5:$E$311,Расчеты!AZ$1)</f>
        <v>0</v>
      </c>
      <c r="BA102">
        <f>SUMIFS('База практик'!$BL$5:$BL$311,'База практик'!$E$5:$E$311,Расчеты!BA$1)</f>
        <v>0</v>
      </c>
      <c r="BB102">
        <f>SUMIFS('База практик'!$BL$5:$BL$311,'База практик'!$E$5:$E$311,Расчеты!BB$1)</f>
        <v>0</v>
      </c>
      <c r="BC102" s="388">
        <f>SUMIFS('База практик'!$BL$5:$BL$311,'База практик'!$E$5:$E$311,Расчеты!BC$1)</f>
        <v>0</v>
      </c>
      <c r="BD102">
        <f>SUMIFS('База практик'!$BL$5:$BL$311,'База практик'!$E$5:$E$311,Расчеты!BD$1)</f>
        <v>0</v>
      </c>
      <c r="BE102" s="388">
        <f>SUMIFS('База практик'!$BL$5:$BL$311,'База практик'!$E$5:$E$311,Расчеты!BE$1)</f>
        <v>0</v>
      </c>
      <c r="BF102" s="388">
        <f>SUMIFS('База практик'!$BL$5:$BL$311,'База практик'!$E$5:$E$311,Расчеты!BF$1)</f>
        <v>0</v>
      </c>
      <c r="BG102">
        <f>SUMIFS('База практик'!$BL$5:$BL$311,'База практик'!$E$5:$E$311,Расчеты!BG$1)</f>
        <v>234</v>
      </c>
      <c r="BH102">
        <f>SUMIFS('База практик'!$BL$5:$BL$311,'База практик'!$E$5:$E$311,Расчеты!BH$1)</f>
        <v>6</v>
      </c>
      <c r="BI102">
        <f>SUMIFS('База практик'!$BL$5:$BL$311,'База практик'!$E$5:$E$311,Расчеты!BI$1)</f>
        <v>0</v>
      </c>
      <c r="BJ102">
        <f>SUMIFS('База практик'!$BL$5:$BL$311,'База практик'!$E$5:$E$311,Расчеты!BJ$1)</f>
        <v>12</v>
      </c>
      <c r="BK102">
        <f>SUMIFS('База практик'!$BL$5:$BL$311,'База практик'!$E$5:$E$311,Расчеты!BK$1)</f>
        <v>11</v>
      </c>
      <c r="BL102">
        <f>SUMIFS('База практик'!$BL$5:$BL$311,'База практик'!$E$5:$E$311,Расчеты!BL$1)</f>
        <v>8</v>
      </c>
      <c r="BM102">
        <f>SUMIFS('База практик'!$BL$5:$BL$311,'База практик'!$E$5:$E$311,Расчеты!BM$1)</f>
        <v>0</v>
      </c>
      <c r="BN102">
        <f>SUMIFS('База практик'!$BL$5:$BL$311,'База практик'!$E$5:$E$311,Расчеты!BN$1)</f>
        <v>0</v>
      </c>
      <c r="BO102">
        <f>SUMIFS('База практик'!$BL$5:$BL$311,'База практик'!$E$5:$E$311,Расчеты!BO$1)</f>
        <v>16</v>
      </c>
      <c r="BP102">
        <f>SUMIFS('База практик'!$BL$5:$BL$311,'База практик'!$E$5:$E$311,Расчеты!BP$1)</f>
        <v>1</v>
      </c>
      <c r="BQ102">
        <f>SUMIFS('База практик'!$BL$5:$BL$311,'База практик'!$E$5:$E$311,Расчеты!BQ$1)</f>
        <v>0</v>
      </c>
      <c r="BR102" s="388">
        <f>SUMIFS('База практик'!$BL$5:$BL$311,'База практик'!$E$5:$E$311,Расчеты!BR$1)</f>
        <v>0</v>
      </c>
      <c r="BS102">
        <f>SUMIFS('База практик'!$BL$5:$BL$311,'База практик'!$E$5:$E$311,Расчеты!BS$1)</f>
        <v>0</v>
      </c>
      <c r="BT102">
        <f>SUMIFS('База практик'!$BL$5:$BL$311,'База практик'!$E$5:$E$311,Расчеты!BT$1)</f>
        <v>23</v>
      </c>
      <c r="BU102">
        <f>SUMIFS('База практик'!$BL$5:$BL$311,'База практик'!$E$5:$E$311,Расчеты!BU$1)</f>
        <v>1</v>
      </c>
      <c r="BV102">
        <f>SUMIFS('База практик'!$BL$5:$BL$311,'База практик'!$E$5:$E$311,Расчеты!BV$1)</f>
        <v>1</v>
      </c>
      <c r="BW102">
        <f>SUMIFS('База практик'!$BL$5:$BL$311,'База практик'!$E$5:$E$311,Расчеты!BW$1)</f>
        <v>1</v>
      </c>
      <c r="BX102">
        <f>SUMIFS('База практик'!$BL$5:$BL$311,'База практик'!$E$5:$E$311,Расчеты!BX$1)</f>
        <v>0</v>
      </c>
      <c r="BY102">
        <f>SUMIFS('База практик'!$BL$5:$BL$311,'База практик'!$E$5:$E$311,Расчеты!BY$1)</f>
        <v>0</v>
      </c>
      <c r="BZ102">
        <f>SUMIFS('База практик'!$BL$5:$BL$311,'База практик'!$E$5:$E$311,Расчеты!BZ$1)</f>
        <v>0</v>
      </c>
      <c r="CA102">
        <f>SUMIFS('База практик'!$BL$5:$BL$311,'База практик'!$E$5:$E$311,Расчеты!CA$1)</f>
        <v>16</v>
      </c>
      <c r="CB102">
        <f>SUMIFS('База практик'!$BL$5:$BL$311,'База практик'!$E$5:$E$311,Расчеты!CB$1)</f>
        <v>0</v>
      </c>
      <c r="CC102" s="388">
        <f>SUMIFS('База практик'!$BL$5:$BL$311,'База практик'!$E$5:$E$311,Расчеты!CC$1)</f>
        <v>0</v>
      </c>
      <c r="CD102">
        <f>SUMIFS('База практик'!$BL$5:$BL$311,'База практик'!$E$5:$E$311,Расчеты!CD$1)</f>
        <v>0</v>
      </c>
      <c r="CE102">
        <f>SUMIFS('База практик'!$BL$5:$BL$311,'База практик'!$E$5:$E$311,Расчеты!CE$1)</f>
        <v>0</v>
      </c>
      <c r="CF102">
        <f>SUMIFS('База практик'!$BL$5:$BL$311,'База практик'!$E$5:$E$311,Расчеты!CF$1)</f>
        <v>4</v>
      </c>
      <c r="CG102">
        <f>SUMIFS('База практик'!$BL$5:$BL$311,'База практик'!$E$5:$E$311,Расчеты!CG$1)</f>
        <v>8</v>
      </c>
      <c r="CH102">
        <f>SUMIFS('База практик'!$BL$5:$BL$311,'База практик'!$E$5:$E$311,Расчеты!CH$1)</f>
        <v>0</v>
      </c>
      <c r="CI102">
        <f>SUMIFS('База практик'!$BL$5:$BL$311,'База практик'!$E$5:$E$311,Расчеты!CI$1)</f>
        <v>0</v>
      </c>
      <c r="CJ102">
        <f>SUMIFS('База практик'!$BL$5:$BL$311,'База практик'!$E$5:$E$311,Расчеты!CJ$1)</f>
        <v>104</v>
      </c>
      <c r="CK102" s="388">
        <f>SUMIFS('База практик'!$BL$5:$BL$311,'База практик'!$E$5:$E$311,Расчеты!CK$1)</f>
        <v>0</v>
      </c>
      <c r="CL102">
        <f>SUMIFS('База практик'!$BL$5:$BL$311,'База практик'!$E$5:$E$311,Расчеты!CL$1)</f>
        <v>0</v>
      </c>
      <c r="CM102">
        <f>SUMIFS('База практик'!$BL$5:$BL$311,'База практик'!$E$5:$E$311,Расчеты!CM$1)</f>
        <v>41</v>
      </c>
      <c r="CN102">
        <f>SUMIFS('База практик'!$BL$5:$BL$311,'База практик'!$E$5:$E$311,Расчеты!CN$1)</f>
        <v>12</v>
      </c>
      <c r="CO102">
        <f>SUMIFS('База практик'!$BL$5:$BL$311,'База практик'!$E$5:$E$311,Расчеты!CO$1)</f>
        <v>0</v>
      </c>
      <c r="CP102" s="388">
        <f>SUMIFS('База практик'!$BL$5:$BL$311,'База практик'!$E$5:$E$311,Расчеты!CP$1)</f>
        <v>0</v>
      </c>
      <c r="CQ102">
        <f>SUMIFS('База практик'!$BL$5:$BL$311,'База практик'!$E$5:$E$311,Расчеты!CQ$1)</f>
        <v>36</v>
      </c>
      <c r="CR102">
        <f>SUMIFS('База практик'!$BL$5:$BL$311,'База практик'!$E$5:$E$311,Расчеты!CR$1)</f>
        <v>461</v>
      </c>
      <c r="CS102" s="388">
        <f>SUMIFS('База практик'!$BL$5:$BL$311,'База практик'!$E$5:$E$311,Расчеты!CS$1)</f>
        <v>0</v>
      </c>
      <c r="CT102">
        <f>SUMIFS('База практик'!$BL$5:$BL$311,'База практик'!$E$5:$E$311,Расчеты!CT$1)</f>
        <v>53</v>
      </c>
      <c r="CU102">
        <f>SUMIFS('База практик'!$BL$5:$BL$311,'База практик'!$E$5:$E$311,Расчеты!CU$1)</f>
        <v>0</v>
      </c>
      <c r="CV102">
        <f>SUMIFS('База практик'!$BL$5:$BL$311,'База практик'!$E$5:$E$311,Расчеты!CV$1)</f>
        <v>3</v>
      </c>
      <c r="CW102">
        <f>SUMIFS('База практик'!$BL$5:$BL$311,'База практик'!$E$5:$E$311,Расчеты!CW$1)</f>
        <v>199</v>
      </c>
    </row>
    <row r="103" spans="1:101" x14ac:dyDescent="0.25">
      <c r="A103" s="1660"/>
      <c r="B103" s="1660"/>
      <c r="C103" s="1671"/>
      <c r="D103" s="115" t="s">
        <v>4831</v>
      </c>
      <c r="E103" s="115">
        <v>65</v>
      </c>
      <c r="F103" s="116" t="s">
        <v>5075</v>
      </c>
      <c r="G103" s="1640"/>
      <c r="H103" s="183" t="s">
        <v>52</v>
      </c>
      <c r="I103" s="184"/>
      <c r="J103" s="171"/>
      <c r="K103" s="171"/>
      <c r="L103" s="171"/>
      <c r="M103" s="171">
        <v>0.1014929118052942</v>
      </c>
      <c r="N103" s="171">
        <v>5.5729359987273984E-2</v>
      </c>
      <c r="O103" s="206">
        <v>7.202051188132412E-2</v>
      </c>
    </row>
    <row r="104" spans="1:101" ht="25.5" x14ac:dyDescent="0.25">
      <c r="A104" s="1660"/>
      <c r="B104" s="1660"/>
      <c r="C104" s="1671"/>
      <c r="D104" s="115" t="s">
        <v>4831</v>
      </c>
      <c r="E104" s="115">
        <v>87</v>
      </c>
      <c r="F104" s="118" t="s">
        <v>5076</v>
      </c>
      <c r="G104" s="1640" t="s">
        <v>24</v>
      </c>
      <c r="H104" s="183" t="s">
        <v>5056</v>
      </c>
      <c r="I104" s="184"/>
      <c r="J104" s="171"/>
      <c r="K104" s="171"/>
      <c r="L104" s="171"/>
      <c r="M104" s="171" t="s">
        <v>4844</v>
      </c>
      <c r="N104" s="171">
        <v>1451</v>
      </c>
      <c r="O104" s="172">
        <v>1477</v>
      </c>
      <c r="P104">
        <f t="shared" si="174"/>
        <v>1590</v>
      </c>
      <c r="Q104">
        <f>SUMIFS('База практик'!$BM$5:$BM$311,'База практик'!$E$5:$E$311,Расчеты!Q$1)</f>
        <v>2</v>
      </c>
      <c r="R104">
        <f>SUMIFS('База практик'!$BM$5:$BM$311,'База практик'!$E$5:$E$311,Расчеты!R$1)</f>
        <v>0</v>
      </c>
      <c r="S104">
        <f>SUMIFS('База практик'!$BM$5:$BM$311,'База практик'!$E$5:$E$311,Расчеты!S$1)</f>
        <v>58</v>
      </c>
      <c r="T104">
        <f>SUMIFS('База практик'!$BM$5:$BM$311,'База практик'!$E$5:$E$311,Расчеты!T$1)</f>
        <v>48</v>
      </c>
      <c r="U104">
        <f>SUMIFS('База практик'!$BM$5:$BM$311,'База практик'!$E$5:$E$311,Расчеты!U$1)</f>
        <v>56</v>
      </c>
      <c r="V104">
        <f>SUMIFS('База практик'!$BM$5:$BM$311,'База практик'!$E$5:$E$311,Расчеты!V$1)</f>
        <v>0</v>
      </c>
      <c r="W104">
        <f>SUMIFS('База практик'!$BM$5:$BM$311,'База практик'!$E$5:$E$311,Расчеты!W$1)</f>
        <v>241</v>
      </c>
      <c r="X104" s="388">
        <f>SUMIFS('База практик'!$BM$5:$BM$311,'База практик'!$E$5:$E$311,Расчеты!X$1)</f>
        <v>0</v>
      </c>
      <c r="Y104">
        <f>SUMIFS('База практик'!$BM$5:$BM$311,'База практик'!$E$5:$E$311,Расчеты!Y$1)</f>
        <v>0</v>
      </c>
      <c r="Z104">
        <f>SUMIFS('База практик'!$BM$5:$BM$311,'База практик'!$E$5:$E$311,Расчеты!Z$1)</f>
        <v>0</v>
      </c>
      <c r="AA104">
        <f>SUMIFS('База практик'!$BM$5:$BM$311,'База практик'!$E$5:$E$311,Расчеты!AA$1)</f>
        <v>4</v>
      </c>
      <c r="AB104">
        <f>SUMIFS('База практик'!$BM$5:$BM$311,'База практик'!$E$5:$E$311,Расчеты!AB$1)</f>
        <v>28</v>
      </c>
      <c r="AC104">
        <f>SUMIFS('База практик'!$BM$5:$BM$311,'База практик'!$E$5:$E$311,Расчеты!AC$1)</f>
        <v>98</v>
      </c>
      <c r="AD104">
        <f>SUMIFS('База практик'!$BM$5:$BM$311,'База практик'!$E$5:$E$311,Расчеты!AD$1)</f>
        <v>3</v>
      </c>
      <c r="AE104">
        <f>SUMIFS('База практик'!$BM$5:$BM$311,'База практик'!$E$5:$E$311,Расчеты!AE$1)</f>
        <v>6</v>
      </c>
      <c r="AF104" s="388">
        <f>SUMIFS('База практик'!$BM$5:$BM$311,'База практик'!$E$5:$E$311,Расчеты!AF$1)</f>
        <v>0</v>
      </c>
      <c r="AG104">
        <f>SUMIFS('База практик'!$BM$5:$BM$311,'База практик'!$E$5:$E$311,Расчеты!AG$1)</f>
        <v>0</v>
      </c>
      <c r="AH104">
        <f>SUMIFS('База практик'!$BM$5:$BM$311,'База практик'!$E$5:$E$311,Расчеты!AH$1)</f>
        <v>0</v>
      </c>
      <c r="AI104">
        <f>SUMIFS('База практик'!$BM$5:$BM$311,'База практик'!$E$5:$E$311,Расчеты!AI$1)</f>
        <v>0</v>
      </c>
      <c r="AJ104">
        <f>SUMIFS('База практик'!$BM$5:$BM$311,'База практик'!$E$5:$E$311,Расчеты!AJ$1)</f>
        <v>342</v>
      </c>
      <c r="AK104">
        <f>SUMIFS('База практик'!$BM$5:$BM$311,'База практик'!$E$5:$E$311,Расчеты!AK$1)</f>
        <v>0</v>
      </c>
      <c r="AL104">
        <f>SUMIFS('База практик'!$BM$5:$BM$311,'База практик'!$E$5:$E$311,Расчеты!AL$1)</f>
        <v>0</v>
      </c>
      <c r="AM104">
        <f>SUMIFS('База практик'!$BM$5:$BM$311,'База практик'!$E$5:$E$311,Расчеты!AM$1)</f>
        <v>0</v>
      </c>
      <c r="AN104">
        <f>SUMIFS('База практик'!$BM$5:$BM$311,'База практик'!$E$5:$E$311,Расчеты!AN$1)</f>
        <v>17</v>
      </c>
      <c r="AO104" s="388">
        <f>SUMIFS('База практик'!$BM$5:$BM$311,'База практик'!$E$5:$E$311,Расчеты!AO$1)</f>
        <v>0</v>
      </c>
      <c r="AP104" s="388">
        <f>SUMIFS('База практик'!$BM$5:$BM$311,'База практик'!$E$5:$E$311,Расчеты!AP$1)</f>
        <v>0</v>
      </c>
      <c r="AQ104">
        <f>SUMIFS('База практик'!$BM$5:$BM$311,'База практик'!$E$5:$E$311,Расчеты!AQ$1)</f>
        <v>18</v>
      </c>
      <c r="AR104">
        <f>SUMIFS('База практик'!$BM$5:$BM$311,'База практик'!$E$5:$E$311,Расчеты!AR$1)</f>
        <v>1</v>
      </c>
      <c r="AS104">
        <f>SUMIFS('База практик'!$BM$5:$BM$311,'База практик'!$E$5:$E$311,Расчеты!AS$1)</f>
        <v>27</v>
      </c>
      <c r="AT104">
        <f>SUMIFS('База практик'!$BM$5:$BM$311,'База практик'!$E$5:$E$311,Расчеты!AT$1)</f>
        <v>24</v>
      </c>
      <c r="AU104">
        <f>SUMIFS('База практик'!$BM$5:$BM$311,'База практик'!$E$5:$E$311,Расчеты!AU$1)</f>
        <v>25</v>
      </c>
      <c r="AV104">
        <f>SUMIFS('База практик'!$BM$5:$BM$311,'База практик'!$E$5:$E$311,Расчеты!AV$1)</f>
        <v>9</v>
      </c>
      <c r="AW104">
        <f>SUMIFS('База практик'!$BM$5:$BM$311,'База практик'!$E$5:$E$311,Расчеты!AW$1)</f>
        <v>26</v>
      </c>
      <c r="AX104">
        <f>SUMIFS('База практик'!$BM$5:$BM$311,'База практик'!$E$5:$E$311,Расчеты!AX$1)</f>
        <v>0</v>
      </c>
      <c r="AY104">
        <f>SUMIFS('База практик'!$BM$5:$BM$311,'База практик'!$E$5:$E$311,Расчеты!AY$1)</f>
        <v>17</v>
      </c>
      <c r="AZ104">
        <f>SUMIFS('База практик'!$BM$5:$BM$311,'База практик'!$E$5:$E$311,Расчеты!AZ$1)</f>
        <v>0</v>
      </c>
      <c r="BA104">
        <f>SUMIFS('База практик'!$BM$5:$BM$311,'База практик'!$E$5:$E$311,Расчеты!BA$1)</f>
        <v>0</v>
      </c>
      <c r="BB104">
        <f>SUMIFS('База практик'!$BM$5:$BM$311,'База практик'!$E$5:$E$311,Расчеты!BB$1)</f>
        <v>0</v>
      </c>
      <c r="BC104" s="388">
        <f>SUMIFS('База практик'!$BM$5:$BM$311,'База практик'!$E$5:$E$311,Расчеты!BC$1)</f>
        <v>0</v>
      </c>
      <c r="BD104">
        <f>SUMIFS('База практик'!$BM$5:$BM$311,'База практик'!$E$5:$E$311,Расчеты!BD$1)</f>
        <v>0</v>
      </c>
      <c r="BE104" s="388">
        <f>SUMIFS('База практик'!$BM$5:$BM$311,'База практик'!$E$5:$E$311,Расчеты!BE$1)</f>
        <v>0</v>
      </c>
      <c r="BF104" s="388">
        <f>SUMIFS('База практик'!$BM$5:$BM$311,'База практик'!$E$5:$E$311,Расчеты!BF$1)</f>
        <v>0</v>
      </c>
      <c r="BG104">
        <f>SUMIFS('База практик'!$BM$5:$BM$311,'База практик'!$E$5:$E$311,Расчеты!BG$1)</f>
        <v>72</v>
      </c>
      <c r="BH104">
        <f>SUMIFS('База практик'!$BM$5:$BM$311,'База практик'!$E$5:$E$311,Расчеты!BH$1)</f>
        <v>7</v>
      </c>
      <c r="BI104">
        <f>SUMIFS('База практик'!$BM$5:$BM$311,'База практик'!$E$5:$E$311,Расчеты!BI$1)</f>
        <v>1</v>
      </c>
      <c r="BJ104">
        <f>SUMIFS('База практик'!$BM$5:$BM$311,'База практик'!$E$5:$E$311,Расчеты!BJ$1)</f>
        <v>14</v>
      </c>
      <c r="BK104">
        <f>SUMIFS('База практик'!$BM$5:$BM$311,'База практик'!$E$5:$E$311,Расчеты!BK$1)</f>
        <v>14</v>
      </c>
      <c r="BL104">
        <f>SUMIFS('База практик'!$BM$5:$BM$311,'База практик'!$E$5:$E$311,Расчеты!BL$1)</f>
        <v>22</v>
      </c>
      <c r="BM104">
        <f>SUMIFS('База практик'!$BM$5:$BM$311,'База практик'!$E$5:$E$311,Расчеты!BM$1)</f>
        <v>0</v>
      </c>
      <c r="BN104">
        <f>SUMIFS('База практик'!$BM$5:$BM$311,'База практик'!$E$5:$E$311,Расчеты!BN$1)</f>
        <v>13</v>
      </c>
      <c r="BO104">
        <f>SUMIFS('База практик'!$BM$5:$BM$311,'База практик'!$E$5:$E$311,Расчеты!BO$1)</f>
        <v>13</v>
      </c>
      <c r="BP104">
        <f>SUMIFS('База практик'!$BM$5:$BM$311,'База практик'!$E$5:$E$311,Расчеты!BP$1)</f>
        <v>1</v>
      </c>
      <c r="BQ104">
        <f>SUMIFS('База практик'!$BM$5:$BM$311,'База практик'!$E$5:$E$311,Расчеты!BQ$1)</f>
        <v>0</v>
      </c>
      <c r="BR104" s="388">
        <f>SUMIFS('База практик'!$BM$5:$BM$311,'База практик'!$E$5:$E$311,Расчеты!BR$1)</f>
        <v>0</v>
      </c>
      <c r="BS104">
        <f>SUMIFS('База практик'!$BM$5:$BM$311,'База практик'!$E$5:$E$311,Расчеты!BS$1)</f>
        <v>2</v>
      </c>
      <c r="BT104">
        <f>SUMIFS('База практик'!$BM$5:$BM$311,'База практик'!$E$5:$E$311,Расчеты!BT$1)</f>
        <v>29</v>
      </c>
      <c r="BU104">
        <f>SUMIFS('База практик'!$BM$5:$BM$311,'База практик'!$E$5:$E$311,Расчеты!BU$1)</f>
        <v>11</v>
      </c>
      <c r="BV104">
        <f>SUMIFS('База практик'!$BM$5:$BM$311,'База практик'!$E$5:$E$311,Расчеты!BV$1)</f>
        <v>15</v>
      </c>
      <c r="BW104">
        <f>SUMIFS('База практик'!$BM$5:$BM$311,'База практик'!$E$5:$E$311,Расчеты!BW$1)</f>
        <v>1</v>
      </c>
      <c r="BX104">
        <f>SUMIFS('База практик'!$BM$5:$BM$311,'База практик'!$E$5:$E$311,Расчеты!BX$1)</f>
        <v>11</v>
      </c>
      <c r="BY104">
        <f>SUMIFS('База практик'!$BM$5:$BM$311,'База практик'!$E$5:$E$311,Расчеты!BY$1)</f>
        <v>11</v>
      </c>
      <c r="BZ104">
        <f>SUMIFS('База практик'!$BM$5:$BM$311,'База практик'!$E$5:$E$311,Расчеты!BZ$1)</f>
        <v>2</v>
      </c>
      <c r="CA104">
        <f>SUMIFS('База практик'!$BM$5:$BM$311,'База практик'!$E$5:$E$311,Расчеты!CA$1)</f>
        <v>11</v>
      </c>
      <c r="CB104">
        <f>SUMIFS('База практик'!$BM$5:$BM$311,'База практик'!$E$5:$E$311,Расчеты!CB$1)</f>
        <v>0</v>
      </c>
      <c r="CC104" s="388">
        <f>SUMIFS('База практик'!$BM$5:$BM$311,'База практик'!$E$5:$E$311,Расчеты!CC$1)</f>
        <v>0</v>
      </c>
      <c r="CD104">
        <f>SUMIFS('База практик'!$BM$5:$BM$311,'База практик'!$E$5:$E$311,Расчеты!CD$1)</f>
        <v>0</v>
      </c>
      <c r="CE104">
        <f>SUMIFS('База практик'!$BM$5:$BM$311,'База практик'!$E$5:$E$311,Расчеты!CE$1)</f>
        <v>33</v>
      </c>
      <c r="CF104">
        <f>SUMIFS('База практик'!$BM$5:$BM$311,'База практик'!$E$5:$E$311,Расчеты!CF$1)</f>
        <v>4</v>
      </c>
      <c r="CG104">
        <f>SUMIFS('База практик'!$BM$5:$BM$311,'База практик'!$E$5:$E$311,Расчеты!CG$1)</f>
        <v>4</v>
      </c>
      <c r="CH104">
        <f>SUMIFS('База практик'!$BM$5:$BM$311,'База практик'!$E$5:$E$311,Расчеты!CH$1)</f>
        <v>17</v>
      </c>
      <c r="CI104">
        <f>SUMIFS('База практик'!$BM$5:$BM$311,'База практик'!$E$5:$E$311,Расчеты!CI$1)</f>
        <v>3</v>
      </c>
      <c r="CJ104">
        <f>SUMIFS('База практик'!$BM$5:$BM$311,'База практик'!$E$5:$E$311,Расчеты!CJ$1)</f>
        <v>12</v>
      </c>
      <c r="CK104" s="388">
        <f>SUMIFS('База практик'!$BM$5:$BM$311,'База практик'!$E$5:$E$311,Расчеты!CK$1)</f>
        <v>0</v>
      </c>
      <c r="CL104">
        <f>SUMIFS('База практик'!$BM$5:$BM$311,'База практик'!$E$5:$E$311,Расчеты!CL$1)</f>
        <v>0</v>
      </c>
      <c r="CM104">
        <f>SUMIFS('База практик'!$BM$5:$BM$311,'База практик'!$E$5:$E$311,Расчеты!CM$1)</f>
        <v>21</v>
      </c>
      <c r="CN104">
        <f>SUMIFS('База практик'!$BM$5:$BM$311,'База практик'!$E$5:$E$311,Расчеты!CN$1)</f>
        <v>0</v>
      </c>
      <c r="CO104">
        <f>SUMIFS('База практик'!$BM$5:$BM$311,'База практик'!$E$5:$E$311,Расчеты!CO$1)</f>
        <v>5</v>
      </c>
      <c r="CP104" s="388">
        <f>SUMIFS('База практик'!$BM$5:$BM$311,'База практик'!$E$5:$E$311,Расчеты!CP$1)</f>
        <v>0</v>
      </c>
      <c r="CQ104">
        <f>SUMIFS('База практик'!$BM$5:$BM$311,'База практик'!$E$5:$E$311,Расчеты!CQ$1)</f>
        <v>7</v>
      </c>
      <c r="CR104">
        <f>SUMIFS('База практик'!$BM$5:$BM$311,'База практик'!$E$5:$E$311,Расчеты!CR$1)</f>
        <v>132</v>
      </c>
      <c r="CS104" s="388">
        <f>SUMIFS('База практик'!$BM$5:$BM$311,'База практик'!$E$5:$E$311,Расчеты!CS$1)</f>
        <v>0</v>
      </c>
      <c r="CT104">
        <f>SUMIFS('База практик'!$BM$5:$BM$311,'База практик'!$E$5:$E$311,Расчеты!CT$1)</f>
        <v>19</v>
      </c>
      <c r="CU104">
        <f>SUMIFS('База практик'!$BM$5:$BM$311,'База практик'!$E$5:$E$311,Расчеты!CU$1)</f>
        <v>1</v>
      </c>
      <c r="CV104">
        <f>SUMIFS('База практик'!$BM$5:$BM$311,'База практик'!$E$5:$E$311,Расчеты!CV$1)</f>
        <v>14</v>
      </c>
      <c r="CW104">
        <f>SUMIFS('База практик'!$BM$5:$BM$311,'База практик'!$E$5:$E$311,Расчеты!CW$1)</f>
        <v>18</v>
      </c>
    </row>
    <row r="105" spans="1:101" x14ac:dyDescent="0.25">
      <c r="A105" s="1660"/>
      <c r="B105" s="1660"/>
      <c r="C105" s="1671"/>
      <c r="D105" s="115" t="s">
        <v>4831</v>
      </c>
      <c r="E105" s="115">
        <v>88</v>
      </c>
      <c r="F105" s="118" t="s">
        <v>5077</v>
      </c>
      <c r="G105" s="1640"/>
      <c r="H105" s="183" t="s">
        <v>52</v>
      </c>
      <c r="I105" s="184"/>
      <c r="J105" s="171"/>
      <c r="K105" s="171"/>
      <c r="L105" s="171" t="s">
        <v>500</v>
      </c>
      <c r="M105" s="171" t="s">
        <v>4844</v>
      </c>
      <c r="N105" s="171">
        <v>7.6939392332573311E-2</v>
      </c>
      <c r="O105" s="206">
        <v>6.7625108740442294E-2</v>
      </c>
    </row>
    <row r="106" spans="1:101" ht="25.5" x14ac:dyDescent="0.25">
      <c r="A106" s="1660"/>
      <c r="B106" s="1660"/>
      <c r="C106" s="1671"/>
      <c r="D106" s="115" t="s">
        <v>4831</v>
      </c>
      <c r="E106" s="115">
        <v>66</v>
      </c>
      <c r="F106" s="116" t="s">
        <v>5078</v>
      </c>
      <c r="G106" s="1640" t="s">
        <v>5079</v>
      </c>
      <c r="H106" s="183" t="s">
        <v>5056</v>
      </c>
      <c r="I106" s="184"/>
      <c r="J106" s="171"/>
      <c r="K106" s="171"/>
      <c r="L106" s="171"/>
      <c r="M106" s="171">
        <v>733</v>
      </c>
      <c r="N106" s="171">
        <v>1007</v>
      </c>
      <c r="O106" s="172">
        <v>1453</v>
      </c>
      <c r="P106">
        <f t="shared" si="174"/>
        <v>1722</v>
      </c>
      <c r="Q106">
        <f>SUMIFS('База практик'!$BN$5:$BN$311,'База практик'!$E$5:$E$311,Расчеты!Q$1)</f>
        <v>2</v>
      </c>
      <c r="R106">
        <f>SUMIFS('База практик'!$BN$5:$BN$311,'База практик'!$E$5:$E$311,Расчеты!R$1)</f>
        <v>9</v>
      </c>
      <c r="S106">
        <f>SUMIFS('База практик'!$BN$5:$BN$311,'База практик'!$E$5:$E$311,Расчеты!S$1)</f>
        <v>64</v>
      </c>
      <c r="T106">
        <f>SUMIFS('База практик'!$BN$5:$BN$311,'База практик'!$E$5:$E$311,Расчеты!T$1)</f>
        <v>22</v>
      </c>
      <c r="U106">
        <f>SUMIFS('База практик'!$BN$5:$BN$311,'База практик'!$E$5:$E$311,Расчеты!U$1)</f>
        <v>28</v>
      </c>
      <c r="V106">
        <f>SUMIFS('База практик'!$BN$5:$BN$311,'База практик'!$E$5:$E$311,Расчеты!V$1)</f>
        <v>0</v>
      </c>
      <c r="W106">
        <f>SUMIFS('База практик'!$BN$5:$BN$311,'База практик'!$E$5:$E$311,Расчеты!W$1)</f>
        <v>72</v>
      </c>
      <c r="X106" s="388">
        <f>SUMIFS('База практик'!$BN$5:$BN$311,'База практик'!$E$5:$E$311,Расчеты!X$1)</f>
        <v>0</v>
      </c>
      <c r="Y106">
        <f>SUMIFS('База практик'!$BN$5:$BN$311,'База практик'!$E$5:$E$311,Расчеты!Y$1)</f>
        <v>5</v>
      </c>
      <c r="Z106">
        <f>SUMIFS('База практик'!$BN$5:$BN$311,'База практик'!$E$5:$E$311,Расчеты!Z$1)</f>
        <v>307</v>
      </c>
      <c r="AA106">
        <f>SUMIFS('База практик'!$BN$5:$BN$311,'База практик'!$E$5:$E$311,Расчеты!AA$1)</f>
        <v>16</v>
      </c>
      <c r="AB106">
        <f>SUMIFS('База практик'!$BN$5:$BN$311,'База практик'!$E$5:$E$311,Расчеты!AB$1)</f>
        <v>17</v>
      </c>
      <c r="AC106">
        <f>SUMIFS('База практик'!$BN$5:$BN$311,'База практик'!$E$5:$E$311,Расчеты!AC$1)</f>
        <v>66</v>
      </c>
      <c r="AD106">
        <f>SUMIFS('База практик'!$BN$5:$BN$311,'База практик'!$E$5:$E$311,Расчеты!AD$1)</f>
        <v>1</v>
      </c>
      <c r="AE106">
        <f>SUMIFS('База практик'!$BN$5:$BN$311,'База практик'!$E$5:$E$311,Расчеты!AE$1)</f>
        <v>29</v>
      </c>
      <c r="AF106" s="388">
        <f>SUMIFS('База практик'!$BN$5:$BN$311,'База практик'!$E$5:$E$311,Расчеты!AF$1)</f>
        <v>0</v>
      </c>
      <c r="AG106">
        <f>SUMIFS('База практик'!$BN$5:$BN$311,'База практик'!$E$5:$E$311,Расчеты!AG$1)</f>
        <v>1</v>
      </c>
      <c r="AH106">
        <f>SUMIFS('База практик'!$BN$5:$BN$311,'База практик'!$E$5:$E$311,Расчеты!AH$1)</f>
        <v>0</v>
      </c>
      <c r="AI106">
        <f>SUMIFS('База практик'!$BN$5:$BN$311,'База практик'!$E$5:$E$311,Расчеты!AI$1)</f>
        <v>0</v>
      </c>
      <c r="AJ106">
        <f>SUMIFS('База практик'!$BN$5:$BN$311,'База практик'!$E$5:$E$311,Расчеты!AJ$1)</f>
        <v>23</v>
      </c>
      <c r="AK106">
        <f>SUMIFS('База практик'!$BN$5:$BN$311,'База практик'!$E$5:$E$311,Расчеты!AK$1)</f>
        <v>0</v>
      </c>
      <c r="AL106">
        <f>SUMIFS('База практик'!$BN$5:$BN$311,'База практик'!$E$5:$E$311,Расчеты!AL$1)</f>
        <v>2</v>
      </c>
      <c r="AM106">
        <f>SUMIFS('База практик'!$BN$5:$BN$311,'База практик'!$E$5:$E$311,Расчеты!AM$1)</f>
        <v>11</v>
      </c>
      <c r="AN106">
        <f>SUMIFS('База практик'!$BN$5:$BN$311,'База практик'!$E$5:$E$311,Расчеты!AN$1)</f>
        <v>33</v>
      </c>
      <c r="AO106" s="388">
        <f>SUMIFS('База практик'!$BN$5:$BN$311,'База практик'!$E$5:$E$311,Расчеты!AO$1)</f>
        <v>0</v>
      </c>
      <c r="AP106" s="388">
        <f>SUMIFS('База практик'!$BN$5:$BN$311,'База практик'!$E$5:$E$311,Расчеты!AP$1)</f>
        <v>0</v>
      </c>
      <c r="AQ106">
        <f>SUMIFS('База практик'!$BN$5:$BN$311,'База практик'!$E$5:$E$311,Расчеты!AQ$1)</f>
        <v>24</v>
      </c>
      <c r="AR106">
        <f>SUMIFS('База практик'!$BN$5:$BN$311,'База практик'!$E$5:$E$311,Расчеты!AR$1)</f>
        <v>51</v>
      </c>
      <c r="AS106">
        <f>SUMIFS('База практик'!$BN$5:$BN$311,'База практик'!$E$5:$E$311,Расчеты!AS$1)</f>
        <v>18</v>
      </c>
      <c r="AT106">
        <f>SUMIFS('База практик'!$BN$5:$BN$311,'База практик'!$E$5:$E$311,Расчеты!AT$1)</f>
        <v>19</v>
      </c>
      <c r="AU106">
        <f>SUMIFS('База практик'!$BN$5:$BN$311,'База практик'!$E$5:$E$311,Расчеты!AU$1)</f>
        <v>25</v>
      </c>
      <c r="AV106">
        <f>SUMIFS('База практик'!$BN$5:$BN$311,'База практик'!$E$5:$E$311,Расчеты!AV$1)</f>
        <v>25</v>
      </c>
      <c r="AW106">
        <f>SUMIFS('База практик'!$BN$5:$BN$311,'База практик'!$E$5:$E$311,Расчеты!AW$1)</f>
        <v>0</v>
      </c>
      <c r="AX106">
        <f>SUMIFS('База практик'!$BN$5:$BN$311,'База практик'!$E$5:$E$311,Расчеты!AX$1)</f>
        <v>0</v>
      </c>
      <c r="AY106">
        <f>SUMIFS('База практик'!$BN$5:$BN$311,'База практик'!$E$5:$E$311,Расчеты!AY$1)</f>
        <v>9</v>
      </c>
      <c r="AZ106">
        <f>SUMIFS('База практик'!$BN$5:$BN$311,'База практик'!$E$5:$E$311,Расчеты!AZ$1)</f>
        <v>0</v>
      </c>
      <c r="BA106">
        <f>SUMIFS('База практик'!$BN$5:$BN$311,'База практик'!$E$5:$E$311,Расчеты!BA$1)</f>
        <v>22</v>
      </c>
      <c r="BB106">
        <f>SUMIFS('База практик'!$BN$5:$BN$311,'База практик'!$E$5:$E$311,Расчеты!BB$1)</f>
        <v>0</v>
      </c>
      <c r="BC106" s="388">
        <f>SUMIFS('База практик'!$BN$5:$BN$311,'База практик'!$E$5:$E$311,Расчеты!BC$1)</f>
        <v>0</v>
      </c>
      <c r="BD106">
        <f>SUMIFS('База практик'!$BN$5:$BN$311,'База практик'!$E$5:$E$311,Расчеты!BD$1)</f>
        <v>8</v>
      </c>
      <c r="BE106" s="388">
        <f>SUMIFS('База практик'!$BN$5:$BN$311,'База практик'!$E$5:$E$311,Расчеты!BE$1)</f>
        <v>0</v>
      </c>
      <c r="BF106" s="388">
        <f>SUMIFS('База практик'!$BN$5:$BN$311,'База практик'!$E$5:$E$311,Расчеты!BF$1)</f>
        <v>0</v>
      </c>
      <c r="BG106">
        <f>SUMIFS('База практик'!$BN$5:$BN$311,'База практик'!$E$5:$E$311,Расчеты!BG$1)</f>
        <v>77</v>
      </c>
      <c r="BH106">
        <f>SUMIFS('База практик'!$BN$5:$BN$311,'База практик'!$E$5:$E$311,Расчеты!BH$1)</f>
        <v>7</v>
      </c>
      <c r="BI106">
        <f>SUMIFS('База практик'!$BN$5:$BN$311,'База практик'!$E$5:$E$311,Расчеты!BI$1)</f>
        <v>1</v>
      </c>
      <c r="BJ106">
        <f>SUMIFS('База практик'!$BN$5:$BN$311,'База практик'!$E$5:$E$311,Расчеты!BJ$1)</f>
        <v>24</v>
      </c>
      <c r="BK106">
        <f>SUMIFS('База практик'!$BN$5:$BN$311,'База практик'!$E$5:$E$311,Расчеты!BK$1)</f>
        <v>39</v>
      </c>
      <c r="BL106">
        <f>SUMIFS('База практик'!$BN$5:$BN$311,'База практик'!$E$5:$E$311,Расчеты!BL$1)</f>
        <v>19</v>
      </c>
      <c r="BM106">
        <f>SUMIFS('База практик'!$BN$5:$BN$311,'База практик'!$E$5:$E$311,Расчеты!BM$1)</f>
        <v>0</v>
      </c>
      <c r="BN106">
        <f>SUMIFS('База практик'!$BN$5:$BN$311,'База практик'!$E$5:$E$311,Расчеты!BN$1)</f>
        <v>11</v>
      </c>
      <c r="BO106">
        <f>SUMIFS('База практик'!$BN$5:$BN$311,'База практик'!$E$5:$E$311,Расчеты!BO$1)</f>
        <v>17</v>
      </c>
      <c r="BP106">
        <f>SUMIFS('База практик'!$BN$5:$BN$311,'База практик'!$E$5:$E$311,Расчеты!BP$1)</f>
        <v>2</v>
      </c>
      <c r="BQ106">
        <f>SUMIFS('База практик'!$BN$5:$BN$311,'База практик'!$E$5:$E$311,Расчеты!BQ$1)</f>
        <v>103</v>
      </c>
      <c r="BR106" s="388">
        <f>SUMIFS('База практик'!$BN$5:$BN$311,'База практик'!$E$5:$E$311,Расчеты!BR$1)</f>
        <v>0</v>
      </c>
      <c r="BS106">
        <f>SUMIFS('База практик'!$BN$5:$BN$311,'База практик'!$E$5:$E$311,Расчеты!BS$1)</f>
        <v>5</v>
      </c>
      <c r="BT106">
        <f>SUMIFS('База практик'!$BN$5:$BN$311,'База практик'!$E$5:$E$311,Расчеты!BT$1)</f>
        <v>26</v>
      </c>
      <c r="BU106">
        <f>SUMIFS('База практик'!$BN$5:$BN$311,'База практик'!$E$5:$E$311,Расчеты!BU$1)</f>
        <v>25</v>
      </c>
      <c r="BV106">
        <f>SUMIFS('База практик'!$BN$5:$BN$311,'База практик'!$E$5:$E$311,Расчеты!BV$1)</f>
        <v>35</v>
      </c>
      <c r="BW106">
        <f>SUMIFS('База практик'!$BN$5:$BN$311,'База практик'!$E$5:$E$311,Расчеты!BW$1)</f>
        <v>1</v>
      </c>
      <c r="BX106">
        <f>SUMIFS('База практик'!$BN$5:$BN$311,'База практик'!$E$5:$E$311,Расчеты!BX$1)</f>
        <v>9</v>
      </c>
      <c r="BY106">
        <f>SUMIFS('База практик'!$BN$5:$BN$311,'База практик'!$E$5:$E$311,Расчеты!BY$1)</f>
        <v>35</v>
      </c>
      <c r="BZ106">
        <f>SUMIFS('База практик'!$BN$5:$BN$311,'База практик'!$E$5:$E$311,Расчеты!BZ$1)</f>
        <v>18</v>
      </c>
      <c r="CA106">
        <f>SUMIFS('База практик'!$BN$5:$BN$311,'База практик'!$E$5:$E$311,Расчеты!CA$1)</f>
        <v>15</v>
      </c>
      <c r="CB106">
        <f>SUMIFS('База практик'!$BN$5:$BN$311,'База практик'!$E$5:$E$311,Расчеты!CB$1)</f>
        <v>5</v>
      </c>
      <c r="CC106" s="388">
        <f>SUMIFS('База практик'!$BN$5:$BN$311,'База практик'!$E$5:$E$311,Расчеты!CC$1)</f>
        <v>0</v>
      </c>
      <c r="CD106">
        <f>SUMIFS('База практик'!$BN$5:$BN$311,'База практик'!$E$5:$E$311,Расчеты!CD$1)</f>
        <v>2</v>
      </c>
      <c r="CE106">
        <f>SUMIFS('База практик'!$BN$5:$BN$311,'База практик'!$E$5:$E$311,Расчеты!CE$1)</f>
        <v>61</v>
      </c>
      <c r="CF106">
        <f>SUMIFS('База практик'!$BN$5:$BN$311,'База практик'!$E$5:$E$311,Расчеты!CF$1)</f>
        <v>12</v>
      </c>
      <c r="CG106">
        <f>SUMIFS('База практик'!$BN$5:$BN$311,'База практик'!$E$5:$E$311,Расчеты!CG$1)</f>
        <v>16</v>
      </c>
      <c r="CH106">
        <f>SUMIFS('База практик'!$BN$5:$BN$311,'База практик'!$E$5:$E$311,Расчеты!CH$1)</f>
        <v>26</v>
      </c>
      <c r="CI106">
        <f>SUMIFS('База практик'!$BN$5:$BN$311,'База практик'!$E$5:$E$311,Расчеты!CI$1)</f>
        <v>9</v>
      </c>
      <c r="CJ106">
        <f>SUMIFS('База практик'!$BN$5:$BN$311,'База практик'!$E$5:$E$311,Расчеты!CJ$1)</f>
        <v>1</v>
      </c>
      <c r="CK106" s="388">
        <f>SUMIFS('База практик'!$BN$5:$BN$311,'База практик'!$E$5:$E$311,Расчеты!CK$1)</f>
        <v>0</v>
      </c>
      <c r="CL106">
        <f>SUMIFS('База практик'!$BN$5:$BN$311,'База практик'!$E$5:$E$311,Расчеты!CL$1)</f>
        <v>2</v>
      </c>
      <c r="CM106">
        <f>SUMIFS('База практик'!$BN$5:$BN$311,'База практик'!$E$5:$E$311,Расчеты!CM$1)</f>
        <v>68</v>
      </c>
      <c r="CN106">
        <f>SUMIFS('База практик'!$BN$5:$BN$311,'База практик'!$E$5:$E$311,Расчеты!CN$1)</f>
        <v>21</v>
      </c>
      <c r="CO106">
        <f>SUMIFS('База практик'!$BN$5:$BN$311,'База практик'!$E$5:$E$311,Расчеты!CO$1)</f>
        <v>8</v>
      </c>
      <c r="CP106" s="388">
        <f>SUMIFS('База практик'!$BN$5:$BN$311,'База практик'!$E$5:$E$311,Расчеты!CP$1)</f>
        <v>0</v>
      </c>
      <c r="CQ106">
        <f>SUMIFS('База практик'!$BN$5:$BN$311,'База практик'!$E$5:$E$311,Расчеты!CQ$1)</f>
        <v>22</v>
      </c>
      <c r="CR106">
        <f>SUMIFS('База практик'!$BN$5:$BN$311,'База практик'!$E$5:$E$311,Расчеты!CR$1)</f>
        <v>54</v>
      </c>
      <c r="CS106" s="388">
        <f>SUMIFS('База практик'!$BN$5:$BN$311,'База практик'!$E$5:$E$311,Расчеты!CS$1)</f>
        <v>0</v>
      </c>
      <c r="CT106">
        <f>SUMIFS('База практик'!$BN$5:$BN$311,'База практик'!$E$5:$E$311,Расчеты!CT$1)</f>
        <v>0</v>
      </c>
      <c r="CU106">
        <f>SUMIFS('База практик'!$BN$5:$BN$311,'База практик'!$E$5:$E$311,Расчеты!CU$1)</f>
        <v>5</v>
      </c>
      <c r="CV106">
        <f>SUMIFS('База практик'!$BN$5:$BN$311,'База практик'!$E$5:$E$311,Расчеты!CV$1)</f>
        <v>17</v>
      </c>
      <c r="CW106">
        <f>SUMIFS('База практик'!$BN$5:$BN$311,'База практик'!$E$5:$E$311,Расчеты!CW$1)</f>
        <v>15</v>
      </c>
    </row>
    <row r="107" spans="1:101" x14ac:dyDescent="0.25">
      <c r="A107" s="1660"/>
      <c r="B107" s="1660"/>
      <c r="C107" s="1671"/>
      <c r="D107" s="115" t="s">
        <v>4831</v>
      </c>
      <c r="E107" s="115">
        <v>67</v>
      </c>
      <c r="F107" s="116" t="s">
        <v>5080</v>
      </c>
      <c r="G107" s="1640"/>
      <c r="H107" s="183" t="s">
        <v>52</v>
      </c>
      <c r="I107" s="184"/>
      <c r="J107" s="171"/>
      <c r="K107" s="171"/>
      <c r="L107" s="171"/>
      <c r="M107" s="171">
        <v>4.5979174507590016E-2</v>
      </c>
      <c r="N107" s="171">
        <v>5.3396256429291057E-2</v>
      </c>
      <c r="O107" s="206">
        <v>6.6526257955221824E-2</v>
      </c>
    </row>
    <row r="108" spans="1:101" ht="25.5" x14ac:dyDescent="0.25">
      <c r="A108" s="1660"/>
      <c r="B108" s="1660"/>
      <c r="C108" s="1671"/>
      <c r="D108" s="115" t="s">
        <v>4831</v>
      </c>
      <c r="E108" s="115">
        <v>89</v>
      </c>
      <c r="F108" s="118" t="s">
        <v>5081</v>
      </c>
      <c r="G108" s="1640" t="s">
        <v>5082</v>
      </c>
      <c r="H108" s="183" t="s">
        <v>5056</v>
      </c>
      <c r="I108" s="184"/>
      <c r="J108" s="171"/>
      <c r="K108" s="171"/>
      <c r="L108" s="171"/>
      <c r="M108" s="171" t="s">
        <v>4844</v>
      </c>
      <c r="N108" s="171">
        <v>1578</v>
      </c>
      <c r="O108" s="172">
        <v>2440</v>
      </c>
      <c r="P108">
        <f t="shared" si="174"/>
        <v>2490</v>
      </c>
      <c r="Q108">
        <f>SUMIFS('База практик'!$BO$5:$BO$311,'База практик'!$E$5:$E$311,Расчеты!Q$1)</f>
        <v>0</v>
      </c>
      <c r="R108">
        <f>SUMIFS('База практик'!$BO$5:$BO$311,'База практик'!$E$5:$E$311,Расчеты!R$1)</f>
        <v>5</v>
      </c>
      <c r="S108">
        <f>SUMIFS('База практик'!$BO$5:$BO$311,'База практик'!$E$5:$E$311,Расчеты!S$1)</f>
        <v>0</v>
      </c>
      <c r="T108">
        <f>SUMIFS('База практик'!$BO$5:$BO$311,'База практик'!$E$5:$E$311,Расчеты!T$1)</f>
        <v>0</v>
      </c>
      <c r="U108">
        <f>SUMIFS('База практик'!$BO$5:$BO$311,'База практик'!$E$5:$E$311,Расчеты!U$1)</f>
        <v>0</v>
      </c>
      <c r="V108">
        <f>SUMIFS('База практик'!$BO$5:$BO$311,'База практик'!$E$5:$E$311,Расчеты!V$1)</f>
        <v>0</v>
      </c>
      <c r="W108">
        <f>SUMIFS('База практик'!$BO$5:$BO$311,'База практик'!$E$5:$E$311,Расчеты!W$1)</f>
        <v>394</v>
      </c>
      <c r="X108" s="388">
        <f>SUMIFS('База практик'!$BO$5:$BO$311,'База практик'!$E$5:$E$311,Расчеты!X$1)</f>
        <v>0</v>
      </c>
      <c r="Y108">
        <f>SUMIFS('База практик'!$BO$5:$BO$311,'База практик'!$E$5:$E$311,Расчеты!Y$1)</f>
        <v>0</v>
      </c>
      <c r="Z108">
        <f>SUMIFS('База практик'!$BO$5:$BO$311,'База практик'!$E$5:$E$311,Расчеты!Z$1)</f>
        <v>531</v>
      </c>
      <c r="AA108">
        <f>SUMIFS('База практик'!$BO$5:$BO$311,'База практик'!$E$5:$E$311,Расчеты!AA$1)</f>
        <v>125</v>
      </c>
      <c r="AB108">
        <f>SUMIFS('База практик'!$BO$5:$BO$311,'База практик'!$E$5:$E$311,Расчеты!AB$1)</f>
        <v>0</v>
      </c>
      <c r="AC108">
        <f>SUMIFS('База практик'!$BO$5:$BO$311,'База практик'!$E$5:$E$311,Расчеты!AC$1)</f>
        <v>0</v>
      </c>
      <c r="AD108">
        <f>SUMIFS('База практик'!$BO$5:$BO$311,'База практик'!$E$5:$E$311,Расчеты!AD$1)</f>
        <v>0</v>
      </c>
      <c r="AE108">
        <f>SUMIFS('База практик'!$BO$5:$BO$311,'База практик'!$E$5:$E$311,Расчеты!AE$1)</f>
        <v>96</v>
      </c>
      <c r="AF108" s="388">
        <f>SUMIFS('База практик'!$BO$5:$BO$311,'База практик'!$E$5:$E$311,Расчеты!AF$1)</f>
        <v>0</v>
      </c>
      <c r="AG108">
        <f>SUMIFS('База практик'!$BO$5:$BO$311,'База практик'!$E$5:$E$311,Расчеты!AG$1)</f>
        <v>0</v>
      </c>
      <c r="AH108">
        <f>SUMIFS('База практик'!$BO$5:$BO$311,'База практик'!$E$5:$E$311,Расчеты!AH$1)</f>
        <v>11</v>
      </c>
      <c r="AI108">
        <f>SUMIFS('База практик'!$BO$5:$BO$311,'База практик'!$E$5:$E$311,Расчеты!AI$1)</f>
        <v>3</v>
      </c>
      <c r="AJ108">
        <f>SUMIFS('База практик'!$BO$5:$BO$311,'База практик'!$E$5:$E$311,Расчеты!AJ$1)</f>
        <v>0</v>
      </c>
      <c r="AK108">
        <f>SUMIFS('База практик'!$BO$5:$BO$311,'База практик'!$E$5:$E$311,Расчеты!AK$1)</f>
        <v>25</v>
      </c>
      <c r="AL108">
        <f>SUMIFS('База практик'!$BO$5:$BO$311,'База практик'!$E$5:$E$311,Расчеты!AL$1)</f>
        <v>67</v>
      </c>
      <c r="AM108">
        <f>SUMIFS('База практик'!$BO$5:$BO$311,'База практик'!$E$5:$E$311,Расчеты!AM$1)</f>
        <v>0</v>
      </c>
      <c r="AN108">
        <f>SUMIFS('База практик'!$BO$5:$BO$311,'База практик'!$E$5:$E$311,Расчеты!AN$1)</f>
        <v>4</v>
      </c>
      <c r="AO108" s="388">
        <f>SUMIFS('База практик'!$BO$5:$BO$311,'База практик'!$E$5:$E$311,Расчеты!AO$1)</f>
        <v>0</v>
      </c>
      <c r="AP108" s="388">
        <f>SUMIFS('База практик'!$BO$5:$BO$311,'База практик'!$E$5:$E$311,Расчеты!AP$1)</f>
        <v>0</v>
      </c>
      <c r="AQ108">
        <f>SUMIFS('База практик'!$BO$5:$BO$311,'База практик'!$E$5:$E$311,Расчеты!AQ$1)</f>
        <v>0</v>
      </c>
      <c r="AR108">
        <f>SUMIFS('База практик'!$BO$5:$BO$311,'База практик'!$E$5:$E$311,Расчеты!AR$1)</f>
        <v>0</v>
      </c>
      <c r="AS108">
        <f>SUMIFS('База практик'!$BO$5:$BO$311,'База практик'!$E$5:$E$311,Расчеты!AS$1)</f>
        <v>0</v>
      </c>
      <c r="AT108">
        <f>SUMIFS('База практик'!$BO$5:$BO$311,'База практик'!$E$5:$E$311,Расчеты!AT$1)</f>
        <v>0</v>
      </c>
      <c r="AU108">
        <f>SUMIFS('База практик'!$BO$5:$BO$311,'База практик'!$E$5:$E$311,Расчеты!AU$1)</f>
        <v>128</v>
      </c>
      <c r="AV108">
        <f>SUMIFS('База практик'!$BO$5:$BO$311,'База практик'!$E$5:$E$311,Расчеты!AV$1)</f>
        <v>30</v>
      </c>
      <c r="AW108">
        <f>SUMIFS('База практик'!$BO$5:$BO$311,'База практик'!$E$5:$E$311,Расчеты!AW$1)</f>
        <v>1</v>
      </c>
      <c r="AX108">
        <f>SUMIFS('База практик'!$BO$5:$BO$311,'База практик'!$E$5:$E$311,Расчеты!AX$1)</f>
        <v>105</v>
      </c>
      <c r="AY108">
        <f>SUMIFS('База практик'!$BO$5:$BO$311,'База практик'!$E$5:$E$311,Расчеты!AY$1)</f>
        <v>0</v>
      </c>
      <c r="AZ108">
        <f>SUMIFS('База практик'!$BO$5:$BO$311,'База практик'!$E$5:$E$311,Расчеты!AZ$1)</f>
        <v>0</v>
      </c>
      <c r="BA108">
        <f>SUMIFS('База практик'!$BO$5:$BO$311,'База практик'!$E$5:$E$311,Расчеты!BA$1)</f>
        <v>28</v>
      </c>
      <c r="BB108">
        <f>SUMIFS('База практик'!$BO$5:$BO$311,'База практик'!$E$5:$E$311,Расчеты!BB$1)</f>
        <v>19</v>
      </c>
      <c r="BC108" s="388">
        <f>SUMIFS('База практик'!$BO$5:$BO$311,'База практик'!$E$5:$E$311,Расчеты!BC$1)</f>
        <v>0</v>
      </c>
      <c r="BD108">
        <f>SUMIFS('База практик'!$BO$5:$BO$311,'База практик'!$E$5:$E$311,Расчеты!BD$1)</f>
        <v>5</v>
      </c>
      <c r="BE108" s="388">
        <f>SUMIFS('База практик'!$BO$5:$BO$311,'База практик'!$E$5:$E$311,Расчеты!BE$1)</f>
        <v>0</v>
      </c>
      <c r="BF108" s="388">
        <f>SUMIFS('База практик'!$BO$5:$BO$311,'База практик'!$E$5:$E$311,Расчеты!BF$1)</f>
        <v>0</v>
      </c>
      <c r="BG108">
        <f>SUMIFS('База практик'!$BO$5:$BO$311,'База практик'!$E$5:$E$311,Расчеты!BG$1)</f>
        <v>0</v>
      </c>
      <c r="BH108">
        <f>SUMIFS('База практик'!$BO$5:$BO$311,'База практик'!$E$5:$E$311,Расчеты!BH$1)</f>
        <v>0</v>
      </c>
      <c r="BI108">
        <f>SUMIFS('База практик'!$BO$5:$BO$311,'База практик'!$E$5:$E$311,Расчеты!BI$1)</f>
        <v>1</v>
      </c>
      <c r="BJ108">
        <f>SUMIFS('База практик'!$BO$5:$BO$311,'База практик'!$E$5:$E$311,Расчеты!BJ$1)</f>
        <v>7</v>
      </c>
      <c r="BK108">
        <f>SUMIFS('База практик'!$BO$5:$BO$311,'База практик'!$E$5:$E$311,Расчеты!BK$1)</f>
        <v>102</v>
      </c>
      <c r="BL108">
        <f>SUMIFS('База практик'!$BO$5:$BO$311,'База практик'!$E$5:$E$311,Расчеты!BL$1)</f>
        <v>0</v>
      </c>
      <c r="BM108">
        <f>SUMIFS('База практик'!$BO$5:$BO$311,'База практик'!$E$5:$E$311,Расчеты!BM$1)</f>
        <v>0</v>
      </c>
      <c r="BN108">
        <f>SUMIFS('База практик'!$BO$5:$BO$311,'База практик'!$E$5:$E$311,Расчеты!BN$1)</f>
        <v>4</v>
      </c>
      <c r="BO108">
        <f>SUMIFS('База практик'!$BO$5:$BO$311,'База практик'!$E$5:$E$311,Расчеты!BO$1)</f>
        <v>176</v>
      </c>
      <c r="BP108">
        <f>SUMIFS('База практик'!$BO$5:$BO$311,'База практик'!$E$5:$E$311,Расчеты!BP$1)</f>
        <v>7</v>
      </c>
      <c r="BQ108">
        <f>SUMIFS('База практик'!$BO$5:$BO$311,'База практик'!$E$5:$E$311,Расчеты!BQ$1)</f>
        <v>0</v>
      </c>
      <c r="BR108" s="388">
        <f>SUMIFS('База практик'!$BO$5:$BO$311,'База практик'!$E$5:$E$311,Расчеты!BR$1)</f>
        <v>0</v>
      </c>
      <c r="BS108">
        <f>SUMIFS('База практик'!$BO$5:$BO$311,'База практик'!$E$5:$E$311,Расчеты!BS$1)</f>
        <v>8</v>
      </c>
      <c r="BT108">
        <f>SUMIFS('База практик'!$BO$5:$BO$311,'База практик'!$E$5:$E$311,Расчеты!BT$1)</f>
        <v>31</v>
      </c>
      <c r="BU108">
        <f>SUMIFS('База практик'!$BO$5:$BO$311,'База практик'!$E$5:$E$311,Расчеты!BU$1)</f>
        <v>1</v>
      </c>
      <c r="BV108">
        <f>SUMIFS('База практик'!$BO$5:$BO$311,'База практик'!$E$5:$E$311,Расчеты!BV$1)</f>
        <v>26</v>
      </c>
      <c r="BW108">
        <f>SUMIFS('База практик'!$BO$5:$BO$311,'База практик'!$E$5:$E$311,Расчеты!BW$1)</f>
        <v>0</v>
      </c>
      <c r="BX108">
        <f>SUMIFS('База практик'!$BO$5:$BO$311,'База практик'!$E$5:$E$311,Расчеты!BX$1)</f>
        <v>0</v>
      </c>
      <c r="BY108">
        <f>SUMIFS('База практик'!$BO$5:$BO$311,'База практик'!$E$5:$E$311,Расчеты!BY$1)</f>
        <v>95</v>
      </c>
      <c r="BZ108">
        <f>SUMIFS('База практик'!$BO$5:$BO$311,'База практик'!$E$5:$E$311,Расчеты!BZ$1)</f>
        <v>0</v>
      </c>
      <c r="CA108">
        <f>SUMIFS('База практик'!$BO$5:$BO$311,'База практик'!$E$5:$E$311,Расчеты!CA$1)</f>
        <v>48</v>
      </c>
      <c r="CB108">
        <f>SUMIFS('База практик'!$BO$5:$BO$311,'База практик'!$E$5:$E$311,Расчеты!CB$1)</f>
        <v>25</v>
      </c>
      <c r="CC108" s="388">
        <f>SUMIFS('База практик'!$BO$5:$BO$311,'База практик'!$E$5:$E$311,Расчеты!CC$1)</f>
        <v>0</v>
      </c>
      <c r="CD108">
        <f>SUMIFS('База практик'!$BO$5:$BO$311,'База практик'!$E$5:$E$311,Расчеты!CD$1)</f>
        <v>1</v>
      </c>
      <c r="CE108">
        <f>SUMIFS('База практик'!$BO$5:$BO$311,'База практик'!$E$5:$E$311,Расчеты!CE$1)</f>
        <v>0</v>
      </c>
      <c r="CF108">
        <f>SUMIFS('База практик'!$BO$5:$BO$311,'База практик'!$E$5:$E$311,Расчеты!CF$1)</f>
        <v>185</v>
      </c>
      <c r="CG108">
        <f>SUMIFS('База практик'!$BO$5:$BO$311,'База практик'!$E$5:$E$311,Расчеты!CG$1)</f>
        <v>3</v>
      </c>
      <c r="CH108">
        <f>SUMIFS('База практик'!$BO$5:$BO$311,'База практик'!$E$5:$E$311,Расчеты!CH$1)</f>
        <v>0</v>
      </c>
      <c r="CI108">
        <f>SUMIFS('База практик'!$BO$5:$BO$311,'База практик'!$E$5:$E$311,Расчеты!CI$1)</f>
        <v>0</v>
      </c>
      <c r="CJ108">
        <f>SUMIFS('База практик'!$BO$5:$BO$311,'База практик'!$E$5:$E$311,Расчеты!CJ$1)</f>
        <v>10</v>
      </c>
      <c r="CK108" s="388">
        <f>SUMIFS('База практик'!$BO$5:$BO$311,'База практик'!$E$5:$E$311,Расчеты!CK$1)</f>
        <v>0</v>
      </c>
      <c r="CL108">
        <f>SUMIFS('База практик'!$BO$5:$BO$311,'База практик'!$E$5:$E$311,Расчеты!CL$1)</f>
        <v>32</v>
      </c>
      <c r="CM108">
        <f>SUMIFS('База практик'!$BO$5:$BO$311,'База практик'!$E$5:$E$311,Расчеты!CM$1)</f>
        <v>0</v>
      </c>
      <c r="CN108">
        <f>SUMIFS('База практик'!$BO$5:$BO$311,'База практик'!$E$5:$E$311,Расчеты!CN$1)</f>
        <v>8</v>
      </c>
      <c r="CO108">
        <f>SUMIFS('База практик'!$BO$5:$BO$311,'База практик'!$E$5:$E$311,Расчеты!CO$1)</f>
        <v>21</v>
      </c>
      <c r="CP108" s="388">
        <f>SUMIFS('База практик'!$BO$5:$BO$311,'База практик'!$E$5:$E$311,Расчеты!CP$1)</f>
        <v>0</v>
      </c>
      <c r="CQ108">
        <f>SUMIFS('База практик'!$BO$5:$BO$311,'База практик'!$E$5:$E$311,Расчеты!CQ$1)</f>
        <v>10</v>
      </c>
      <c r="CR108">
        <f>SUMIFS('База практик'!$BO$5:$BO$311,'База практик'!$E$5:$E$311,Расчеты!CR$1)</f>
        <v>0</v>
      </c>
      <c r="CS108" s="388">
        <f>SUMIFS('База практик'!$BO$5:$BO$311,'База практик'!$E$5:$E$311,Расчеты!CS$1)</f>
        <v>0</v>
      </c>
      <c r="CT108">
        <f>SUMIFS('База практик'!$BO$5:$BO$311,'База практик'!$E$5:$E$311,Расчеты!CT$1)</f>
        <v>0</v>
      </c>
      <c r="CU108">
        <f>SUMIFS('База практик'!$BO$5:$BO$311,'База практик'!$E$5:$E$311,Расчеты!CU$1)</f>
        <v>0</v>
      </c>
      <c r="CV108">
        <f>SUMIFS('База практик'!$BO$5:$BO$311,'База практик'!$E$5:$E$311,Расчеты!CV$1)</f>
        <v>0</v>
      </c>
      <c r="CW108">
        <f>SUMIFS('База практик'!$BO$5:$BO$311,'База практик'!$E$5:$E$311,Расчеты!CW$1)</f>
        <v>112</v>
      </c>
    </row>
    <row r="109" spans="1:101" x14ac:dyDescent="0.25">
      <c r="A109" s="1660"/>
      <c r="B109" s="1660"/>
      <c r="C109" s="1671"/>
      <c r="D109" s="115" t="s">
        <v>4831</v>
      </c>
      <c r="E109" s="115">
        <v>90</v>
      </c>
      <c r="F109" s="118" t="s">
        <v>5083</v>
      </c>
      <c r="G109" s="1640"/>
      <c r="H109" s="183" t="s">
        <v>52</v>
      </c>
      <c r="I109" s="184"/>
      <c r="J109" s="171"/>
      <c r="K109" s="171"/>
      <c r="L109" s="171" t="s">
        <v>500</v>
      </c>
      <c r="M109" s="171" t="s">
        <v>4844</v>
      </c>
      <c r="N109" s="171">
        <v>8.367357760220584E-2</v>
      </c>
      <c r="O109" s="206">
        <v>0.11171649649741312</v>
      </c>
    </row>
    <row r="110" spans="1:101" ht="25.5" x14ac:dyDescent="0.25">
      <c r="A110" s="1660"/>
      <c r="B110" s="1660"/>
      <c r="C110" s="1671"/>
      <c r="D110" s="115" t="s">
        <v>4831</v>
      </c>
      <c r="E110" s="115">
        <v>68</v>
      </c>
      <c r="F110" s="116" t="s">
        <v>5084</v>
      </c>
      <c r="G110" s="1640" t="s">
        <v>5085</v>
      </c>
      <c r="H110" s="183" t="s">
        <v>5056</v>
      </c>
      <c r="I110" s="184"/>
      <c r="J110" s="171"/>
      <c r="K110" s="171"/>
      <c r="L110" s="171"/>
      <c r="M110" s="171">
        <v>1295</v>
      </c>
      <c r="N110" s="171">
        <v>1475</v>
      </c>
      <c r="O110" s="172">
        <v>1756</v>
      </c>
      <c r="P110">
        <f t="shared" si="174"/>
        <v>2116</v>
      </c>
      <c r="Q110">
        <f>SUMIFS('База практик'!$BP$5:$BP$311,'База практик'!$E$5:$E$311,Расчеты!Q$1)</f>
        <v>1</v>
      </c>
      <c r="R110">
        <f>SUMIFS('База практик'!$BP$5:$BP$311,'База практик'!$E$5:$E$311,Расчеты!R$1)</f>
        <v>21</v>
      </c>
      <c r="S110">
        <f>SUMIFS('База практик'!$BP$5:$BP$311,'База практик'!$E$5:$E$311,Расчеты!S$1)</f>
        <v>82</v>
      </c>
      <c r="T110">
        <f>SUMIFS('База практик'!$BP$5:$BP$311,'База практик'!$E$5:$E$311,Расчеты!T$1)</f>
        <v>18</v>
      </c>
      <c r="U110">
        <f>SUMIFS('База практик'!$BP$5:$BP$311,'База практик'!$E$5:$E$311,Расчеты!U$1)</f>
        <v>47</v>
      </c>
      <c r="V110">
        <f>SUMIFS('База практик'!$BP$5:$BP$311,'База практик'!$E$5:$E$311,Расчеты!V$1)</f>
        <v>3</v>
      </c>
      <c r="W110">
        <f>SUMIFS('База практик'!$BP$5:$BP$311,'База практик'!$E$5:$E$311,Расчеты!W$1)</f>
        <v>160</v>
      </c>
      <c r="X110" s="388">
        <f>SUMIFS('База практик'!$BP$5:$BP$311,'База практик'!$E$5:$E$311,Расчеты!X$1)</f>
        <v>0</v>
      </c>
      <c r="Y110">
        <f>SUMIFS('База практик'!$BP$5:$BP$311,'База практик'!$E$5:$E$311,Расчеты!Y$1)</f>
        <v>13</v>
      </c>
      <c r="Z110">
        <f>SUMIFS('База практик'!$BP$5:$BP$311,'База практик'!$E$5:$E$311,Расчеты!Z$1)</f>
        <v>129</v>
      </c>
      <c r="AA110">
        <f>SUMIFS('База практик'!$BP$5:$BP$311,'База практик'!$E$5:$E$311,Расчеты!AA$1)</f>
        <v>36</v>
      </c>
      <c r="AB110">
        <f>SUMIFS('База практик'!$BP$5:$BP$311,'База практик'!$E$5:$E$311,Расчеты!AB$1)</f>
        <v>10</v>
      </c>
      <c r="AC110">
        <f>SUMIFS('База практик'!$BP$5:$BP$311,'База практик'!$E$5:$E$311,Расчеты!AC$1)</f>
        <v>185</v>
      </c>
      <c r="AD110">
        <f>SUMIFS('База практик'!$BP$5:$BP$311,'База практик'!$E$5:$E$311,Расчеты!AD$1)</f>
        <v>76</v>
      </c>
      <c r="AE110">
        <f>SUMIFS('База практик'!$BP$5:$BP$311,'База практик'!$E$5:$E$311,Расчеты!AE$1)</f>
        <v>3</v>
      </c>
      <c r="AF110" s="388">
        <f>SUMIFS('База практик'!$BP$5:$BP$311,'База практик'!$E$5:$E$311,Расчеты!AF$1)</f>
        <v>0</v>
      </c>
      <c r="AG110">
        <f>SUMIFS('База практик'!$BP$5:$BP$311,'База практик'!$E$5:$E$311,Расчеты!AG$1)</f>
        <v>1</v>
      </c>
      <c r="AH110">
        <f>SUMIFS('База практик'!$BP$5:$BP$311,'База практик'!$E$5:$E$311,Расчеты!AH$1)</f>
        <v>73</v>
      </c>
      <c r="AI110">
        <f>SUMIFS('База практик'!$BP$5:$BP$311,'База практик'!$E$5:$E$311,Расчеты!AI$1)</f>
        <v>1</v>
      </c>
      <c r="AJ110">
        <f>SUMIFS('База практик'!$BP$5:$BP$311,'База практик'!$E$5:$E$311,Расчеты!AJ$1)</f>
        <v>146</v>
      </c>
      <c r="AK110">
        <f>SUMIFS('База практик'!$BP$5:$BP$311,'База практик'!$E$5:$E$311,Расчеты!AK$1)</f>
        <v>0</v>
      </c>
      <c r="AL110">
        <f>SUMIFS('База практик'!$BP$5:$BP$311,'База практик'!$E$5:$E$311,Расчеты!AL$1)</f>
        <v>29</v>
      </c>
      <c r="AM110">
        <f>SUMIFS('База практик'!$BP$5:$BP$311,'База практик'!$E$5:$E$311,Расчеты!AM$1)</f>
        <v>7</v>
      </c>
      <c r="AN110">
        <f>SUMIFS('База практик'!$BP$5:$BP$311,'База практик'!$E$5:$E$311,Расчеты!AN$1)</f>
        <v>15</v>
      </c>
      <c r="AO110" s="388">
        <f>SUMIFS('База практик'!$BP$5:$BP$311,'База практик'!$E$5:$E$311,Расчеты!AO$1)</f>
        <v>0</v>
      </c>
      <c r="AP110" s="388">
        <f>SUMIFS('База практик'!$BP$5:$BP$311,'База практик'!$E$5:$E$311,Расчеты!AP$1)</f>
        <v>0</v>
      </c>
      <c r="AQ110">
        <f>SUMIFS('База практик'!$BP$5:$BP$311,'База практик'!$E$5:$E$311,Расчеты!AQ$1)</f>
        <v>18</v>
      </c>
      <c r="AR110">
        <f>SUMIFS('База практик'!$BP$5:$BP$311,'База практик'!$E$5:$E$311,Расчеты!AR$1)</f>
        <v>22</v>
      </c>
      <c r="AS110">
        <f>SUMIFS('База практик'!$BP$5:$BP$311,'База практик'!$E$5:$E$311,Расчеты!AS$1)</f>
        <v>1</v>
      </c>
      <c r="AT110">
        <f>SUMIFS('База практик'!$BP$5:$BP$311,'База практик'!$E$5:$E$311,Расчеты!AT$1)</f>
        <v>8</v>
      </c>
      <c r="AU110">
        <f>SUMIFS('База практик'!$BP$5:$BP$311,'База практик'!$E$5:$E$311,Расчеты!AU$1)</f>
        <v>16</v>
      </c>
      <c r="AV110">
        <f>SUMIFS('База практик'!$BP$5:$BP$311,'База практик'!$E$5:$E$311,Расчеты!AV$1)</f>
        <v>35</v>
      </c>
      <c r="AW110">
        <f>SUMIFS('База практик'!$BP$5:$BP$311,'База практик'!$E$5:$E$311,Расчеты!AW$1)</f>
        <v>34</v>
      </c>
      <c r="AX110">
        <f>SUMIFS('База практик'!$BP$5:$BP$311,'База практик'!$E$5:$E$311,Расчеты!AX$1)</f>
        <v>40</v>
      </c>
      <c r="AY110">
        <f>SUMIFS('База практик'!$BP$5:$BP$311,'База практик'!$E$5:$E$311,Расчеты!AY$1)</f>
        <v>25</v>
      </c>
      <c r="AZ110">
        <f>SUMIFS('База практик'!$BP$5:$BP$311,'База практик'!$E$5:$E$311,Расчеты!AZ$1)</f>
        <v>0</v>
      </c>
      <c r="BA110">
        <f>SUMIFS('База практик'!$BP$5:$BP$311,'База практик'!$E$5:$E$311,Расчеты!BA$1)</f>
        <v>59</v>
      </c>
      <c r="BB110">
        <f>SUMIFS('База практик'!$BP$5:$BP$311,'База практик'!$E$5:$E$311,Расчеты!BB$1)</f>
        <v>24</v>
      </c>
      <c r="BC110" s="388">
        <f>SUMIFS('База практик'!$BP$5:$BP$311,'База практик'!$E$5:$E$311,Расчеты!BC$1)</f>
        <v>0</v>
      </c>
      <c r="BD110">
        <f>SUMIFS('База практик'!$BP$5:$BP$311,'База практик'!$E$5:$E$311,Расчеты!BD$1)</f>
        <v>12</v>
      </c>
      <c r="BE110" s="388">
        <f>SUMIFS('База практик'!$BP$5:$BP$311,'База практик'!$E$5:$E$311,Расчеты!BE$1)</f>
        <v>0</v>
      </c>
      <c r="BF110" s="388">
        <f>SUMIFS('База практик'!$BP$5:$BP$311,'База практик'!$E$5:$E$311,Расчеты!BF$1)</f>
        <v>0</v>
      </c>
      <c r="BG110">
        <f>SUMIFS('База практик'!$BP$5:$BP$311,'База практик'!$E$5:$E$311,Расчеты!BG$1)</f>
        <v>0</v>
      </c>
      <c r="BH110">
        <f>SUMIFS('База практик'!$BP$5:$BP$311,'База практик'!$E$5:$E$311,Расчеты!BH$1)</f>
        <v>3</v>
      </c>
      <c r="BI110">
        <f>SUMIFS('База практик'!$BP$5:$BP$311,'База практик'!$E$5:$E$311,Расчеты!BI$1)</f>
        <v>2</v>
      </c>
      <c r="BJ110">
        <f>SUMIFS('База практик'!$BP$5:$BP$311,'База практик'!$E$5:$E$311,Расчеты!BJ$1)</f>
        <v>44</v>
      </c>
      <c r="BK110">
        <f>SUMIFS('База практик'!$BP$5:$BP$311,'База практик'!$E$5:$E$311,Расчеты!BK$1)</f>
        <v>43</v>
      </c>
      <c r="BL110">
        <f>SUMIFS('База практик'!$BP$5:$BP$311,'База практик'!$E$5:$E$311,Расчеты!BL$1)</f>
        <v>16</v>
      </c>
      <c r="BM110">
        <f>SUMIFS('База практик'!$BP$5:$BP$311,'База практик'!$E$5:$E$311,Расчеты!BM$1)</f>
        <v>1</v>
      </c>
      <c r="BN110">
        <f>SUMIFS('База практик'!$BP$5:$BP$311,'База практик'!$E$5:$E$311,Расчеты!BN$1)</f>
        <v>21</v>
      </c>
      <c r="BO110">
        <f>SUMIFS('База практик'!$BP$5:$BP$311,'База практик'!$E$5:$E$311,Расчеты!BO$1)</f>
        <v>10</v>
      </c>
      <c r="BP110">
        <f>SUMIFS('База практик'!$BP$5:$BP$311,'База практик'!$E$5:$E$311,Расчеты!BP$1)</f>
        <v>2</v>
      </c>
      <c r="BQ110">
        <f>SUMIFS('База практик'!$BP$5:$BP$311,'База практик'!$E$5:$E$311,Расчеты!BQ$1)</f>
        <v>0</v>
      </c>
      <c r="BR110" s="388">
        <f>SUMIFS('База практик'!$BP$5:$BP$311,'База практик'!$E$5:$E$311,Расчеты!BR$1)</f>
        <v>0</v>
      </c>
      <c r="BS110">
        <f>SUMIFS('База практик'!$BP$5:$BP$311,'База практик'!$E$5:$E$311,Расчеты!BS$1)</f>
        <v>22</v>
      </c>
      <c r="BT110">
        <f>SUMIFS('База практик'!$BP$5:$BP$311,'База практик'!$E$5:$E$311,Расчеты!BT$1)</f>
        <v>20</v>
      </c>
      <c r="BU110">
        <f>SUMIFS('База практик'!$BP$5:$BP$311,'База практик'!$E$5:$E$311,Расчеты!BU$1)</f>
        <v>26</v>
      </c>
      <c r="BV110">
        <f>SUMIFS('База практик'!$BP$5:$BP$311,'База практик'!$E$5:$E$311,Расчеты!BV$1)</f>
        <v>111</v>
      </c>
      <c r="BW110">
        <f>SUMIFS('База практик'!$BP$5:$BP$311,'База практик'!$E$5:$E$311,Расчеты!BW$1)</f>
        <v>1</v>
      </c>
      <c r="BX110">
        <f>SUMIFS('База практик'!$BP$5:$BP$311,'База практик'!$E$5:$E$311,Расчеты!BX$1)</f>
        <v>12</v>
      </c>
      <c r="BY110">
        <f>SUMIFS('База практик'!$BP$5:$BP$311,'База практик'!$E$5:$E$311,Расчеты!BY$1)</f>
        <v>12</v>
      </c>
      <c r="BZ110">
        <f>SUMIFS('База практик'!$BP$5:$BP$311,'База практик'!$E$5:$E$311,Расчеты!BZ$1)</f>
        <v>9</v>
      </c>
      <c r="CA110">
        <f>SUMIFS('База практик'!$BP$5:$BP$311,'База практик'!$E$5:$E$311,Расчеты!CA$1)</f>
        <v>6</v>
      </c>
      <c r="CB110">
        <f>SUMIFS('База практик'!$BP$5:$BP$311,'База практик'!$E$5:$E$311,Расчеты!CB$1)</f>
        <v>9</v>
      </c>
      <c r="CC110" s="388">
        <f>SUMIFS('База практик'!$BP$5:$BP$311,'База практик'!$E$5:$E$311,Расчеты!CC$1)</f>
        <v>0</v>
      </c>
      <c r="CD110">
        <f>SUMIFS('База практик'!$BP$5:$BP$311,'База практик'!$E$5:$E$311,Расчеты!CD$1)</f>
        <v>4</v>
      </c>
      <c r="CE110">
        <f>SUMIFS('База практик'!$BP$5:$BP$311,'База практик'!$E$5:$E$311,Расчеты!CE$1)</f>
        <v>1</v>
      </c>
      <c r="CF110">
        <f>SUMIFS('База практик'!$BP$5:$BP$311,'База практик'!$E$5:$E$311,Расчеты!CF$1)</f>
        <v>30</v>
      </c>
      <c r="CG110">
        <f>SUMIFS('База практик'!$BP$5:$BP$311,'База практик'!$E$5:$E$311,Расчеты!CG$1)</f>
        <v>1</v>
      </c>
      <c r="CH110">
        <f>SUMIFS('База практик'!$BP$5:$BP$311,'База практик'!$E$5:$E$311,Расчеты!CH$1)</f>
        <v>26</v>
      </c>
      <c r="CI110">
        <f>SUMIFS('База практик'!$BP$5:$BP$311,'База практик'!$E$5:$E$311,Расчеты!CI$1)</f>
        <v>21</v>
      </c>
      <c r="CJ110">
        <f>SUMIFS('База практик'!$BP$5:$BP$311,'База практик'!$E$5:$E$311,Расчеты!CJ$1)</f>
        <v>17</v>
      </c>
      <c r="CK110" s="388">
        <f>SUMIFS('База практик'!$BP$5:$BP$311,'База практик'!$E$5:$E$311,Расчеты!CK$1)</f>
        <v>0</v>
      </c>
      <c r="CL110">
        <f>SUMIFS('База практик'!$BP$5:$BP$311,'База практик'!$E$5:$E$311,Расчеты!CL$1)</f>
        <v>36</v>
      </c>
      <c r="CM110">
        <f>SUMIFS('База практик'!$BP$5:$BP$311,'База практик'!$E$5:$E$311,Расчеты!CM$1)</f>
        <v>44</v>
      </c>
      <c r="CN110">
        <f>SUMIFS('База практик'!$BP$5:$BP$311,'База практик'!$E$5:$E$311,Расчеты!CN$1)</f>
        <v>19</v>
      </c>
      <c r="CO110">
        <f>SUMIFS('База практик'!$BP$5:$BP$311,'База практик'!$E$5:$E$311,Расчеты!CO$1)</f>
        <v>86</v>
      </c>
      <c r="CP110" s="388">
        <f>SUMIFS('База практик'!$BP$5:$BP$311,'База практик'!$E$5:$E$311,Расчеты!CP$1)</f>
        <v>0</v>
      </c>
      <c r="CQ110">
        <f>SUMIFS('База практик'!$BP$5:$BP$311,'База практик'!$E$5:$E$311,Расчеты!CQ$1)</f>
        <v>24</v>
      </c>
      <c r="CR110">
        <f>SUMIFS('База практик'!$BP$5:$BP$311,'База практик'!$E$5:$E$311,Расчеты!CR$1)</f>
        <v>0</v>
      </c>
      <c r="CS110" s="388">
        <f>SUMIFS('База практик'!$BP$5:$BP$311,'База практик'!$E$5:$E$311,Расчеты!CS$1)</f>
        <v>0</v>
      </c>
      <c r="CT110">
        <f>SUMIFS('База практик'!$BP$5:$BP$311,'База практик'!$E$5:$E$311,Расчеты!CT$1)</f>
        <v>65</v>
      </c>
      <c r="CU110">
        <f>SUMIFS('База практик'!$BP$5:$BP$311,'База практик'!$E$5:$E$311,Расчеты!CU$1)</f>
        <v>3</v>
      </c>
      <c r="CV110">
        <f>SUMIFS('База практик'!$BP$5:$BP$311,'База практик'!$E$5:$E$311,Расчеты!CV$1)</f>
        <v>6</v>
      </c>
      <c r="CW110">
        <f>SUMIFS('База практик'!$BP$5:$BP$311,'База практик'!$E$5:$E$311,Расчеты!CW$1)</f>
        <v>13</v>
      </c>
    </row>
    <row r="111" spans="1:101" x14ac:dyDescent="0.25">
      <c r="A111" s="1660"/>
      <c r="B111" s="1660"/>
      <c r="C111" s="1671"/>
      <c r="D111" s="115" t="s">
        <v>4831</v>
      </c>
      <c r="E111" s="115">
        <v>69</v>
      </c>
      <c r="F111" s="116" t="s">
        <v>5086</v>
      </c>
      <c r="G111" s="1640"/>
      <c r="H111" s="183" t="s">
        <v>52</v>
      </c>
      <c r="I111" s="184"/>
      <c r="J111" s="171"/>
      <c r="K111" s="171"/>
      <c r="L111" s="171" t="s">
        <v>500</v>
      </c>
      <c r="M111" s="171">
        <v>8.123196587630159E-2</v>
      </c>
      <c r="N111" s="171">
        <v>7.8211994273291272E-2</v>
      </c>
      <c r="O111" s="206">
        <v>8.0399249118630098E-2</v>
      </c>
    </row>
    <row r="112" spans="1:101" ht="25.5" x14ac:dyDescent="0.25">
      <c r="A112" s="1660"/>
      <c r="B112" s="1660"/>
      <c r="C112" s="1671"/>
      <c r="D112" s="115" t="s">
        <v>4831</v>
      </c>
      <c r="E112" s="115">
        <v>70</v>
      </c>
      <c r="F112" s="116" t="s">
        <v>5087</v>
      </c>
      <c r="G112" s="1640" t="s">
        <v>5088</v>
      </c>
      <c r="H112" s="183" t="s">
        <v>5056</v>
      </c>
      <c r="I112" s="184"/>
      <c r="J112" s="171"/>
      <c r="K112" s="171"/>
      <c r="L112" s="171"/>
      <c r="M112" s="171">
        <v>2854</v>
      </c>
      <c r="N112" s="171">
        <v>1779</v>
      </c>
      <c r="O112" s="172">
        <v>2336</v>
      </c>
      <c r="P112">
        <f t="shared" si="174"/>
        <v>3161</v>
      </c>
      <c r="Q112">
        <f>SUMIFS('База практик'!$BQ$5:$BQ$311,'База практик'!$E$5:$E$311,Расчеты!Q$1)</f>
        <v>0</v>
      </c>
      <c r="R112">
        <f>SUMIFS('База практик'!$BQ$5:$BQ$311,'База практик'!$E$5:$E$311,Расчеты!R$1)</f>
        <v>6</v>
      </c>
      <c r="S112">
        <f>SUMIFS('База практик'!$BQ$5:$BQ$311,'База практик'!$E$5:$E$311,Расчеты!S$1)</f>
        <v>13</v>
      </c>
      <c r="T112">
        <f>SUMIFS('База практик'!$BQ$5:$BQ$311,'База практик'!$E$5:$E$311,Расчеты!T$1)</f>
        <v>52</v>
      </c>
      <c r="U112">
        <f>SUMIFS('База практик'!$BQ$5:$BQ$311,'База практик'!$E$5:$E$311,Расчеты!U$1)</f>
        <v>82</v>
      </c>
      <c r="V112">
        <f>SUMIFS('База практик'!$BQ$5:$BQ$311,'База практик'!$E$5:$E$311,Расчеты!V$1)</f>
        <v>0</v>
      </c>
      <c r="W112">
        <f>SUMIFS('База практик'!$BQ$5:$BQ$311,'База практик'!$E$5:$E$311,Расчеты!W$1)</f>
        <v>88</v>
      </c>
      <c r="X112" s="388">
        <f>SUMIFS('База практик'!$BQ$5:$BQ$311,'База практик'!$E$5:$E$311,Расчеты!X$1)</f>
        <v>0</v>
      </c>
      <c r="Y112">
        <f>SUMIFS('База практик'!$BQ$5:$BQ$311,'База практик'!$E$5:$E$311,Расчеты!Y$1)</f>
        <v>13</v>
      </c>
      <c r="Z112">
        <f>SUMIFS('База практик'!$BQ$5:$BQ$311,'База практик'!$E$5:$E$311,Расчеты!Z$1)</f>
        <v>0</v>
      </c>
      <c r="AA112">
        <f>SUMIFS('База практик'!$BQ$5:$BQ$311,'База практик'!$E$5:$E$311,Расчеты!AA$1)</f>
        <v>113</v>
      </c>
      <c r="AB112">
        <f>SUMIFS('База практик'!$BQ$5:$BQ$311,'База практик'!$E$5:$E$311,Расчеты!AB$1)</f>
        <v>31</v>
      </c>
      <c r="AC112">
        <f>SUMIFS('База практик'!$BQ$5:$BQ$311,'База практик'!$E$5:$E$311,Расчеты!AC$1)</f>
        <v>99</v>
      </c>
      <c r="AD112">
        <f>SUMIFS('База практик'!$BQ$5:$BQ$311,'База практик'!$E$5:$E$311,Расчеты!AD$1)</f>
        <v>75</v>
      </c>
      <c r="AE112">
        <f>SUMIFS('База практик'!$BQ$5:$BQ$311,'База практик'!$E$5:$E$311,Расчеты!AE$1)</f>
        <v>179</v>
      </c>
      <c r="AF112" s="388">
        <f>SUMIFS('База практик'!$BQ$5:$BQ$311,'База практик'!$E$5:$E$311,Расчеты!AF$1)</f>
        <v>0</v>
      </c>
      <c r="AG112">
        <f>SUMIFS('База практик'!$BQ$5:$BQ$311,'База практик'!$E$5:$E$311,Расчеты!AG$1)</f>
        <v>4</v>
      </c>
      <c r="AH112">
        <f>SUMIFS('База практик'!$BQ$5:$BQ$311,'База практик'!$E$5:$E$311,Расчеты!AH$1)</f>
        <v>7</v>
      </c>
      <c r="AI112">
        <f>SUMIFS('База практик'!$BQ$5:$BQ$311,'База практик'!$E$5:$E$311,Расчеты!AI$1)</f>
        <v>0</v>
      </c>
      <c r="AJ112">
        <f>SUMIFS('База практик'!$BQ$5:$BQ$311,'База практик'!$E$5:$E$311,Расчеты!AJ$1)</f>
        <v>200</v>
      </c>
      <c r="AK112">
        <f>SUMIFS('База практик'!$BQ$5:$BQ$311,'База практик'!$E$5:$E$311,Расчеты!AK$1)</f>
        <v>2</v>
      </c>
      <c r="AL112">
        <f>SUMIFS('База практик'!$BQ$5:$BQ$311,'База практик'!$E$5:$E$311,Расчеты!AL$1)</f>
        <v>32</v>
      </c>
      <c r="AM112">
        <f>SUMIFS('База практик'!$BQ$5:$BQ$311,'База практик'!$E$5:$E$311,Расчеты!AM$1)</f>
        <v>22</v>
      </c>
      <c r="AN112">
        <f>SUMIFS('База практик'!$BQ$5:$BQ$311,'База практик'!$E$5:$E$311,Расчеты!AN$1)</f>
        <v>55</v>
      </c>
      <c r="AO112" s="388">
        <f>SUMIFS('База практик'!$BQ$5:$BQ$311,'База практик'!$E$5:$E$311,Расчеты!AO$1)</f>
        <v>0</v>
      </c>
      <c r="AP112" s="388">
        <f>SUMIFS('База практик'!$BQ$5:$BQ$311,'База практик'!$E$5:$E$311,Расчеты!AP$1)</f>
        <v>0</v>
      </c>
      <c r="AQ112">
        <f>SUMIFS('База практик'!$BQ$5:$BQ$311,'База практик'!$E$5:$E$311,Расчеты!AQ$1)</f>
        <v>31</v>
      </c>
      <c r="AR112">
        <f>SUMIFS('База практик'!$BQ$5:$BQ$311,'База практик'!$E$5:$E$311,Расчеты!AR$1)</f>
        <v>21</v>
      </c>
      <c r="AS112">
        <f>SUMIFS('База практик'!$BQ$5:$BQ$311,'База практик'!$E$5:$E$311,Расчеты!AS$1)</f>
        <v>67</v>
      </c>
      <c r="AT112">
        <f>SUMIFS('База практик'!$BQ$5:$BQ$311,'База практик'!$E$5:$E$311,Расчеты!AT$1)</f>
        <v>18</v>
      </c>
      <c r="AU112">
        <f>SUMIFS('База практик'!$BQ$5:$BQ$311,'База практик'!$E$5:$E$311,Расчеты!AU$1)</f>
        <v>47</v>
      </c>
      <c r="AV112">
        <f>SUMIFS('База практик'!$BQ$5:$BQ$311,'База практик'!$E$5:$E$311,Расчеты!AV$1)</f>
        <v>86</v>
      </c>
      <c r="AW112">
        <f>SUMIFS('База практик'!$BQ$5:$BQ$311,'База практик'!$E$5:$E$311,Расчеты!AW$1)</f>
        <v>24</v>
      </c>
      <c r="AX112">
        <f>SUMIFS('База практик'!$BQ$5:$BQ$311,'База практик'!$E$5:$E$311,Расчеты!AX$1)</f>
        <v>69</v>
      </c>
      <c r="AY112">
        <f>SUMIFS('База практик'!$BQ$5:$BQ$311,'База практик'!$E$5:$E$311,Расчеты!AY$1)</f>
        <v>9</v>
      </c>
      <c r="AZ112">
        <f>SUMIFS('База практик'!$BQ$5:$BQ$311,'База практик'!$E$5:$E$311,Расчеты!AZ$1)</f>
        <v>1</v>
      </c>
      <c r="BA112">
        <f>SUMIFS('База практик'!$BQ$5:$BQ$311,'База практик'!$E$5:$E$311,Расчеты!BA$1)</f>
        <v>12</v>
      </c>
      <c r="BB112">
        <f>SUMIFS('База практик'!$BQ$5:$BQ$311,'База практик'!$E$5:$E$311,Расчеты!BB$1)</f>
        <v>24</v>
      </c>
      <c r="BC112" s="388">
        <f>SUMIFS('База практик'!$BQ$5:$BQ$311,'База практик'!$E$5:$E$311,Расчеты!BC$1)</f>
        <v>0</v>
      </c>
      <c r="BD112">
        <f>SUMIFS('База практик'!$BQ$5:$BQ$311,'База практик'!$E$5:$E$311,Расчеты!BD$1)</f>
        <v>5</v>
      </c>
      <c r="BE112" s="388">
        <f>SUMIFS('База практик'!$BQ$5:$BQ$311,'База практик'!$E$5:$E$311,Расчеты!BE$1)</f>
        <v>0</v>
      </c>
      <c r="BF112" s="388">
        <f>SUMIFS('База практик'!$BQ$5:$BQ$311,'База практик'!$E$5:$E$311,Расчеты!BF$1)</f>
        <v>0</v>
      </c>
      <c r="BG112">
        <f>SUMIFS('База практик'!$BQ$5:$BQ$311,'База практик'!$E$5:$E$311,Расчеты!BG$1)</f>
        <v>18</v>
      </c>
      <c r="BH112">
        <f>SUMIFS('База практик'!$BQ$5:$BQ$311,'База практик'!$E$5:$E$311,Расчеты!BH$1)</f>
        <v>8</v>
      </c>
      <c r="BI112">
        <f>SUMIFS('База практик'!$BQ$5:$BQ$311,'База практик'!$E$5:$E$311,Расчеты!BI$1)</f>
        <v>7</v>
      </c>
      <c r="BJ112">
        <f>SUMIFS('База практик'!$BQ$5:$BQ$311,'База практик'!$E$5:$E$311,Расчеты!BJ$1)</f>
        <v>27</v>
      </c>
      <c r="BK112">
        <f>SUMIFS('База практик'!$BQ$5:$BQ$311,'База практик'!$E$5:$E$311,Расчеты!BK$1)</f>
        <v>79</v>
      </c>
      <c r="BL112">
        <f>SUMIFS('База практик'!$BQ$5:$BQ$311,'База практик'!$E$5:$E$311,Расчеты!BL$1)</f>
        <v>26</v>
      </c>
      <c r="BM112">
        <f>SUMIFS('База практик'!$BQ$5:$BQ$311,'База практик'!$E$5:$E$311,Расчеты!BM$1)</f>
        <v>14</v>
      </c>
      <c r="BN112">
        <f>SUMIFS('База практик'!$BQ$5:$BQ$311,'База практик'!$E$5:$E$311,Расчеты!BN$1)</f>
        <v>12</v>
      </c>
      <c r="BO112">
        <f>SUMIFS('База практик'!$BQ$5:$BQ$311,'База практик'!$E$5:$E$311,Расчеты!BO$1)</f>
        <v>74</v>
      </c>
      <c r="BP112">
        <f>SUMIFS('База практик'!$BQ$5:$BQ$311,'База практик'!$E$5:$E$311,Расчеты!BP$1)</f>
        <v>2</v>
      </c>
      <c r="BQ112">
        <f>SUMIFS('База практик'!$BQ$5:$BQ$311,'База практик'!$E$5:$E$311,Расчеты!BQ$1)</f>
        <v>0</v>
      </c>
      <c r="BR112" s="388">
        <f>SUMIFS('База практик'!$BQ$5:$BQ$311,'База практик'!$E$5:$E$311,Расчеты!BR$1)</f>
        <v>0</v>
      </c>
      <c r="BS112">
        <f>SUMIFS('База практик'!$BQ$5:$BQ$311,'База практик'!$E$5:$E$311,Расчеты!BS$1)</f>
        <v>25</v>
      </c>
      <c r="BT112">
        <f>SUMIFS('База практик'!$BQ$5:$BQ$311,'База практик'!$E$5:$E$311,Расчеты!BT$1)</f>
        <v>39</v>
      </c>
      <c r="BU112">
        <f>SUMIFS('База практик'!$BQ$5:$BQ$311,'База практик'!$E$5:$E$311,Расчеты!BU$1)</f>
        <v>43</v>
      </c>
      <c r="BV112">
        <f>SUMIFS('База практик'!$BQ$5:$BQ$311,'База практик'!$E$5:$E$311,Расчеты!BV$1)</f>
        <v>63</v>
      </c>
      <c r="BW112">
        <f>SUMIFS('База практик'!$BQ$5:$BQ$311,'База практик'!$E$5:$E$311,Расчеты!BW$1)</f>
        <v>7</v>
      </c>
      <c r="BX112">
        <f>SUMIFS('База практик'!$BQ$5:$BQ$311,'База практик'!$E$5:$E$311,Расчеты!BX$1)</f>
        <v>35</v>
      </c>
      <c r="BY112">
        <f>SUMIFS('База практик'!$BQ$5:$BQ$311,'База практик'!$E$5:$E$311,Расчеты!BY$1)</f>
        <v>15</v>
      </c>
      <c r="BZ112">
        <f>SUMIFS('База практик'!$BQ$5:$BQ$311,'База практик'!$E$5:$E$311,Расчеты!BZ$1)</f>
        <v>22</v>
      </c>
      <c r="CA112">
        <f>SUMIFS('База практик'!$BQ$5:$BQ$311,'База практик'!$E$5:$E$311,Расчеты!CA$1)</f>
        <v>61</v>
      </c>
      <c r="CB112">
        <f>SUMIFS('База практик'!$BQ$5:$BQ$311,'База практик'!$E$5:$E$311,Расчеты!CB$1)</f>
        <v>3</v>
      </c>
      <c r="CC112" s="388">
        <f>SUMIFS('База практик'!$BQ$5:$BQ$311,'База практик'!$E$5:$E$311,Расчеты!CC$1)</f>
        <v>0</v>
      </c>
      <c r="CD112">
        <f>SUMIFS('База практик'!$BQ$5:$BQ$311,'База практик'!$E$5:$E$311,Расчеты!CD$1)</f>
        <v>1</v>
      </c>
      <c r="CE112">
        <f>SUMIFS('База практик'!$BQ$5:$BQ$311,'База практик'!$E$5:$E$311,Расчеты!CE$1)</f>
        <v>140</v>
      </c>
      <c r="CF112">
        <f>SUMIFS('База практик'!$BQ$5:$BQ$311,'База практик'!$E$5:$E$311,Расчеты!CF$1)</f>
        <v>72</v>
      </c>
      <c r="CG112">
        <f>SUMIFS('База практик'!$BQ$5:$BQ$311,'База практик'!$E$5:$E$311,Расчеты!CG$1)</f>
        <v>0</v>
      </c>
      <c r="CH112">
        <f>SUMIFS('База практик'!$BQ$5:$BQ$311,'База практик'!$E$5:$E$311,Расчеты!CH$1)</f>
        <v>14</v>
      </c>
      <c r="CI112">
        <f>SUMIFS('База практик'!$BQ$5:$BQ$311,'База практик'!$E$5:$E$311,Расчеты!CI$1)</f>
        <v>5</v>
      </c>
      <c r="CJ112">
        <f>SUMIFS('База практик'!$BQ$5:$BQ$311,'База практик'!$E$5:$E$311,Расчеты!CJ$1)</f>
        <v>15</v>
      </c>
      <c r="CK112" s="388">
        <f>SUMIFS('База практик'!$BQ$5:$BQ$311,'База практик'!$E$5:$E$311,Расчеты!CK$1)</f>
        <v>0</v>
      </c>
      <c r="CL112">
        <f>SUMIFS('База практик'!$BQ$5:$BQ$311,'База практик'!$E$5:$E$311,Расчеты!CL$1)</f>
        <v>6</v>
      </c>
      <c r="CM112">
        <f>SUMIFS('База практик'!$BQ$5:$BQ$311,'База практик'!$E$5:$E$311,Расчеты!CM$1)</f>
        <v>52</v>
      </c>
      <c r="CN112">
        <f>SUMIFS('База практик'!$BQ$5:$BQ$311,'База практик'!$E$5:$E$311,Расчеты!CN$1)</f>
        <v>63</v>
      </c>
      <c r="CO112">
        <f>SUMIFS('База практик'!$BQ$5:$BQ$311,'База практик'!$E$5:$E$311,Расчеты!CO$1)</f>
        <v>152</v>
      </c>
      <c r="CP112" s="388">
        <f>SUMIFS('База практик'!$BQ$5:$BQ$311,'База практик'!$E$5:$E$311,Расчеты!CP$1)</f>
        <v>0</v>
      </c>
      <c r="CQ112">
        <f>SUMIFS('База практик'!$BQ$5:$BQ$311,'База практик'!$E$5:$E$311,Расчеты!CQ$1)</f>
        <v>77</v>
      </c>
      <c r="CR112">
        <f>SUMIFS('База практик'!$BQ$5:$BQ$311,'База практик'!$E$5:$E$311,Расчеты!CR$1)</f>
        <v>292</v>
      </c>
      <c r="CS112" s="388">
        <f>SUMIFS('База практик'!$BQ$5:$BQ$311,'База практик'!$E$5:$E$311,Расчеты!CS$1)</f>
        <v>0</v>
      </c>
      <c r="CT112">
        <f>SUMIFS('База практик'!$BQ$5:$BQ$311,'База практик'!$E$5:$E$311,Расчеты!CT$1)</f>
        <v>126</v>
      </c>
      <c r="CU112">
        <f>SUMIFS('База практик'!$BQ$5:$BQ$311,'База практик'!$E$5:$E$311,Расчеты!CU$1)</f>
        <v>3</v>
      </c>
      <c r="CV112">
        <f>SUMIFS('База практик'!$BQ$5:$BQ$311,'База практик'!$E$5:$E$311,Расчеты!CV$1)</f>
        <v>25</v>
      </c>
      <c r="CW112">
        <f>SUMIFS('База практик'!$BQ$5:$BQ$311,'База практик'!$E$5:$E$311,Расчеты!CW$1)</f>
        <v>51</v>
      </c>
    </row>
    <row r="113" spans="1:101" x14ac:dyDescent="0.25">
      <c r="A113" s="1660"/>
      <c r="B113" s="1660"/>
      <c r="C113" s="1671"/>
      <c r="D113" s="115" t="s">
        <v>4831</v>
      </c>
      <c r="E113" s="115">
        <v>71</v>
      </c>
      <c r="F113" s="116" t="s">
        <v>5089</v>
      </c>
      <c r="G113" s="1640"/>
      <c r="H113" s="183" t="s">
        <v>52</v>
      </c>
      <c r="I113" s="184"/>
      <c r="J113" s="171"/>
      <c r="K113" s="171"/>
      <c r="L113" s="171" t="s">
        <v>500</v>
      </c>
      <c r="M113" s="171">
        <v>0.17902396186174885</v>
      </c>
      <c r="N113" s="171">
        <v>9.4331618855718752E-2</v>
      </c>
      <c r="O113" s="206">
        <v>0.10695480976145781</v>
      </c>
    </row>
    <row r="114" spans="1:101" ht="25.5" x14ac:dyDescent="0.25">
      <c r="A114" s="1660"/>
      <c r="B114" s="1660"/>
      <c r="C114" s="1671"/>
      <c r="D114" s="115" t="s">
        <v>4831</v>
      </c>
      <c r="E114" s="115">
        <v>72</v>
      </c>
      <c r="F114" s="116" t="s">
        <v>5090</v>
      </c>
      <c r="G114" s="1640" t="s">
        <v>5091</v>
      </c>
      <c r="H114" s="183" t="s">
        <v>5056</v>
      </c>
      <c r="I114" s="184"/>
      <c r="J114" s="171"/>
      <c r="K114" s="171"/>
      <c r="L114" s="171"/>
      <c r="M114" s="171">
        <v>603</v>
      </c>
      <c r="N114" s="171">
        <v>919</v>
      </c>
      <c r="O114" s="172">
        <v>1072</v>
      </c>
      <c r="P114">
        <f t="shared" si="174"/>
        <v>981</v>
      </c>
      <c r="Q114">
        <f>SUMIFS('База практик'!$BR$5:$BR$311,'База практик'!$E$5:$E$311,Расчеты!Q$1)</f>
        <v>0</v>
      </c>
      <c r="R114">
        <f>SUMIFS('База практик'!$BR$5:$BR$311,'База практик'!$E$5:$E$311,Расчеты!R$1)</f>
        <v>0</v>
      </c>
      <c r="S114">
        <f>SUMIFS('База практик'!$BR$5:$BR$311,'База практик'!$E$5:$E$311,Расчеты!S$1)</f>
        <v>30</v>
      </c>
      <c r="T114">
        <f>SUMIFS('База практик'!$BR$5:$BR$311,'База практик'!$E$5:$E$311,Расчеты!T$1)</f>
        <v>11</v>
      </c>
      <c r="U114">
        <f>SUMIFS('База практик'!$BR$5:$BR$311,'База практик'!$E$5:$E$311,Расчеты!U$1)</f>
        <v>0</v>
      </c>
      <c r="V114">
        <f>SUMIFS('База практик'!$BR$5:$BR$311,'База практик'!$E$5:$E$311,Расчеты!V$1)</f>
        <v>1</v>
      </c>
      <c r="W114">
        <f>SUMIFS('База практик'!$BR$5:$BR$311,'База практик'!$E$5:$E$311,Расчеты!W$1)</f>
        <v>110</v>
      </c>
      <c r="X114" s="388">
        <f>SUMIFS('База практик'!$BR$5:$BR$311,'База практик'!$E$5:$E$311,Расчеты!X$1)</f>
        <v>0</v>
      </c>
      <c r="Y114">
        <f>SUMIFS('База практик'!$BR$5:$BR$311,'База практик'!$E$5:$E$311,Расчеты!Y$1)</f>
        <v>85</v>
      </c>
      <c r="Z114">
        <f>SUMIFS('База практик'!$BR$5:$BR$311,'База практик'!$E$5:$E$311,Расчеты!Z$1)</f>
        <v>0</v>
      </c>
      <c r="AA114">
        <f>SUMIFS('База практик'!$BR$5:$BR$311,'База практик'!$E$5:$E$311,Расчеты!AA$1)</f>
        <v>14</v>
      </c>
      <c r="AB114">
        <f>SUMIFS('База практик'!$BR$5:$BR$311,'База практик'!$E$5:$E$311,Расчеты!AB$1)</f>
        <v>7</v>
      </c>
      <c r="AC114">
        <f>SUMIFS('База практик'!$BR$5:$BR$311,'База практик'!$E$5:$E$311,Расчеты!AC$1)</f>
        <v>0</v>
      </c>
      <c r="AD114">
        <f>SUMIFS('База практик'!$BR$5:$BR$311,'База практик'!$E$5:$E$311,Расчеты!AD$1)</f>
        <v>39</v>
      </c>
      <c r="AE114">
        <f>SUMIFS('База практик'!$BR$5:$BR$311,'База практик'!$E$5:$E$311,Расчеты!AE$1)</f>
        <v>0</v>
      </c>
      <c r="AF114" s="388">
        <f>SUMIFS('База практик'!$BR$5:$BR$311,'База практик'!$E$5:$E$311,Расчеты!AF$1)</f>
        <v>0</v>
      </c>
      <c r="AG114">
        <f>SUMIFS('База практик'!$BR$5:$BR$311,'База практик'!$E$5:$E$311,Расчеты!AG$1)</f>
        <v>0</v>
      </c>
      <c r="AH114">
        <f>SUMIFS('База практик'!$BR$5:$BR$311,'База практик'!$E$5:$E$311,Расчеты!AH$1)</f>
        <v>3</v>
      </c>
      <c r="AI114">
        <f>SUMIFS('База практик'!$BR$5:$BR$311,'База практик'!$E$5:$E$311,Расчеты!AI$1)</f>
        <v>0</v>
      </c>
      <c r="AJ114">
        <f>SUMIFS('База практик'!$BR$5:$BR$311,'База практик'!$E$5:$E$311,Расчеты!AJ$1)</f>
        <v>36</v>
      </c>
      <c r="AK114">
        <f>SUMIFS('База практик'!$BR$5:$BR$311,'База практик'!$E$5:$E$311,Расчеты!AK$1)</f>
        <v>0</v>
      </c>
      <c r="AL114">
        <f>SUMIFS('База практик'!$BR$5:$BR$311,'База практик'!$E$5:$E$311,Расчеты!AL$1)</f>
        <v>0</v>
      </c>
      <c r="AM114">
        <f>SUMIFS('База практик'!$BR$5:$BR$311,'База практик'!$E$5:$E$311,Расчеты!AM$1)</f>
        <v>3</v>
      </c>
      <c r="AN114">
        <f>SUMIFS('База практик'!$BR$5:$BR$311,'База практик'!$E$5:$E$311,Расчеты!AN$1)</f>
        <v>39</v>
      </c>
      <c r="AO114" s="388">
        <f>SUMIFS('База практик'!$BR$5:$BR$311,'База практик'!$E$5:$E$311,Расчеты!AO$1)</f>
        <v>0</v>
      </c>
      <c r="AP114" s="388">
        <f>SUMIFS('База практик'!$BR$5:$BR$311,'База практик'!$E$5:$E$311,Расчеты!AP$1)</f>
        <v>0</v>
      </c>
      <c r="AQ114">
        <f>SUMIFS('База практик'!$BR$5:$BR$311,'База практик'!$E$5:$E$311,Расчеты!AQ$1)</f>
        <v>5</v>
      </c>
      <c r="AR114">
        <f>SUMIFS('База практик'!$BR$5:$BR$311,'База практик'!$E$5:$E$311,Расчеты!AR$1)</f>
        <v>33</v>
      </c>
      <c r="AS114">
        <f>SUMIFS('База практик'!$BR$5:$BR$311,'База практик'!$E$5:$E$311,Расчеты!AS$1)</f>
        <v>9</v>
      </c>
      <c r="AT114">
        <f>SUMIFS('База практик'!$BR$5:$BR$311,'База практик'!$E$5:$E$311,Расчеты!AT$1)</f>
        <v>9</v>
      </c>
      <c r="AU114">
        <f>SUMIFS('База практик'!$BR$5:$BR$311,'База практик'!$E$5:$E$311,Расчеты!AU$1)</f>
        <v>2</v>
      </c>
      <c r="AV114">
        <f>SUMIFS('База практик'!$BR$5:$BR$311,'База практик'!$E$5:$E$311,Расчеты!AV$1)</f>
        <v>14</v>
      </c>
      <c r="AW114">
        <f>SUMIFS('База практик'!$BR$5:$BR$311,'База практик'!$E$5:$E$311,Расчеты!AW$1)</f>
        <v>35</v>
      </c>
      <c r="AX114">
        <f>SUMIFS('База практик'!$BR$5:$BR$311,'База практик'!$E$5:$E$311,Расчеты!AX$1)</f>
        <v>0</v>
      </c>
      <c r="AY114">
        <f>SUMIFS('База практик'!$BR$5:$BR$311,'База практик'!$E$5:$E$311,Расчеты!AY$1)</f>
        <v>17</v>
      </c>
      <c r="AZ114">
        <f>SUMIFS('База практик'!$BR$5:$BR$311,'База практик'!$E$5:$E$311,Расчеты!AZ$1)</f>
        <v>0</v>
      </c>
      <c r="BA114">
        <f>SUMIFS('База практик'!$BR$5:$BR$311,'База практик'!$E$5:$E$311,Расчеты!BA$1)</f>
        <v>13</v>
      </c>
      <c r="BB114">
        <f>SUMIFS('База практик'!$BR$5:$BR$311,'База практик'!$E$5:$E$311,Расчеты!BB$1)</f>
        <v>0</v>
      </c>
      <c r="BC114" s="388">
        <f>SUMIFS('База практик'!$BR$5:$BR$311,'База практик'!$E$5:$E$311,Расчеты!BC$1)</f>
        <v>0</v>
      </c>
      <c r="BD114">
        <f>SUMIFS('База практик'!$BR$5:$BR$311,'База практик'!$E$5:$E$311,Расчеты!BD$1)</f>
        <v>2</v>
      </c>
      <c r="BE114" s="388">
        <f>SUMIFS('База практик'!$BR$5:$BR$311,'База практик'!$E$5:$E$311,Расчеты!BE$1)</f>
        <v>0</v>
      </c>
      <c r="BF114" s="388">
        <f>SUMIFS('База практик'!$BR$5:$BR$311,'База практик'!$E$5:$E$311,Расчеты!BF$1)</f>
        <v>0</v>
      </c>
      <c r="BG114">
        <f>SUMIFS('База практик'!$BR$5:$BR$311,'База практик'!$E$5:$E$311,Расчеты!BG$1)</f>
        <v>0</v>
      </c>
      <c r="BH114">
        <f>SUMIFS('База практик'!$BR$5:$BR$311,'База практик'!$E$5:$E$311,Расчеты!BH$1)</f>
        <v>0</v>
      </c>
      <c r="BI114">
        <f>SUMIFS('База практик'!$BR$5:$BR$311,'База практик'!$E$5:$E$311,Расчеты!BI$1)</f>
        <v>0</v>
      </c>
      <c r="BJ114">
        <f>SUMIFS('База практик'!$BR$5:$BR$311,'База практик'!$E$5:$E$311,Расчеты!BJ$1)</f>
        <v>56</v>
      </c>
      <c r="BK114">
        <f>SUMIFS('База практик'!$BR$5:$BR$311,'База практик'!$E$5:$E$311,Расчеты!BK$1)</f>
        <v>17</v>
      </c>
      <c r="BL114">
        <f>SUMIFS('База практик'!$BR$5:$BR$311,'База практик'!$E$5:$E$311,Расчеты!BL$1)</f>
        <v>71</v>
      </c>
      <c r="BM114">
        <f>SUMIFS('База практик'!$BR$5:$BR$311,'База практик'!$E$5:$E$311,Расчеты!BM$1)</f>
        <v>0</v>
      </c>
      <c r="BN114">
        <f>SUMIFS('База практик'!$BR$5:$BR$311,'База практик'!$E$5:$E$311,Расчеты!BN$1)</f>
        <v>45</v>
      </c>
      <c r="BO114">
        <f>SUMIFS('База практик'!$BR$5:$BR$311,'База практик'!$E$5:$E$311,Расчеты!BO$1)</f>
        <v>1</v>
      </c>
      <c r="BP114">
        <f>SUMIFS('База практик'!$BR$5:$BR$311,'База практик'!$E$5:$E$311,Расчеты!BP$1)</f>
        <v>0</v>
      </c>
      <c r="BQ114">
        <f>SUMIFS('База практик'!$BR$5:$BR$311,'База практик'!$E$5:$E$311,Расчеты!BQ$1)</f>
        <v>0</v>
      </c>
      <c r="BR114" s="388">
        <f>SUMIFS('База практик'!$BR$5:$BR$311,'База практик'!$E$5:$E$311,Расчеты!BR$1)</f>
        <v>0</v>
      </c>
      <c r="BS114">
        <f>SUMIFS('База практик'!$BR$5:$BR$311,'База практик'!$E$5:$E$311,Расчеты!BS$1)</f>
        <v>4</v>
      </c>
      <c r="BT114">
        <f>SUMIFS('База практик'!$BR$5:$BR$311,'База практик'!$E$5:$E$311,Расчеты!BT$1)</f>
        <v>5</v>
      </c>
      <c r="BU114">
        <f>SUMIFS('База практик'!$BR$5:$BR$311,'База практик'!$E$5:$E$311,Расчеты!BU$1)</f>
        <v>39</v>
      </c>
      <c r="BV114">
        <f>SUMIFS('База практик'!$BR$5:$BR$311,'База практик'!$E$5:$E$311,Расчеты!BV$1)</f>
        <v>26</v>
      </c>
      <c r="BW114">
        <f>SUMIFS('База практик'!$BR$5:$BR$311,'База практик'!$E$5:$E$311,Расчеты!BW$1)</f>
        <v>0</v>
      </c>
      <c r="BX114">
        <f>SUMIFS('База практик'!$BR$5:$BR$311,'База практик'!$E$5:$E$311,Расчеты!BX$1)</f>
        <v>8</v>
      </c>
      <c r="BY114">
        <f>SUMIFS('База практик'!$BR$5:$BR$311,'База практик'!$E$5:$E$311,Расчеты!BY$1)</f>
        <v>6</v>
      </c>
      <c r="BZ114">
        <f>SUMIFS('База практик'!$BR$5:$BR$311,'База практик'!$E$5:$E$311,Расчеты!BZ$1)</f>
        <v>0</v>
      </c>
      <c r="CA114">
        <f>SUMIFS('База практик'!$BR$5:$BR$311,'База практик'!$E$5:$E$311,Расчеты!CA$1)</f>
        <v>0</v>
      </c>
      <c r="CB114">
        <f>SUMIFS('База практик'!$BR$5:$BR$311,'База практик'!$E$5:$E$311,Расчеты!CB$1)</f>
        <v>0</v>
      </c>
      <c r="CC114" s="388">
        <f>SUMIFS('База практик'!$BR$5:$BR$311,'База практик'!$E$5:$E$311,Расчеты!CC$1)</f>
        <v>0</v>
      </c>
      <c r="CD114">
        <f>SUMIFS('База практик'!$BR$5:$BR$311,'База практик'!$E$5:$E$311,Расчеты!CD$1)</f>
        <v>0</v>
      </c>
      <c r="CE114">
        <f>SUMIFS('База практик'!$BR$5:$BR$311,'База практик'!$E$5:$E$311,Расчеты!CE$1)</f>
        <v>13</v>
      </c>
      <c r="CF114">
        <f>SUMIFS('База практик'!$BR$5:$BR$311,'База практик'!$E$5:$E$311,Расчеты!CF$1)</f>
        <v>23</v>
      </c>
      <c r="CG114">
        <f>SUMIFS('База практик'!$BR$5:$BR$311,'База практик'!$E$5:$E$311,Расчеты!CG$1)</f>
        <v>0</v>
      </c>
      <c r="CH114">
        <f>SUMIFS('База практик'!$BR$5:$BR$311,'База практик'!$E$5:$E$311,Расчеты!CH$1)</f>
        <v>15</v>
      </c>
      <c r="CI114">
        <f>SUMIFS('База практик'!$BR$5:$BR$311,'База практик'!$E$5:$E$311,Расчеты!CI$1)</f>
        <v>15</v>
      </c>
      <c r="CJ114">
        <f>SUMIFS('База практик'!$BR$5:$BR$311,'База практик'!$E$5:$E$311,Расчеты!CJ$1)</f>
        <v>0</v>
      </c>
      <c r="CK114" s="388">
        <f>SUMIFS('База практик'!$BR$5:$BR$311,'База практик'!$E$5:$E$311,Расчеты!CK$1)</f>
        <v>0</v>
      </c>
      <c r="CL114">
        <f>SUMIFS('База практик'!$BR$5:$BR$311,'База практик'!$E$5:$E$311,Расчеты!CL$1)</f>
        <v>0</v>
      </c>
      <c r="CM114">
        <f>SUMIFS('База практик'!$BR$5:$BR$311,'База практик'!$E$5:$E$311,Расчеты!CM$1)</f>
        <v>9</v>
      </c>
      <c r="CN114">
        <f>SUMIFS('База практик'!$BR$5:$BR$311,'База практик'!$E$5:$E$311,Расчеты!CN$1)</f>
        <v>0</v>
      </c>
      <c r="CO114">
        <f>SUMIFS('База практик'!$BR$5:$BR$311,'База практик'!$E$5:$E$311,Расчеты!CO$1)</f>
        <v>3</v>
      </c>
      <c r="CP114" s="388">
        <f>SUMIFS('База практик'!$BR$5:$BR$311,'База практик'!$E$5:$E$311,Расчеты!CP$1)</f>
        <v>0</v>
      </c>
      <c r="CQ114">
        <f>SUMIFS('База практик'!$BR$5:$BR$311,'База практик'!$E$5:$E$311,Расчеты!CQ$1)</f>
        <v>2</v>
      </c>
      <c r="CR114">
        <f>SUMIFS('База практик'!$BR$5:$BR$311,'База практик'!$E$5:$E$311,Расчеты!CR$1)</f>
        <v>0</v>
      </c>
      <c r="CS114" s="388">
        <f>SUMIFS('База практик'!$BR$5:$BR$311,'База практик'!$E$5:$E$311,Расчеты!CS$1)</f>
        <v>0</v>
      </c>
      <c r="CT114">
        <f>SUMIFS('База практик'!$BR$5:$BR$311,'База практик'!$E$5:$E$311,Расчеты!CT$1)</f>
        <v>97</v>
      </c>
      <c r="CU114">
        <f>SUMIFS('База практик'!$BR$5:$BR$311,'База практик'!$E$5:$E$311,Расчеты!CU$1)</f>
        <v>0</v>
      </c>
      <c r="CV114">
        <f>SUMIFS('База практик'!$BR$5:$BR$311,'База практик'!$E$5:$E$311,Расчеты!CV$1)</f>
        <v>4</v>
      </c>
      <c r="CW114">
        <f>SUMIFS('База практик'!$BR$5:$BR$311,'База практик'!$E$5:$E$311,Расчеты!CW$1)</f>
        <v>5</v>
      </c>
    </row>
    <row r="115" spans="1:101" x14ac:dyDescent="0.25">
      <c r="A115" s="1660"/>
      <c r="B115" s="1660"/>
      <c r="C115" s="1671"/>
      <c r="D115" s="115" t="s">
        <v>4831</v>
      </c>
      <c r="E115" s="115">
        <v>73</v>
      </c>
      <c r="F115" s="116" t="s">
        <v>5092</v>
      </c>
      <c r="G115" s="1640"/>
      <c r="H115" s="183" t="s">
        <v>52</v>
      </c>
      <c r="I115" s="184"/>
      <c r="J115" s="171"/>
      <c r="K115" s="171"/>
      <c r="L115" s="171" t="s">
        <v>500</v>
      </c>
      <c r="M115" s="171">
        <v>3.7824614226571324E-2</v>
      </c>
      <c r="N115" s="171">
        <v>4.8730049313325204E-2</v>
      </c>
      <c r="O115" s="206">
        <v>4.908200173984708E-2</v>
      </c>
    </row>
    <row r="116" spans="1:101" ht="25.5" x14ac:dyDescent="0.25">
      <c r="A116" s="1660"/>
      <c r="B116" s="1660"/>
      <c r="C116" s="1671"/>
      <c r="D116" s="115" t="s">
        <v>4831</v>
      </c>
      <c r="E116" s="115">
        <v>74</v>
      </c>
      <c r="F116" s="116" t="s">
        <v>5093</v>
      </c>
      <c r="G116" s="1640" t="s">
        <v>5094</v>
      </c>
      <c r="H116" s="183" t="s">
        <v>5056</v>
      </c>
      <c r="I116" s="184"/>
      <c r="J116" s="171"/>
      <c r="K116" s="171"/>
      <c r="L116" s="171"/>
      <c r="M116" s="171">
        <v>476</v>
      </c>
      <c r="N116" s="171">
        <v>579</v>
      </c>
      <c r="O116" s="172">
        <v>756</v>
      </c>
      <c r="P116">
        <f t="shared" si="174"/>
        <v>341</v>
      </c>
      <c r="Q116">
        <f>SUMIFS('База практик'!$BS$5:$BS$311,'База практик'!$E$5:$E$311,Расчеты!Q$1)</f>
        <v>0</v>
      </c>
      <c r="R116">
        <f>SUMIFS('База практик'!$BS$5:$BS$311,'База практик'!$E$5:$E$311,Расчеты!R$1)</f>
        <v>0</v>
      </c>
      <c r="S116">
        <f>SUMIFS('База практик'!$BS$5:$BS$311,'База практик'!$E$5:$E$311,Расчеты!S$1)</f>
        <v>0</v>
      </c>
      <c r="T116">
        <f>SUMIFS('База практик'!$BS$5:$BS$311,'База практик'!$E$5:$E$311,Расчеты!T$1)</f>
        <v>0</v>
      </c>
      <c r="U116">
        <f>SUMIFS('База практик'!$BS$5:$BS$311,'База практик'!$E$5:$E$311,Расчеты!U$1)</f>
        <v>7</v>
      </c>
      <c r="V116">
        <f>SUMIFS('База практик'!$BS$5:$BS$311,'База практик'!$E$5:$E$311,Расчеты!V$1)</f>
        <v>0</v>
      </c>
      <c r="W116">
        <f>SUMIFS('База практик'!$BS$5:$BS$311,'База практик'!$E$5:$E$311,Расчеты!W$1)</f>
        <v>11</v>
      </c>
      <c r="X116" s="388">
        <f>SUMIFS('База практик'!$BS$5:$BS$311,'База практик'!$E$5:$E$311,Расчеты!X$1)</f>
        <v>0</v>
      </c>
      <c r="Y116">
        <f>SUMIFS('База практик'!$BS$5:$BS$311,'База практик'!$E$5:$E$311,Расчеты!Y$1)</f>
        <v>2</v>
      </c>
      <c r="Z116">
        <f>SUMIFS('База практик'!$BS$5:$BS$311,'База практик'!$E$5:$E$311,Расчеты!Z$1)</f>
        <v>0</v>
      </c>
      <c r="AA116">
        <f>SUMIFS('База практик'!$BS$5:$BS$311,'База практик'!$E$5:$E$311,Расчеты!AA$1)</f>
        <v>7</v>
      </c>
      <c r="AB116">
        <f>SUMIFS('База практик'!$BS$5:$BS$311,'База практик'!$E$5:$E$311,Расчеты!AB$1)</f>
        <v>0</v>
      </c>
      <c r="AC116">
        <f>SUMIFS('База практик'!$BS$5:$BS$311,'База практик'!$E$5:$E$311,Расчеты!AC$1)</f>
        <v>48</v>
      </c>
      <c r="AD116">
        <f>SUMIFS('База практик'!$BS$5:$BS$311,'База практик'!$E$5:$E$311,Расчеты!AD$1)</f>
        <v>5</v>
      </c>
      <c r="AE116">
        <f>SUMIFS('База практик'!$BS$5:$BS$311,'База практик'!$E$5:$E$311,Расчеты!AE$1)</f>
        <v>0</v>
      </c>
      <c r="AF116" s="388">
        <f>SUMIFS('База практик'!$BS$5:$BS$311,'База практик'!$E$5:$E$311,Расчеты!AF$1)</f>
        <v>0</v>
      </c>
      <c r="AG116">
        <f>SUMIFS('База практик'!$BS$5:$BS$311,'База практик'!$E$5:$E$311,Расчеты!AG$1)</f>
        <v>0</v>
      </c>
      <c r="AH116">
        <f>SUMIFS('База практик'!$BS$5:$BS$311,'База практик'!$E$5:$E$311,Расчеты!AH$1)</f>
        <v>0</v>
      </c>
      <c r="AI116">
        <f>SUMIFS('База практик'!$BS$5:$BS$311,'База практик'!$E$5:$E$311,Расчеты!AI$1)</f>
        <v>0</v>
      </c>
      <c r="AJ116">
        <f>SUMIFS('База практик'!$BS$5:$BS$311,'База практик'!$E$5:$E$311,Расчеты!AJ$1)</f>
        <v>0</v>
      </c>
      <c r="AK116">
        <f>SUMIFS('База практик'!$BS$5:$BS$311,'База практик'!$E$5:$E$311,Расчеты!AK$1)</f>
        <v>0</v>
      </c>
      <c r="AL116">
        <f>SUMIFS('База практик'!$BS$5:$BS$311,'База практик'!$E$5:$E$311,Расчеты!AL$1)</f>
        <v>18</v>
      </c>
      <c r="AM116">
        <f>SUMIFS('База практик'!$BS$5:$BS$311,'База практик'!$E$5:$E$311,Расчеты!AM$1)</f>
        <v>0</v>
      </c>
      <c r="AN116">
        <f>SUMIFS('База практик'!$BS$5:$BS$311,'База практик'!$E$5:$E$311,Расчеты!AN$1)</f>
        <v>5</v>
      </c>
      <c r="AO116" s="388">
        <f>SUMIFS('База практик'!$BS$5:$BS$311,'База практик'!$E$5:$E$311,Расчеты!AO$1)</f>
        <v>0</v>
      </c>
      <c r="AP116" s="388">
        <f>SUMIFS('База практик'!$BS$5:$BS$311,'База практик'!$E$5:$E$311,Расчеты!AP$1)</f>
        <v>0</v>
      </c>
      <c r="AQ116">
        <f>SUMIFS('База практик'!$BS$5:$BS$311,'База практик'!$E$5:$E$311,Расчеты!AQ$1)</f>
        <v>0</v>
      </c>
      <c r="AR116">
        <f>SUMIFS('База практик'!$BS$5:$BS$311,'База практик'!$E$5:$E$311,Расчеты!AR$1)</f>
        <v>0</v>
      </c>
      <c r="AS116">
        <f>SUMIFS('База практик'!$BS$5:$BS$311,'База практик'!$E$5:$E$311,Расчеты!AS$1)</f>
        <v>15</v>
      </c>
      <c r="AT116">
        <f>SUMIFS('База практик'!$BS$5:$BS$311,'База практик'!$E$5:$E$311,Расчеты!AT$1)</f>
        <v>3</v>
      </c>
      <c r="AU116">
        <f>SUMIFS('База практик'!$BS$5:$BS$311,'База практик'!$E$5:$E$311,Расчеты!AU$1)</f>
        <v>8</v>
      </c>
      <c r="AV116">
        <f>SUMIFS('База практик'!$BS$5:$BS$311,'База практик'!$E$5:$E$311,Расчеты!AV$1)</f>
        <v>26</v>
      </c>
      <c r="AW116">
        <f>SUMIFS('База практик'!$BS$5:$BS$311,'База практик'!$E$5:$E$311,Расчеты!AW$1)</f>
        <v>0</v>
      </c>
      <c r="AX116">
        <f>SUMIFS('База практик'!$BS$5:$BS$311,'База практик'!$E$5:$E$311,Расчеты!AX$1)</f>
        <v>0</v>
      </c>
      <c r="AY116">
        <f>SUMIFS('База практик'!$BS$5:$BS$311,'База практик'!$E$5:$E$311,Расчеты!AY$1)</f>
        <v>0</v>
      </c>
      <c r="AZ116">
        <f>SUMIFS('База практик'!$BS$5:$BS$311,'База практик'!$E$5:$E$311,Расчеты!AZ$1)</f>
        <v>0</v>
      </c>
      <c r="BA116">
        <f>SUMIFS('База практик'!$BS$5:$BS$311,'База практик'!$E$5:$E$311,Расчеты!BA$1)</f>
        <v>24</v>
      </c>
      <c r="BB116">
        <f>SUMIFS('База практик'!$BS$5:$BS$311,'База практик'!$E$5:$E$311,Расчеты!BB$1)</f>
        <v>0</v>
      </c>
      <c r="BC116" s="388">
        <f>SUMIFS('База практик'!$BS$5:$BS$311,'База практик'!$E$5:$E$311,Расчеты!BC$1)</f>
        <v>0</v>
      </c>
      <c r="BD116">
        <f>SUMIFS('База практик'!$BS$5:$BS$311,'База практик'!$E$5:$E$311,Расчеты!BD$1)</f>
        <v>6</v>
      </c>
      <c r="BE116" s="388">
        <f>SUMIFS('База практик'!$BS$5:$BS$311,'База практик'!$E$5:$E$311,Расчеты!BE$1)</f>
        <v>0</v>
      </c>
      <c r="BF116" s="388">
        <f>SUMIFS('База практик'!$BS$5:$BS$311,'База практик'!$E$5:$E$311,Расчеты!BF$1)</f>
        <v>0</v>
      </c>
      <c r="BG116">
        <f>SUMIFS('База практик'!$BS$5:$BS$311,'База практик'!$E$5:$E$311,Расчеты!BG$1)</f>
        <v>0</v>
      </c>
      <c r="BH116">
        <f>SUMIFS('База практик'!$BS$5:$BS$311,'База практик'!$E$5:$E$311,Расчеты!BH$1)</f>
        <v>1</v>
      </c>
      <c r="BI116">
        <f>SUMIFS('База практик'!$BS$5:$BS$311,'База практик'!$E$5:$E$311,Расчеты!BI$1)</f>
        <v>2</v>
      </c>
      <c r="BJ116">
        <f>SUMIFS('База практик'!$BS$5:$BS$311,'База практик'!$E$5:$E$311,Расчеты!BJ$1)</f>
        <v>2</v>
      </c>
      <c r="BK116">
        <f>SUMIFS('База практик'!$BS$5:$BS$311,'База практик'!$E$5:$E$311,Расчеты!BK$1)</f>
        <v>10</v>
      </c>
      <c r="BL116">
        <f>SUMIFS('База практик'!$BS$5:$BS$311,'База практик'!$E$5:$E$311,Расчеты!BL$1)</f>
        <v>0</v>
      </c>
      <c r="BM116">
        <f>SUMIFS('База практик'!$BS$5:$BS$311,'База практик'!$E$5:$E$311,Расчеты!BM$1)</f>
        <v>0</v>
      </c>
      <c r="BN116">
        <f>SUMIFS('База практик'!$BS$5:$BS$311,'База практик'!$E$5:$E$311,Расчеты!BN$1)</f>
        <v>0</v>
      </c>
      <c r="BO116">
        <f>SUMIFS('База практик'!$BS$5:$BS$311,'База практик'!$E$5:$E$311,Расчеты!BO$1)</f>
        <v>2</v>
      </c>
      <c r="BP116">
        <f>SUMIFS('База практик'!$BS$5:$BS$311,'База практик'!$E$5:$E$311,Расчеты!BP$1)</f>
        <v>0</v>
      </c>
      <c r="BQ116">
        <f>SUMIFS('База практик'!$BS$5:$BS$311,'База практик'!$E$5:$E$311,Расчеты!BQ$1)</f>
        <v>0</v>
      </c>
      <c r="BR116" s="388">
        <f>SUMIFS('База практик'!$BS$5:$BS$311,'База практик'!$E$5:$E$311,Расчеты!BR$1)</f>
        <v>0</v>
      </c>
      <c r="BS116">
        <f>SUMIFS('База практик'!$BS$5:$BS$311,'База практик'!$E$5:$E$311,Расчеты!BS$1)</f>
        <v>3</v>
      </c>
      <c r="BT116">
        <f>SUMIFS('База практик'!$BS$5:$BS$311,'База практик'!$E$5:$E$311,Расчеты!BT$1)</f>
        <v>1</v>
      </c>
      <c r="BU116">
        <f>SUMIFS('База практик'!$BS$5:$BS$311,'База практик'!$E$5:$E$311,Расчеты!BU$1)</f>
        <v>8</v>
      </c>
      <c r="BV116">
        <f>SUMIFS('База практик'!$BS$5:$BS$311,'База практик'!$E$5:$E$311,Расчеты!BV$1)</f>
        <v>0</v>
      </c>
      <c r="BW116">
        <f>SUMIFS('База практик'!$BS$5:$BS$311,'База практик'!$E$5:$E$311,Расчеты!BW$1)</f>
        <v>0</v>
      </c>
      <c r="BX116">
        <f>SUMIFS('База практик'!$BS$5:$BS$311,'База практик'!$E$5:$E$311,Расчеты!BX$1)</f>
        <v>0</v>
      </c>
      <c r="BY116">
        <f>SUMIFS('База практик'!$BS$5:$BS$311,'База практик'!$E$5:$E$311,Расчеты!BY$1)</f>
        <v>4</v>
      </c>
      <c r="BZ116">
        <f>SUMIFS('База практик'!$BS$5:$BS$311,'База практик'!$E$5:$E$311,Расчеты!BZ$1)</f>
        <v>0</v>
      </c>
      <c r="CA116">
        <f>SUMIFS('База практик'!$BS$5:$BS$311,'База практик'!$E$5:$E$311,Расчеты!CA$1)</f>
        <v>0</v>
      </c>
      <c r="CB116">
        <f>SUMIFS('База практик'!$BS$5:$BS$311,'База практик'!$E$5:$E$311,Расчеты!CB$1)</f>
        <v>0</v>
      </c>
      <c r="CC116" s="388">
        <f>SUMIFS('База практик'!$BS$5:$BS$311,'База практик'!$E$5:$E$311,Расчеты!CC$1)</f>
        <v>0</v>
      </c>
      <c r="CD116">
        <f>SUMIFS('База практик'!$BS$5:$BS$311,'База практик'!$E$5:$E$311,Расчеты!CD$1)</f>
        <v>0</v>
      </c>
      <c r="CE116">
        <f>SUMIFS('База практик'!$BS$5:$BS$311,'База практик'!$E$5:$E$311,Расчеты!CE$1)</f>
        <v>0</v>
      </c>
      <c r="CF116">
        <f>SUMIFS('База практик'!$BS$5:$BS$311,'База практик'!$E$5:$E$311,Расчеты!CF$1)</f>
        <v>24</v>
      </c>
      <c r="CG116">
        <f>SUMIFS('База практик'!$BS$5:$BS$311,'База практик'!$E$5:$E$311,Расчеты!CG$1)</f>
        <v>0</v>
      </c>
      <c r="CH116">
        <f>SUMIFS('База практик'!$BS$5:$BS$311,'База практик'!$E$5:$E$311,Расчеты!CH$1)</f>
        <v>20</v>
      </c>
      <c r="CI116">
        <f>SUMIFS('База практик'!$BS$5:$BS$311,'База практик'!$E$5:$E$311,Расчеты!CI$1)</f>
        <v>0</v>
      </c>
      <c r="CJ116">
        <f>SUMIFS('База практик'!$BS$5:$BS$311,'База практик'!$E$5:$E$311,Расчеты!CJ$1)</f>
        <v>0</v>
      </c>
      <c r="CK116" s="388">
        <f>SUMIFS('База практик'!$BS$5:$BS$311,'База практик'!$E$5:$E$311,Расчеты!CK$1)</f>
        <v>0</v>
      </c>
      <c r="CL116">
        <f>SUMIFS('База практик'!$BS$5:$BS$311,'База практик'!$E$5:$E$311,Расчеты!CL$1)</f>
        <v>0</v>
      </c>
      <c r="CM116">
        <f>SUMIFS('База практик'!$BS$5:$BS$311,'База практик'!$E$5:$E$311,Расчеты!CM$1)</f>
        <v>0</v>
      </c>
      <c r="CN116">
        <f>SUMIFS('База практик'!$BS$5:$BS$311,'База практик'!$E$5:$E$311,Расчеты!CN$1)</f>
        <v>32</v>
      </c>
      <c r="CO116">
        <f>SUMIFS('База практик'!$BS$5:$BS$311,'База практик'!$E$5:$E$311,Расчеты!CO$1)</f>
        <v>4</v>
      </c>
      <c r="CP116" s="388">
        <f>SUMIFS('База практик'!$BS$5:$BS$311,'База практик'!$E$5:$E$311,Расчеты!CP$1)</f>
        <v>0</v>
      </c>
      <c r="CQ116">
        <f>SUMIFS('База практик'!$BS$5:$BS$311,'База практик'!$E$5:$E$311,Расчеты!CQ$1)</f>
        <v>1</v>
      </c>
      <c r="CR116">
        <f>SUMIFS('База практик'!$BS$5:$BS$311,'База практик'!$E$5:$E$311,Расчеты!CR$1)</f>
        <v>0</v>
      </c>
      <c r="CS116" s="388">
        <f>SUMIFS('База практик'!$BS$5:$BS$311,'База практик'!$E$5:$E$311,Расчеты!CS$1)</f>
        <v>0</v>
      </c>
      <c r="CT116">
        <f>SUMIFS('База практик'!$BS$5:$BS$311,'База практик'!$E$5:$E$311,Расчеты!CT$1)</f>
        <v>36</v>
      </c>
      <c r="CU116">
        <f>SUMIFS('База практик'!$BS$5:$BS$311,'База практик'!$E$5:$E$311,Расчеты!CU$1)</f>
        <v>3</v>
      </c>
      <c r="CV116">
        <f>SUMIFS('База практик'!$BS$5:$BS$311,'База практик'!$E$5:$E$311,Расчеты!CV$1)</f>
        <v>3</v>
      </c>
      <c r="CW116">
        <f>SUMIFS('База практик'!$BS$5:$BS$311,'База практик'!$E$5:$E$311,Расчеты!CW$1)</f>
        <v>0</v>
      </c>
    </row>
    <row r="117" spans="1:101" x14ac:dyDescent="0.25">
      <c r="A117" s="1660"/>
      <c r="B117" s="1660"/>
      <c r="C117" s="1671"/>
      <c r="D117" s="115" t="s">
        <v>4831</v>
      </c>
      <c r="E117" s="115">
        <v>75</v>
      </c>
      <c r="F117" s="116" t="s">
        <v>5095</v>
      </c>
      <c r="G117" s="1640"/>
      <c r="H117" s="183" t="s">
        <v>52</v>
      </c>
      <c r="I117" s="184"/>
      <c r="J117" s="171"/>
      <c r="K117" s="171"/>
      <c r="L117" s="171" t="s">
        <v>500</v>
      </c>
      <c r="M117" s="171">
        <v>2.9858236105883829E-2</v>
      </c>
      <c r="N117" s="171">
        <v>3.0701521819820776E-2</v>
      </c>
      <c r="O117" s="206">
        <v>3.4613799734444395E-2</v>
      </c>
    </row>
    <row r="118" spans="1:101" ht="25.5" x14ac:dyDescent="0.25">
      <c r="A118" s="1660"/>
      <c r="B118" s="1660"/>
      <c r="C118" s="1671"/>
      <c r="D118" s="115" t="s">
        <v>4831</v>
      </c>
      <c r="E118" s="115">
        <v>76</v>
      </c>
      <c r="F118" s="116" t="s">
        <v>5096</v>
      </c>
      <c r="G118" s="1640" t="s">
        <v>5097</v>
      </c>
      <c r="H118" s="183" t="s">
        <v>5056</v>
      </c>
      <c r="I118" s="184"/>
      <c r="J118" s="171"/>
      <c r="K118" s="171"/>
      <c r="L118" s="171"/>
      <c r="M118" s="171">
        <v>594</v>
      </c>
      <c r="N118" s="171">
        <v>561</v>
      </c>
      <c r="O118" s="172">
        <v>96</v>
      </c>
      <c r="P118">
        <f t="shared" si="174"/>
        <v>115</v>
      </c>
      <c r="Q118">
        <f>SUMIFS('База практик'!$BT$5:$BT$311,'База практик'!$E$5:$E$311,Расчеты!Q$1)</f>
        <v>0</v>
      </c>
      <c r="R118">
        <f>SUMIFS('База практик'!$BT$5:$BT$311,'База практик'!$E$5:$E$311,Расчеты!R$1)</f>
        <v>0</v>
      </c>
      <c r="S118">
        <f>SUMIFS('База практик'!$BT$5:$BT$311,'База практик'!$E$5:$E$311,Расчеты!S$1)</f>
        <v>0</v>
      </c>
      <c r="T118">
        <f>SUMIFS('База практик'!$BT$5:$BT$311,'База практик'!$E$5:$E$311,Расчеты!T$1)</f>
        <v>0</v>
      </c>
      <c r="U118">
        <f>SUMIFS('База практик'!$BT$5:$BT$311,'База практик'!$E$5:$E$311,Расчеты!U$1)</f>
        <v>0</v>
      </c>
      <c r="V118">
        <f>SUMIFS('База практик'!$BT$5:$BT$311,'База практик'!$E$5:$E$311,Расчеты!V$1)</f>
        <v>0</v>
      </c>
      <c r="W118">
        <f>SUMIFS('База практик'!$BT$5:$BT$311,'База практик'!$E$5:$E$311,Расчеты!W$1)</f>
        <v>0</v>
      </c>
      <c r="X118" s="388">
        <f>SUMIFS('База практик'!$BT$5:$BT$311,'База практик'!$E$5:$E$311,Расчеты!X$1)</f>
        <v>0</v>
      </c>
      <c r="Y118">
        <f>SUMIFS('База практик'!$BT$5:$BT$311,'База практик'!$E$5:$E$311,Расчеты!Y$1)</f>
        <v>0</v>
      </c>
      <c r="Z118">
        <f>SUMIFS('База практик'!$BT$5:$BT$311,'База практик'!$E$5:$E$311,Расчеты!Z$1)</f>
        <v>0</v>
      </c>
      <c r="AA118">
        <f>SUMIFS('База практик'!$BT$5:$BT$311,'База практик'!$E$5:$E$311,Расчеты!AA$1)</f>
        <v>0</v>
      </c>
      <c r="AB118">
        <f>SUMIFS('База практик'!$BT$5:$BT$311,'База практик'!$E$5:$E$311,Расчеты!AB$1)</f>
        <v>0</v>
      </c>
      <c r="AC118">
        <f>SUMIFS('База практик'!$BT$5:$BT$311,'База практик'!$E$5:$E$311,Расчеты!AC$1)</f>
        <v>0</v>
      </c>
      <c r="AD118">
        <f>SUMIFS('База практик'!$BT$5:$BT$311,'База практик'!$E$5:$E$311,Расчеты!AD$1)</f>
        <v>0</v>
      </c>
      <c r="AE118">
        <f>SUMIFS('База практик'!$BT$5:$BT$311,'База практик'!$E$5:$E$311,Расчеты!AE$1)</f>
        <v>0</v>
      </c>
      <c r="AF118" s="388">
        <f>SUMIFS('База практик'!$BT$5:$BT$311,'База практик'!$E$5:$E$311,Расчеты!AF$1)</f>
        <v>0</v>
      </c>
      <c r="AG118">
        <f>SUMIFS('База практик'!$BT$5:$BT$311,'База практик'!$E$5:$E$311,Расчеты!AG$1)</f>
        <v>0</v>
      </c>
      <c r="AH118">
        <f>SUMIFS('База практик'!$BT$5:$BT$311,'База практик'!$E$5:$E$311,Расчеты!AH$1)</f>
        <v>0</v>
      </c>
      <c r="AI118">
        <f>SUMIFS('База практик'!$BT$5:$BT$311,'База практик'!$E$5:$E$311,Расчеты!AI$1)</f>
        <v>0</v>
      </c>
      <c r="AJ118">
        <f>SUMIFS('База практик'!$BT$5:$BT$311,'База практик'!$E$5:$E$311,Расчеты!AJ$1)</f>
        <v>0</v>
      </c>
      <c r="AK118">
        <f>SUMIFS('База практик'!$BT$5:$BT$311,'База практик'!$E$5:$E$311,Расчеты!AK$1)</f>
        <v>0</v>
      </c>
      <c r="AL118">
        <f>SUMIFS('База практик'!$BT$5:$BT$311,'База практик'!$E$5:$E$311,Расчеты!AL$1)</f>
        <v>0</v>
      </c>
      <c r="AM118">
        <f>SUMIFS('База практик'!$BT$5:$BT$311,'База практик'!$E$5:$E$311,Расчеты!AM$1)</f>
        <v>0</v>
      </c>
      <c r="AN118">
        <f>SUMIFS('База практик'!$BT$5:$BT$311,'База практик'!$E$5:$E$311,Расчеты!AN$1)</f>
        <v>0</v>
      </c>
      <c r="AO118" s="388">
        <f>SUMIFS('База практик'!$BT$5:$BT$311,'База практик'!$E$5:$E$311,Расчеты!AO$1)</f>
        <v>0</v>
      </c>
      <c r="AP118" s="388">
        <f>SUMIFS('База практик'!$BT$5:$BT$311,'База практик'!$E$5:$E$311,Расчеты!AP$1)</f>
        <v>0</v>
      </c>
      <c r="AQ118">
        <f>SUMIFS('База практик'!$BT$5:$BT$311,'База практик'!$E$5:$E$311,Расчеты!AQ$1)</f>
        <v>10</v>
      </c>
      <c r="AR118">
        <f>SUMIFS('База практик'!$BT$5:$BT$311,'База практик'!$E$5:$E$311,Расчеты!AR$1)</f>
        <v>0</v>
      </c>
      <c r="AS118">
        <f>SUMIFS('База практик'!$BT$5:$BT$311,'База практик'!$E$5:$E$311,Расчеты!AS$1)</f>
        <v>0</v>
      </c>
      <c r="AT118">
        <f>SUMIFS('База практик'!$BT$5:$BT$311,'База практик'!$E$5:$E$311,Расчеты!AT$1)</f>
        <v>8</v>
      </c>
      <c r="AU118">
        <f>SUMIFS('База практик'!$BT$5:$BT$311,'База практик'!$E$5:$E$311,Расчеты!AU$1)</f>
        <v>0</v>
      </c>
      <c r="AV118">
        <f>SUMIFS('База практик'!$BT$5:$BT$311,'База практик'!$E$5:$E$311,Расчеты!AV$1)</f>
        <v>0</v>
      </c>
      <c r="AW118">
        <f>SUMIFS('База практик'!$BT$5:$BT$311,'База практик'!$E$5:$E$311,Расчеты!AW$1)</f>
        <v>0</v>
      </c>
      <c r="AX118">
        <f>SUMIFS('База практик'!$BT$5:$BT$311,'База практик'!$E$5:$E$311,Расчеты!AX$1)</f>
        <v>0</v>
      </c>
      <c r="AY118">
        <f>SUMIFS('База практик'!$BT$5:$BT$311,'База практик'!$E$5:$E$311,Расчеты!AY$1)</f>
        <v>0</v>
      </c>
      <c r="AZ118">
        <f>SUMIFS('База практик'!$BT$5:$BT$311,'База практик'!$E$5:$E$311,Расчеты!AZ$1)</f>
        <v>0</v>
      </c>
      <c r="BA118">
        <f>SUMIFS('База практик'!$BT$5:$BT$311,'База практик'!$E$5:$E$311,Расчеты!BA$1)</f>
        <v>0</v>
      </c>
      <c r="BB118">
        <f>SUMIFS('База практик'!$BT$5:$BT$311,'База практик'!$E$5:$E$311,Расчеты!BB$1)</f>
        <v>0</v>
      </c>
      <c r="BC118" s="388">
        <f>SUMIFS('База практик'!$BT$5:$BT$311,'База практик'!$E$5:$E$311,Расчеты!BC$1)</f>
        <v>0</v>
      </c>
      <c r="BD118">
        <f>SUMIFS('База практик'!$BT$5:$BT$311,'База практик'!$E$5:$E$311,Расчеты!BD$1)</f>
        <v>0</v>
      </c>
      <c r="BE118" s="388">
        <f>SUMIFS('База практик'!$BT$5:$BT$311,'База практик'!$E$5:$E$311,Расчеты!BE$1)</f>
        <v>0</v>
      </c>
      <c r="BF118" s="388">
        <f>SUMIFS('База практик'!$BT$5:$BT$311,'База практик'!$E$5:$E$311,Расчеты!BF$1)</f>
        <v>0</v>
      </c>
      <c r="BG118">
        <f>SUMIFS('База практик'!$BT$5:$BT$311,'База практик'!$E$5:$E$311,Расчеты!BG$1)</f>
        <v>0</v>
      </c>
      <c r="BH118">
        <f>SUMIFS('База практик'!$BT$5:$BT$311,'База практик'!$E$5:$E$311,Расчеты!BH$1)</f>
        <v>0</v>
      </c>
      <c r="BI118">
        <f>SUMIFS('База практик'!$BT$5:$BT$311,'База практик'!$E$5:$E$311,Расчеты!BI$1)</f>
        <v>0</v>
      </c>
      <c r="BJ118">
        <f>SUMIFS('База практик'!$BT$5:$BT$311,'База практик'!$E$5:$E$311,Расчеты!BJ$1)</f>
        <v>0</v>
      </c>
      <c r="BK118">
        <f>SUMIFS('База практик'!$BT$5:$BT$311,'База практик'!$E$5:$E$311,Расчеты!BK$1)</f>
        <v>0</v>
      </c>
      <c r="BL118">
        <f>SUMIFS('База практик'!$BT$5:$BT$311,'База практик'!$E$5:$E$311,Расчеты!BL$1)</f>
        <v>0</v>
      </c>
      <c r="BM118">
        <f>SUMIFS('База практик'!$BT$5:$BT$311,'База практик'!$E$5:$E$311,Расчеты!BM$1)</f>
        <v>0</v>
      </c>
      <c r="BN118">
        <f>SUMIFS('База практик'!$BT$5:$BT$311,'База практик'!$E$5:$E$311,Расчеты!BN$1)</f>
        <v>0</v>
      </c>
      <c r="BO118">
        <f>SUMIFS('База практик'!$BT$5:$BT$311,'База практик'!$E$5:$E$311,Расчеты!BO$1)</f>
        <v>0</v>
      </c>
      <c r="BP118">
        <f>SUMIFS('База практик'!$BT$5:$BT$311,'База практик'!$E$5:$E$311,Расчеты!BP$1)</f>
        <v>0</v>
      </c>
      <c r="BQ118">
        <f>SUMIFS('База практик'!$BT$5:$BT$311,'База практик'!$E$5:$E$311,Расчеты!BQ$1)</f>
        <v>0</v>
      </c>
      <c r="BR118" s="388">
        <f>SUMIFS('База практик'!$BT$5:$BT$311,'База практик'!$E$5:$E$311,Расчеты!BR$1)</f>
        <v>0</v>
      </c>
      <c r="BS118">
        <f>SUMIFS('База практик'!$BT$5:$BT$311,'База практик'!$E$5:$E$311,Расчеты!BS$1)</f>
        <v>1</v>
      </c>
      <c r="BT118">
        <f>SUMIFS('База практик'!$BT$5:$BT$311,'База практик'!$E$5:$E$311,Расчеты!BT$1)</f>
        <v>0</v>
      </c>
      <c r="BU118">
        <f>SUMIFS('База практик'!$BT$5:$BT$311,'База практик'!$E$5:$E$311,Расчеты!BU$1)</f>
        <v>0</v>
      </c>
      <c r="BV118">
        <f>SUMIFS('База практик'!$BT$5:$BT$311,'База практик'!$E$5:$E$311,Расчеты!BV$1)</f>
        <v>12</v>
      </c>
      <c r="BW118">
        <f>SUMIFS('База практик'!$BT$5:$BT$311,'База практик'!$E$5:$E$311,Расчеты!BW$1)</f>
        <v>0</v>
      </c>
      <c r="BX118">
        <f>SUMIFS('База практик'!$BT$5:$BT$311,'База практик'!$E$5:$E$311,Расчеты!BX$1)</f>
        <v>0</v>
      </c>
      <c r="BY118">
        <f>SUMIFS('База практик'!$BT$5:$BT$311,'База практик'!$E$5:$E$311,Расчеты!BY$1)</f>
        <v>0</v>
      </c>
      <c r="BZ118">
        <f>SUMIFS('База практик'!$BT$5:$BT$311,'База практик'!$E$5:$E$311,Расчеты!BZ$1)</f>
        <v>0</v>
      </c>
      <c r="CA118">
        <f>SUMIFS('База практик'!$BT$5:$BT$311,'База практик'!$E$5:$E$311,Расчеты!CA$1)</f>
        <v>9</v>
      </c>
      <c r="CB118">
        <f>SUMIFS('База практик'!$BT$5:$BT$311,'База практик'!$E$5:$E$311,Расчеты!CB$1)</f>
        <v>0</v>
      </c>
      <c r="CC118" s="388">
        <f>SUMIFS('База практик'!$BT$5:$BT$311,'База практик'!$E$5:$E$311,Расчеты!CC$1)</f>
        <v>0</v>
      </c>
      <c r="CD118">
        <f>SUMIFS('База практик'!$BT$5:$BT$311,'База практик'!$E$5:$E$311,Расчеты!CD$1)</f>
        <v>0</v>
      </c>
      <c r="CE118">
        <f>SUMIFS('База практик'!$BT$5:$BT$311,'База практик'!$E$5:$E$311,Расчеты!CE$1)</f>
        <v>0</v>
      </c>
      <c r="CF118">
        <f>SUMIFS('База практик'!$BT$5:$BT$311,'База практик'!$E$5:$E$311,Расчеты!CF$1)</f>
        <v>0</v>
      </c>
      <c r="CG118">
        <f>SUMIFS('База практик'!$BT$5:$BT$311,'База практик'!$E$5:$E$311,Расчеты!CG$1)</f>
        <v>12</v>
      </c>
      <c r="CH118">
        <f>SUMIFS('База практик'!$BT$5:$BT$311,'База практик'!$E$5:$E$311,Расчеты!CH$1)</f>
        <v>0</v>
      </c>
      <c r="CI118">
        <f>SUMIFS('База практик'!$BT$5:$BT$311,'База практик'!$E$5:$E$311,Расчеты!CI$1)</f>
        <v>0</v>
      </c>
      <c r="CJ118">
        <f>SUMIFS('База практик'!$BT$5:$BT$311,'База практик'!$E$5:$E$311,Расчеты!CJ$1)</f>
        <v>0</v>
      </c>
      <c r="CK118" s="388">
        <f>SUMIFS('База практик'!$BT$5:$BT$311,'База практик'!$E$5:$E$311,Расчеты!CK$1)</f>
        <v>0</v>
      </c>
      <c r="CL118">
        <f>SUMIFS('База практик'!$BT$5:$BT$311,'База практик'!$E$5:$E$311,Расчеты!CL$1)</f>
        <v>0</v>
      </c>
      <c r="CM118">
        <f>SUMIFS('База практик'!$BT$5:$BT$311,'База практик'!$E$5:$E$311,Расчеты!CM$1)</f>
        <v>57</v>
      </c>
      <c r="CN118">
        <f>SUMIFS('База практик'!$BT$5:$BT$311,'База практик'!$E$5:$E$311,Расчеты!CN$1)</f>
        <v>0</v>
      </c>
      <c r="CO118">
        <f>SUMIFS('База практик'!$BT$5:$BT$311,'База практик'!$E$5:$E$311,Расчеты!CO$1)</f>
        <v>1</v>
      </c>
      <c r="CP118" s="388">
        <f>SUMIFS('База практик'!$BT$5:$BT$311,'База практик'!$E$5:$E$311,Расчеты!CP$1)</f>
        <v>0</v>
      </c>
      <c r="CQ118">
        <f>SUMIFS('База практик'!$BT$5:$BT$311,'База практик'!$E$5:$E$311,Расчеты!CQ$1)</f>
        <v>2</v>
      </c>
      <c r="CR118">
        <f>SUMIFS('База практик'!$BT$5:$BT$311,'База практик'!$E$5:$E$311,Расчеты!CR$1)</f>
        <v>0</v>
      </c>
      <c r="CS118" s="388">
        <f>SUMIFS('База практик'!$BT$5:$BT$311,'База практик'!$E$5:$E$311,Расчеты!CS$1)</f>
        <v>0</v>
      </c>
      <c r="CT118">
        <f>SUMIFS('База практик'!$BT$5:$BT$311,'База практик'!$E$5:$E$311,Расчеты!CT$1)</f>
        <v>0</v>
      </c>
      <c r="CU118">
        <f>SUMIFS('База практик'!$BT$5:$BT$311,'База практик'!$E$5:$E$311,Расчеты!CU$1)</f>
        <v>0</v>
      </c>
      <c r="CV118">
        <f>SUMIFS('База практик'!$BT$5:$BT$311,'База практик'!$E$5:$E$311,Расчеты!CV$1)</f>
        <v>3</v>
      </c>
      <c r="CW118">
        <f>SUMIFS('База практик'!$BT$5:$BT$311,'База практик'!$E$5:$E$311,Расчеты!CW$1)</f>
        <v>0</v>
      </c>
    </row>
    <row r="119" spans="1:101" x14ac:dyDescent="0.25">
      <c r="A119" s="1660"/>
      <c r="B119" s="1660"/>
      <c r="C119" s="1671"/>
      <c r="D119" s="115" t="s">
        <v>4831</v>
      </c>
      <c r="E119" s="115">
        <v>77</v>
      </c>
      <c r="F119" s="116" t="s">
        <v>5098</v>
      </c>
      <c r="G119" s="1640"/>
      <c r="H119" s="183" t="s">
        <v>52</v>
      </c>
      <c r="I119" s="184"/>
      <c r="J119" s="171"/>
      <c r="K119" s="171"/>
      <c r="L119" s="171" t="s">
        <v>500</v>
      </c>
      <c r="M119" s="171">
        <v>3.7260067745577719E-2</v>
      </c>
      <c r="N119" s="171">
        <v>2.9747070364282306E-2</v>
      </c>
      <c r="O119" s="206">
        <v>4.3954031408818279E-3</v>
      </c>
    </row>
    <row r="120" spans="1:101" ht="25.5" x14ac:dyDescent="0.25">
      <c r="A120" s="1660"/>
      <c r="B120" s="1660"/>
      <c r="C120" s="1671"/>
      <c r="D120" s="115" t="s">
        <v>4831</v>
      </c>
      <c r="E120" s="115">
        <v>78</v>
      </c>
      <c r="F120" s="116" t="s">
        <v>5099</v>
      </c>
      <c r="G120" s="1640" t="s">
        <v>5100</v>
      </c>
      <c r="H120" s="183" t="s">
        <v>5056</v>
      </c>
      <c r="I120" s="184"/>
      <c r="J120" s="171"/>
      <c r="K120" s="171"/>
      <c r="L120" s="171"/>
      <c r="M120" s="171">
        <v>213</v>
      </c>
      <c r="N120" s="171">
        <v>359</v>
      </c>
      <c r="O120" s="172">
        <v>198</v>
      </c>
      <c r="P120">
        <f t="shared" si="174"/>
        <v>182</v>
      </c>
      <c r="Q120">
        <f>SUMIFS('База практик'!$BU$5:$BU$311,'База практик'!$E$5:$E$311,Расчеты!Q$1)</f>
        <v>0</v>
      </c>
      <c r="R120">
        <f>SUMIFS('База практик'!$BU$5:$BU$311,'База практик'!$E$5:$E$311,Расчеты!R$1)</f>
        <v>0</v>
      </c>
      <c r="S120">
        <f>SUMIFS('База практик'!$BU$5:$BU$311,'База практик'!$E$5:$E$311,Расчеты!S$1)</f>
        <v>0</v>
      </c>
      <c r="T120">
        <f>SUMIFS('База практик'!$BU$5:$BU$311,'База практик'!$E$5:$E$311,Расчеты!T$1)</f>
        <v>0</v>
      </c>
      <c r="U120">
        <f>SUMIFS('База практик'!$BU$5:$BU$311,'База практик'!$E$5:$E$311,Расчеты!U$1)</f>
        <v>0</v>
      </c>
      <c r="V120">
        <f>SUMIFS('База практик'!$BU$5:$BU$311,'База практик'!$E$5:$E$311,Расчеты!V$1)</f>
        <v>0</v>
      </c>
      <c r="W120">
        <f>SUMIFS('База практик'!$BU$5:$BU$311,'База практик'!$E$5:$E$311,Расчеты!W$1)</f>
        <v>0</v>
      </c>
      <c r="X120" s="388">
        <f>SUMIFS('База практик'!$BU$5:$BU$311,'База практик'!$E$5:$E$311,Расчеты!X$1)</f>
        <v>0</v>
      </c>
      <c r="Y120">
        <f>SUMIFS('База практик'!$BU$5:$BU$311,'База практик'!$E$5:$E$311,Расчеты!Y$1)</f>
        <v>0</v>
      </c>
      <c r="Z120">
        <f>SUMIFS('База практик'!$BU$5:$BU$311,'База практик'!$E$5:$E$311,Расчеты!Z$1)</f>
        <v>0</v>
      </c>
      <c r="AA120">
        <f>SUMIFS('База практик'!$BU$5:$BU$311,'База практик'!$E$5:$E$311,Расчеты!AA$1)</f>
        <v>2</v>
      </c>
      <c r="AB120">
        <f>SUMIFS('База практик'!$BU$5:$BU$311,'База практик'!$E$5:$E$311,Расчеты!AB$1)</f>
        <v>0</v>
      </c>
      <c r="AC120">
        <f>SUMIFS('База практик'!$BU$5:$BU$311,'База практик'!$E$5:$E$311,Расчеты!AC$1)</f>
        <v>24</v>
      </c>
      <c r="AD120">
        <f>SUMIFS('База практик'!$BU$5:$BU$311,'База практик'!$E$5:$E$311,Расчеты!AD$1)</f>
        <v>0</v>
      </c>
      <c r="AE120">
        <f>SUMIFS('База практик'!$BU$5:$BU$311,'База практик'!$E$5:$E$311,Расчеты!AE$1)</f>
        <v>1</v>
      </c>
      <c r="AF120" s="388">
        <f>SUMIFS('База практик'!$BU$5:$BU$311,'База практик'!$E$5:$E$311,Расчеты!AF$1)</f>
        <v>0</v>
      </c>
      <c r="AG120">
        <f>SUMIFS('База практик'!$BU$5:$BU$311,'База практик'!$E$5:$E$311,Расчеты!AG$1)</f>
        <v>0</v>
      </c>
      <c r="AH120">
        <f>SUMIFS('База практик'!$BU$5:$BU$311,'База практик'!$E$5:$E$311,Расчеты!AH$1)</f>
        <v>0</v>
      </c>
      <c r="AI120">
        <f>SUMIFS('База практик'!$BU$5:$BU$311,'База практик'!$E$5:$E$311,Расчеты!AI$1)</f>
        <v>0</v>
      </c>
      <c r="AJ120">
        <f>SUMIFS('База практик'!$BU$5:$BU$311,'База практик'!$E$5:$E$311,Расчеты!AJ$1)</f>
        <v>0</v>
      </c>
      <c r="AK120">
        <f>SUMIFS('База практик'!$BU$5:$BU$311,'База практик'!$E$5:$E$311,Расчеты!AK$1)</f>
        <v>0</v>
      </c>
      <c r="AL120">
        <f>SUMIFS('База практик'!$BU$5:$BU$311,'База практик'!$E$5:$E$311,Расчеты!AL$1)</f>
        <v>0</v>
      </c>
      <c r="AM120">
        <f>SUMIFS('База практик'!$BU$5:$BU$311,'База практик'!$E$5:$E$311,Расчеты!AM$1)</f>
        <v>0</v>
      </c>
      <c r="AN120">
        <f>SUMIFS('База практик'!$BU$5:$BU$311,'База практик'!$E$5:$E$311,Расчеты!AN$1)</f>
        <v>0</v>
      </c>
      <c r="AO120" s="388">
        <f>SUMIFS('База практик'!$BU$5:$BU$311,'База практик'!$E$5:$E$311,Расчеты!AO$1)</f>
        <v>0</v>
      </c>
      <c r="AP120" s="388">
        <f>SUMIFS('База практик'!$BU$5:$BU$311,'База практик'!$E$5:$E$311,Расчеты!AP$1)</f>
        <v>0</v>
      </c>
      <c r="AQ120">
        <f>SUMIFS('База практик'!$BU$5:$BU$311,'База практик'!$E$5:$E$311,Расчеты!AQ$1)</f>
        <v>5</v>
      </c>
      <c r="AR120">
        <f>SUMIFS('База практик'!$BU$5:$BU$311,'База практик'!$E$5:$E$311,Расчеты!AR$1)</f>
        <v>0</v>
      </c>
      <c r="AS120">
        <f>SUMIFS('База практик'!$BU$5:$BU$311,'База практик'!$E$5:$E$311,Расчеты!AS$1)</f>
        <v>0</v>
      </c>
      <c r="AT120">
        <f>SUMIFS('База практик'!$BU$5:$BU$311,'База практик'!$E$5:$E$311,Расчеты!AT$1)</f>
        <v>0</v>
      </c>
      <c r="AU120">
        <f>SUMIFS('База практик'!$BU$5:$BU$311,'База практик'!$E$5:$E$311,Расчеты!AU$1)</f>
        <v>0</v>
      </c>
      <c r="AV120">
        <f>SUMIFS('База практик'!$BU$5:$BU$311,'База практик'!$E$5:$E$311,Расчеты!AV$1)</f>
        <v>0</v>
      </c>
      <c r="AW120">
        <f>SUMIFS('База практик'!$BU$5:$BU$311,'База практик'!$E$5:$E$311,Расчеты!AW$1)</f>
        <v>0</v>
      </c>
      <c r="AX120">
        <f>SUMIFS('База практик'!$BU$5:$BU$311,'База практик'!$E$5:$E$311,Расчеты!AX$1)</f>
        <v>0</v>
      </c>
      <c r="AY120">
        <f>SUMIFS('База практик'!$BU$5:$BU$311,'База практик'!$E$5:$E$311,Расчеты!AY$1)</f>
        <v>0</v>
      </c>
      <c r="AZ120">
        <f>SUMIFS('База практик'!$BU$5:$BU$311,'База практик'!$E$5:$E$311,Расчеты!AZ$1)</f>
        <v>0</v>
      </c>
      <c r="BA120">
        <f>SUMIFS('База практик'!$BU$5:$BU$311,'База практик'!$E$5:$E$311,Расчеты!BA$1)</f>
        <v>3</v>
      </c>
      <c r="BB120">
        <f>SUMIFS('База практик'!$BU$5:$BU$311,'База практик'!$E$5:$E$311,Расчеты!BB$1)</f>
        <v>0</v>
      </c>
      <c r="BC120" s="388">
        <f>SUMIFS('База практик'!$BU$5:$BU$311,'База практик'!$E$5:$E$311,Расчеты!BC$1)</f>
        <v>0</v>
      </c>
      <c r="BD120">
        <f>SUMIFS('База практик'!$BU$5:$BU$311,'База практик'!$E$5:$E$311,Расчеты!BD$1)</f>
        <v>0</v>
      </c>
      <c r="BE120" s="388">
        <f>SUMIFS('База практик'!$BU$5:$BU$311,'База практик'!$E$5:$E$311,Расчеты!BE$1)</f>
        <v>0</v>
      </c>
      <c r="BF120" s="388">
        <f>SUMIFS('База практик'!$BU$5:$BU$311,'База практик'!$E$5:$E$311,Расчеты!BF$1)</f>
        <v>0</v>
      </c>
      <c r="BG120">
        <f>SUMIFS('База практик'!$BU$5:$BU$311,'База практик'!$E$5:$E$311,Расчеты!BG$1)</f>
        <v>0</v>
      </c>
      <c r="BH120">
        <f>SUMIFS('База практик'!$BU$5:$BU$311,'База практик'!$E$5:$E$311,Расчеты!BH$1)</f>
        <v>23</v>
      </c>
      <c r="BI120">
        <f>SUMIFS('База практик'!$BU$5:$BU$311,'База практик'!$E$5:$E$311,Расчеты!BI$1)</f>
        <v>0</v>
      </c>
      <c r="BJ120">
        <f>SUMIFS('База практик'!$BU$5:$BU$311,'База практик'!$E$5:$E$311,Расчеты!BJ$1)</f>
        <v>4</v>
      </c>
      <c r="BK120">
        <f>SUMIFS('База практик'!$BU$5:$BU$311,'База практик'!$E$5:$E$311,Расчеты!BK$1)</f>
        <v>1</v>
      </c>
      <c r="BL120">
        <f>SUMIFS('База практик'!$BU$5:$BU$311,'База практик'!$E$5:$E$311,Расчеты!BL$1)</f>
        <v>1</v>
      </c>
      <c r="BM120">
        <f>SUMIFS('База практик'!$BU$5:$BU$311,'База практик'!$E$5:$E$311,Расчеты!BM$1)</f>
        <v>0</v>
      </c>
      <c r="BN120">
        <f>SUMIFS('База практик'!$BU$5:$BU$311,'База практик'!$E$5:$E$311,Расчеты!BN$1)</f>
        <v>0</v>
      </c>
      <c r="BO120">
        <f>SUMIFS('База практик'!$BU$5:$BU$311,'База практик'!$E$5:$E$311,Расчеты!BO$1)</f>
        <v>0</v>
      </c>
      <c r="BP120">
        <f>SUMIFS('База практик'!$BU$5:$BU$311,'База практик'!$E$5:$E$311,Расчеты!BP$1)</f>
        <v>26</v>
      </c>
      <c r="BQ120">
        <f>SUMIFS('База практик'!$BU$5:$BU$311,'База практик'!$E$5:$E$311,Расчеты!BQ$1)</f>
        <v>0</v>
      </c>
      <c r="BR120" s="388">
        <f>SUMIFS('База практик'!$BU$5:$BU$311,'База практик'!$E$5:$E$311,Расчеты!BR$1)</f>
        <v>0</v>
      </c>
      <c r="BS120">
        <f>SUMIFS('База практик'!$BU$5:$BU$311,'База практик'!$E$5:$E$311,Расчеты!BS$1)</f>
        <v>0</v>
      </c>
      <c r="BT120">
        <f>SUMIFS('База практик'!$BU$5:$BU$311,'База практик'!$E$5:$E$311,Расчеты!BT$1)</f>
        <v>0</v>
      </c>
      <c r="BU120">
        <f>SUMIFS('База практик'!$BU$5:$BU$311,'База практик'!$E$5:$E$311,Расчеты!BU$1)</f>
        <v>0</v>
      </c>
      <c r="BV120">
        <f>SUMIFS('База практик'!$BU$5:$BU$311,'База практик'!$E$5:$E$311,Расчеты!BV$1)</f>
        <v>0</v>
      </c>
      <c r="BW120">
        <f>SUMIFS('База практик'!$BU$5:$BU$311,'База практик'!$E$5:$E$311,Расчеты!BW$1)</f>
        <v>0</v>
      </c>
      <c r="BX120">
        <f>SUMIFS('База практик'!$BU$5:$BU$311,'База практик'!$E$5:$E$311,Расчеты!BX$1)</f>
        <v>0</v>
      </c>
      <c r="BY120">
        <f>SUMIFS('База практик'!$BU$5:$BU$311,'База практик'!$E$5:$E$311,Расчеты!BY$1)</f>
        <v>0</v>
      </c>
      <c r="BZ120">
        <f>SUMIFS('База практик'!$BU$5:$BU$311,'База практик'!$E$5:$E$311,Расчеты!BZ$1)</f>
        <v>0</v>
      </c>
      <c r="CA120">
        <f>SUMIFS('База практик'!$BU$5:$BU$311,'База практик'!$E$5:$E$311,Расчеты!CA$1)</f>
        <v>0</v>
      </c>
      <c r="CB120">
        <f>SUMIFS('База практик'!$BU$5:$BU$311,'База практик'!$E$5:$E$311,Расчеты!CB$1)</f>
        <v>0</v>
      </c>
      <c r="CC120" s="388">
        <f>SUMIFS('База практик'!$BU$5:$BU$311,'База практик'!$E$5:$E$311,Расчеты!CC$1)</f>
        <v>0</v>
      </c>
      <c r="CD120">
        <f>SUMIFS('База практик'!$BU$5:$BU$311,'База практик'!$E$5:$E$311,Расчеты!CD$1)</f>
        <v>0</v>
      </c>
      <c r="CE120">
        <f>SUMIFS('База практик'!$BU$5:$BU$311,'База практик'!$E$5:$E$311,Расчеты!CE$1)</f>
        <v>0</v>
      </c>
      <c r="CF120">
        <f>SUMIFS('База практик'!$BU$5:$BU$311,'База практик'!$E$5:$E$311,Расчеты!CF$1)</f>
        <v>0</v>
      </c>
      <c r="CG120">
        <f>SUMIFS('База практик'!$BU$5:$BU$311,'База практик'!$E$5:$E$311,Расчеты!CG$1)</f>
        <v>0</v>
      </c>
      <c r="CH120">
        <f>SUMIFS('База практик'!$BU$5:$BU$311,'База практик'!$E$5:$E$311,Расчеты!CH$1)</f>
        <v>0</v>
      </c>
      <c r="CI120">
        <f>SUMIFS('База практик'!$BU$5:$BU$311,'База практик'!$E$5:$E$311,Расчеты!CI$1)</f>
        <v>0</v>
      </c>
      <c r="CJ120">
        <f>SUMIFS('База практик'!$BU$5:$BU$311,'База практик'!$E$5:$E$311,Расчеты!CJ$1)</f>
        <v>63</v>
      </c>
      <c r="CK120" s="388">
        <f>SUMIFS('База практик'!$BU$5:$BU$311,'База практик'!$E$5:$E$311,Расчеты!CK$1)</f>
        <v>0</v>
      </c>
      <c r="CL120">
        <f>SUMIFS('База практик'!$BU$5:$BU$311,'База практик'!$E$5:$E$311,Расчеты!CL$1)</f>
        <v>0</v>
      </c>
      <c r="CM120">
        <f>SUMIFS('База практик'!$BU$5:$BU$311,'База практик'!$E$5:$E$311,Расчеты!CM$1)</f>
        <v>0</v>
      </c>
      <c r="CN120">
        <f>SUMIFS('База практик'!$BU$5:$BU$311,'База практик'!$E$5:$E$311,Расчеты!CN$1)</f>
        <v>0</v>
      </c>
      <c r="CO120">
        <f>SUMIFS('База практик'!$BU$5:$BU$311,'База практик'!$E$5:$E$311,Расчеты!CO$1)</f>
        <v>1</v>
      </c>
      <c r="CP120" s="388">
        <f>SUMIFS('База практик'!$BU$5:$BU$311,'База практик'!$E$5:$E$311,Расчеты!CP$1)</f>
        <v>0</v>
      </c>
      <c r="CQ120">
        <f>SUMIFS('База практик'!$BU$5:$BU$311,'База практик'!$E$5:$E$311,Расчеты!CQ$1)</f>
        <v>2</v>
      </c>
      <c r="CR120">
        <f>SUMIFS('База практик'!$BU$5:$BU$311,'База практик'!$E$5:$E$311,Расчеты!CR$1)</f>
        <v>26</v>
      </c>
      <c r="CS120" s="388">
        <f>SUMIFS('База практик'!$BU$5:$BU$311,'База практик'!$E$5:$E$311,Расчеты!CS$1)</f>
        <v>0</v>
      </c>
      <c r="CT120">
        <f>SUMIFS('База практик'!$BU$5:$BU$311,'База практик'!$E$5:$E$311,Расчеты!CT$1)</f>
        <v>0</v>
      </c>
      <c r="CU120">
        <f>SUMIFS('База практик'!$BU$5:$BU$311,'База практик'!$E$5:$E$311,Расчеты!CU$1)</f>
        <v>0</v>
      </c>
      <c r="CV120">
        <f>SUMIFS('База практик'!$BU$5:$BU$311,'База практик'!$E$5:$E$311,Расчеты!CV$1)</f>
        <v>0</v>
      </c>
      <c r="CW120">
        <f>SUMIFS('База практик'!$BU$5:$BU$311,'База практик'!$E$5:$E$311,Расчеты!CW$1)</f>
        <v>0</v>
      </c>
    </row>
    <row r="121" spans="1:101" x14ac:dyDescent="0.25">
      <c r="A121" s="1660"/>
      <c r="B121" s="1660"/>
      <c r="C121" s="1671"/>
      <c r="D121" s="115" t="s">
        <v>4831</v>
      </c>
      <c r="E121" s="115">
        <v>79</v>
      </c>
      <c r="F121" s="116" t="s">
        <v>5101</v>
      </c>
      <c r="G121" s="1640"/>
      <c r="H121" s="183" t="s">
        <v>52</v>
      </c>
      <c r="I121" s="184"/>
      <c r="J121" s="171"/>
      <c r="K121" s="171"/>
      <c r="L121" s="171" t="s">
        <v>500</v>
      </c>
      <c r="M121" s="171">
        <v>1.3360933383515242E-2</v>
      </c>
      <c r="N121" s="171">
        <v>1.9036004029906146E-2</v>
      </c>
      <c r="O121" s="206">
        <v>9.0655189780687699E-3</v>
      </c>
    </row>
    <row r="122" spans="1:101" ht="25.5" x14ac:dyDescent="0.25">
      <c r="A122" s="1660"/>
      <c r="B122" s="1660"/>
      <c r="C122" s="1671"/>
      <c r="D122" s="115" t="s">
        <v>4831</v>
      </c>
      <c r="E122" s="115">
        <v>80</v>
      </c>
      <c r="F122" s="116" t="s">
        <v>5102</v>
      </c>
      <c r="G122" s="1640" t="s">
        <v>5103</v>
      </c>
      <c r="H122" s="183" t="s">
        <v>5056</v>
      </c>
      <c r="I122" s="184"/>
      <c r="J122" s="171"/>
      <c r="K122" s="171"/>
      <c r="L122" s="171"/>
      <c r="M122" s="171">
        <v>40</v>
      </c>
      <c r="N122" s="171">
        <v>41</v>
      </c>
      <c r="O122" s="172">
        <v>58</v>
      </c>
      <c r="P122">
        <f t="shared" si="174"/>
        <v>43</v>
      </c>
      <c r="Q122">
        <f>SUMIFS('База практик'!$BV$5:$BV$311,'База практик'!$E$5:$E$311,Расчеты!Q$1)</f>
        <v>0</v>
      </c>
      <c r="R122">
        <f>SUMIFS('База практик'!$BV$5:$BV$311,'База практик'!$E$5:$E$311,Расчеты!R$1)</f>
        <v>0</v>
      </c>
      <c r="S122">
        <f>SUMIFS('База практик'!$BV$5:$BV$311,'База практик'!$E$5:$E$311,Расчеты!S$1)</f>
        <v>0</v>
      </c>
      <c r="T122">
        <f>SUMIFS('База практик'!$BV$5:$BV$311,'База практик'!$E$5:$E$311,Расчеты!T$1)</f>
        <v>0</v>
      </c>
      <c r="U122">
        <f>SUMIFS('База практик'!$BV$5:$BV$311,'База практик'!$E$5:$E$311,Расчеты!U$1)</f>
        <v>15</v>
      </c>
      <c r="V122">
        <f>SUMIFS('База практик'!$BV$5:$BV$311,'База практик'!$E$5:$E$311,Расчеты!V$1)</f>
        <v>0</v>
      </c>
      <c r="W122">
        <f>SUMIFS('База практик'!$BV$5:$BV$311,'База практик'!$E$5:$E$311,Расчеты!W$1)</f>
        <v>1</v>
      </c>
      <c r="X122" s="388">
        <f>SUMIFS('База практик'!$BV$5:$BV$311,'База практик'!$E$5:$E$311,Расчеты!X$1)</f>
        <v>0</v>
      </c>
      <c r="Y122">
        <f>SUMIFS('База практик'!$BV$5:$BV$311,'База практик'!$E$5:$E$311,Расчеты!Y$1)</f>
        <v>0</v>
      </c>
      <c r="Z122">
        <f>SUMIFS('База практик'!$BV$5:$BV$311,'База практик'!$E$5:$E$311,Расчеты!Z$1)</f>
        <v>0</v>
      </c>
      <c r="AA122">
        <f>SUMIFS('База практик'!$BV$5:$BV$311,'База практик'!$E$5:$E$311,Расчеты!AA$1)</f>
        <v>18</v>
      </c>
      <c r="AB122">
        <f>SUMIFS('База практик'!$BV$5:$BV$311,'База практик'!$E$5:$E$311,Расчеты!AB$1)</f>
        <v>0</v>
      </c>
      <c r="AC122">
        <f>SUMIFS('База практик'!$BV$5:$BV$311,'База практик'!$E$5:$E$311,Расчеты!AC$1)</f>
        <v>0</v>
      </c>
      <c r="AD122">
        <f>SUMIFS('База практик'!$BV$5:$BV$311,'База практик'!$E$5:$E$311,Расчеты!AD$1)</f>
        <v>0</v>
      </c>
      <c r="AE122">
        <f>SUMIFS('База практик'!$BV$5:$BV$311,'База практик'!$E$5:$E$311,Расчеты!AE$1)</f>
        <v>0</v>
      </c>
      <c r="AF122" s="388">
        <f>SUMIFS('База практик'!$BV$5:$BV$311,'База практик'!$E$5:$E$311,Расчеты!AF$1)</f>
        <v>0</v>
      </c>
      <c r="AG122">
        <f>SUMIFS('База практик'!$BV$5:$BV$311,'База практик'!$E$5:$E$311,Расчеты!AG$1)</f>
        <v>0</v>
      </c>
      <c r="AH122">
        <f>SUMIFS('База практик'!$BV$5:$BV$311,'База практик'!$E$5:$E$311,Расчеты!AH$1)</f>
        <v>0</v>
      </c>
      <c r="AI122">
        <f>SUMIFS('База практик'!$BV$5:$BV$311,'База практик'!$E$5:$E$311,Расчеты!AI$1)</f>
        <v>0</v>
      </c>
      <c r="AJ122">
        <f>SUMIFS('База практик'!$BV$5:$BV$311,'База практик'!$E$5:$E$311,Расчеты!AJ$1)</f>
        <v>0</v>
      </c>
      <c r="AK122">
        <f>SUMIFS('База практик'!$BV$5:$BV$311,'База практик'!$E$5:$E$311,Расчеты!AK$1)</f>
        <v>0</v>
      </c>
      <c r="AL122">
        <f>SUMIFS('База практик'!$BV$5:$BV$311,'База практик'!$E$5:$E$311,Расчеты!AL$1)</f>
        <v>0</v>
      </c>
      <c r="AM122">
        <f>SUMIFS('База практик'!$BV$5:$BV$311,'База практик'!$E$5:$E$311,Расчеты!AM$1)</f>
        <v>0</v>
      </c>
      <c r="AN122">
        <f>SUMIFS('База практик'!$BV$5:$BV$311,'База практик'!$E$5:$E$311,Расчеты!AN$1)</f>
        <v>0</v>
      </c>
      <c r="AO122" s="388">
        <f>SUMIFS('База практик'!$BV$5:$BV$311,'База практик'!$E$5:$E$311,Расчеты!AO$1)</f>
        <v>0</v>
      </c>
      <c r="AP122" s="388">
        <f>SUMIFS('База практик'!$BV$5:$BV$311,'База практик'!$E$5:$E$311,Расчеты!AP$1)</f>
        <v>0</v>
      </c>
      <c r="AQ122">
        <f>SUMIFS('База практик'!$BV$5:$BV$311,'База практик'!$E$5:$E$311,Расчеты!AQ$1)</f>
        <v>0</v>
      </c>
      <c r="AR122">
        <f>SUMIFS('База практик'!$BV$5:$BV$311,'База практик'!$E$5:$E$311,Расчеты!AR$1)</f>
        <v>0</v>
      </c>
      <c r="AS122">
        <f>SUMIFS('База практик'!$BV$5:$BV$311,'База практик'!$E$5:$E$311,Расчеты!AS$1)</f>
        <v>0</v>
      </c>
      <c r="AT122">
        <f>SUMIFS('База практик'!$BV$5:$BV$311,'База практик'!$E$5:$E$311,Расчеты!AT$1)</f>
        <v>0</v>
      </c>
      <c r="AU122">
        <f>SUMIFS('База практик'!$BV$5:$BV$311,'База практик'!$E$5:$E$311,Расчеты!AU$1)</f>
        <v>0</v>
      </c>
      <c r="AV122">
        <f>SUMIFS('База практик'!$BV$5:$BV$311,'База практик'!$E$5:$E$311,Расчеты!AV$1)</f>
        <v>0</v>
      </c>
      <c r="AW122">
        <f>SUMIFS('База практик'!$BV$5:$BV$311,'База практик'!$E$5:$E$311,Расчеты!AW$1)</f>
        <v>0</v>
      </c>
      <c r="AX122">
        <f>SUMIFS('База практик'!$BV$5:$BV$311,'База практик'!$E$5:$E$311,Расчеты!AX$1)</f>
        <v>0</v>
      </c>
      <c r="AY122">
        <f>SUMIFS('База практик'!$BV$5:$BV$311,'База практик'!$E$5:$E$311,Расчеты!AY$1)</f>
        <v>0</v>
      </c>
      <c r="AZ122">
        <f>SUMIFS('База практик'!$BV$5:$BV$311,'База практик'!$E$5:$E$311,Расчеты!AZ$1)</f>
        <v>0</v>
      </c>
      <c r="BA122">
        <f>SUMIFS('База практик'!$BV$5:$BV$311,'База практик'!$E$5:$E$311,Расчеты!BA$1)</f>
        <v>2</v>
      </c>
      <c r="BB122">
        <f>SUMIFS('База практик'!$BV$5:$BV$311,'База практик'!$E$5:$E$311,Расчеты!BB$1)</f>
        <v>0</v>
      </c>
      <c r="BC122" s="388">
        <f>SUMIFS('База практик'!$BV$5:$BV$311,'База практик'!$E$5:$E$311,Расчеты!BC$1)</f>
        <v>0</v>
      </c>
      <c r="BD122">
        <f>SUMIFS('База практик'!$BV$5:$BV$311,'База практик'!$E$5:$E$311,Расчеты!BD$1)</f>
        <v>0</v>
      </c>
      <c r="BE122" s="388">
        <f>SUMIFS('База практик'!$BV$5:$BV$311,'База практик'!$E$5:$E$311,Расчеты!BE$1)</f>
        <v>0</v>
      </c>
      <c r="BF122" s="388">
        <f>SUMIFS('База практик'!$BV$5:$BV$311,'База практик'!$E$5:$E$311,Расчеты!BF$1)</f>
        <v>0</v>
      </c>
      <c r="BG122">
        <f>SUMIFS('База практик'!$BV$5:$BV$311,'База практик'!$E$5:$E$311,Расчеты!BG$1)</f>
        <v>0</v>
      </c>
      <c r="BH122">
        <f>SUMIFS('База практик'!$BV$5:$BV$311,'База практик'!$E$5:$E$311,Расчеты!BH$1)</f>
        <v>0</v>
      </c>
      <c r="BI122">
        <f>SUMIFS('База практик'!$BV$5:$BV$311,'База практик'!$E$5:$E$311,Расчеты!BI$1)</f>
        <v>0</v>
      </c>
      <c r="BJ122">
        <f>SUMIFS('База практик'!$BV$5:$BV$311,'База практик'!$E$5:$E$311,Расчеты!BJ$1)</f>
        <v>1</v>
      </c>
      <c r="BK122">
        <f>SUMIFS('База практик'!$BV$5:$BV$311,'База практик'!$E$5:$E$311,Расчеты!BK$1)</f>
        <v>0</v>
      </c>
      <c r="BL122">
        <f>SUMIFS('База практик'!$BV$5:$BV$311,'База практик'!$E$5:$E$311,Расчеты!BL$1)</f>
        <v>0</v>
      </c>
      <c r="BM122">
        <f>SUMIFS('База практик'!$BV$5:$BV$311,'База практик'!$E$5:$E$311,Расчеты!BM$1)</f>
        <v>0</v>
      </c>
      <c r="BN122">
        <f>SUMIFS('База практик'!$BV$5:$BV$311,'База практик'!$E$5:$E$311,Расчеты!BN$1)</f>
        <v>0</v>
      </c>
      <c r="BO122">
        <f>SUMIFS('База практик'!$BV$5:$BV$311,'База практик'!$E$5:$E$311,Расчеты!BO$1)</f>
        <v>0</v>
      </c>
      <c r="BP122">
        <f>SUMIFS('База практик'!$BV$5:$BV$311,'База практик'!$E$5:$E$311,Расчеты!BP$1)</f>
        <v>0</v>
      </c>
      <c r="BQ122">
        <f>SUMIFS('База практик'!$BV$5:$BV$311,'База практик'!$E$5:$E$311,Расчеты!BQ$1)</f>
        <v>0</v>
      </c>
      <c r="BR122" s="388">
        <f>SUMIFS('База практик'!$BV$5:$BV$311,'База практик'!$E$5:$E$311,Расчеты!BR$1)</f>
        <v>0</v>
      </c>
      <c r="BS122">
        <f>SUMIFS('База практик'!$BV$5:$BV$311,'База практик'!$E$5:$E$311,Расчеты!BS$1)</f>
        <v>0</v>
      </c>
      <c r="BT122">
        <f>SUMIFS('База практик'!$BV$5:$BV$311,'База практик'!$E$5:$E$311,Расчеты!BT$1)</f>
        <v>0</v>
      </c>
      <c r="BU122">
        <f>SUMIFS('База практик'!$BV$5:$BV$311,'База практик'!$E$5:$E$311,Расчеты!BU$1)</f>
        <v>0</v>
      </c>
      <c r="BV122">
        <f>SUMIFS('База практик'!$BV$5:$BV$311,'База практик'!$E$5:$E$311,Расчеты!BV$1)</f>
        <v>0</v>
      </c>
      <c r="BW122">
        <f>SUMIFS('База практик'!$BV$5:$BV$311,'База практик'!$E$5:$E$311,Расчеты!BW$1)</f>
        <v>0</v>
      </c>
      <c r="BX122">
        <f>SUMIFS('База практик'!$BV$5:$BV$311,'База практик'!$E$5:$E$311,Расчеты!BX$1)</f>
        <v>0</v>
      </c>
      <c r="BY122">
        <f>SUMIFS('База практик'!$BV$5:$BV$311,'База практик'!$E$5:$E$311,Расчеты!BY$1)</f>
        <v>0</v>
      </c>
      <c r="BZ122">
        <f>SUMIFS('База практик'!$BV$5:$BV$311,'База практик'!$E$5:$E$311,Расчеты!BZ$1)</f>
        <v>0</v>
      </c>
      <c r="CA122">
        <f>SUMIFS('База практик'!$BV$5:$BV$311,'База практик'!$E$5:$E$311,Расчеты!CA$1)</f>
        <v>0</v>
      </c>
      <c r="CB122">
        <f>SUMIFS('База практик'!$BV$5:$BV$311,'База практик'!$E$5:$E$311,Расчеты!CB$1)</f>
        <v>0</v>
      </c>
      <c r="CC122" s="388">
        <f>SUMIFS('База практик'!$BV$5:$BV$311,'База практик'!$E$5:$E$311,Расчеты!CC$1)</f>
        <v>0</v>
      </c>
      <c r="CD122">
        <f>SUMIFS('База практик'!$BV$5:$BV$311,'База практик'!$E$5:$E$311,Расчеты!CD$1)</f>
        <v>0</v>
      </c>
      <c r="CE122">
        <f>SUMIFS('База практик'!$BV$5:$BV$311,'База практик'!$E$5:$E$311,Расчеты!CE$1)</f>
        <v>0</v>
      </c>
      <c r="CF122">
        <f>SUMIFS('База практик'!$BV$5:$BV$311,'База практик'!$E$5:$E$311,Расчеты!CF$1)</f>
        <v>2</v>
      </c>
      <c r="CG122">
        <f>SUMIFS('База практик'!$BV$5:$BV$311,'База практик'!$E$5:$E$311,Расчеты!CG$1)</f>
        <v>0</v>
      </c>
      <c r="CH122">
        <f>SUMIFS('База практик'!$BV$5:$BV$311,'База практик'!$E$5:$E$311,Расчеты!CH$1)</f>
        <v>0</v>
      </c>
      <c r="CI122">
        <f>SUMIFS('База практик'!$BV$5:$BV$311,'База практик'!$E$5:$E$311,Расчеты!CI$1)</f>
        <v>0</v>
      </c>
      <c r="CJ122">
        <f>SUMIFS('База практик'!$BV$5:$BV$311,'База практик'!$E$5:$E$311,Расчеты!CJ$1)</f>
        <v>0</v>
      </c>
      <c r="CK122" s="388">
        <f>SUMIFS('База практик'!$BV$5:$BV$311,'База практик'!$E$5:$E$311,Расчеты!CK$1)</f>
        <v>0</v>
      </c>
      <c r="CL122">
        <f>SUMIFS('База практик'!$BV$5:$BV$311,'База практик'!$E$5:$E$311,Расчеты!CL$1)</f>
        <v>0</v>
      </c>
      <c r="CM122">
        <f>SUMIFS('База практик'!$BV$5:$BV$311,'База практик'!$E$5:$E$311,Расчеты!CM$1)</f>
        <v>0</v>
      </c>
      <c r="CN122">
        <f>SUMIFS('База практик'!$BV$5:$BV$311,'База практик'!$E$5:$E$311,Расчеты!CN$1)</f>
        <v>3</v>
      </c>
      <c r="CO122">
        <f>SUMIFS('База практик'!$BV$5:$BV$311,'База практик'!$E$5:$E$311,Расчеты!CO$1)</f>
        <v>1</v>
      </c>
      <c r="CP122" s="388">
        <f>SUMIFS('База практик'!$BV$5:$BV$311,'База практик'!$E$5:$E$311,Расчеты!CP$1)</f>
        <v>0</v>
      </c>
      <c r="CQ122">
        <f>SUMIFS('База практик'!$BV$5:$BV$311,'База практик'!$E$5:$E$311,Расчеты!CQ$1)</f>
        <v>0</v>
      </c>
      <c r="CR122">
        <f>SUMIFS('База практик'!$BV$5:$BV$311,'База практик'!$E$5:$E$311,Расчеты!CR$1)</f>
        <v>0</v>
      </c>
      <c r="CS122" s="388">
        <f>SUMIFS('База практик'!$BV$5:$BV$311,'База практик'!$E$5:$E$311,Расчеты!CS$1)</f>
        <v>0</v>
      </c>
      <c r="CT122">
        <f>SUMIFS('База практик'!$BV$5:$BV$311,'База практик'!$E$5:$E$311,Расчеты!CT$1)</f>
        <v>0</v>
      </c>
      <c r="CU122">
        <f>SUMIFS('База практик'!$BV$5:$BV$311,'База практик'!$E$5:$E$311,Расчеты!CU$1)</f>
        <v>0</v>
      </c>
      <c r="CV122">
        <f>SUMIFS('База практик'!$BV$5:$BV$311,'База практик'!$E$5:$E$311,Расчеты!CV$1)</f>
        <v>0</v>
      </c>
      <c r="CW122">
        <f>SUMIFS('База практик'!$BV$5:$BV$311,'База практик'!$E$5:$E$311,Расчеты!CW$1)</f>
        <v>0</v>
      </c>
    </row>
    <row r="123" spans="1:101" x14ac:dyDescent="0.25">
      <c r="A123" s="1660"/>
      <c r="B123" s="1660"/>
      <c r="C123" s="1671"/>
      <c r="D123" s="115" t="s">
        <v>4831</v>
      </c>
      <c r="E123" s="115">
        <v>81</v>
      </c>
      <c r="F123" s="116" t="s">
        <v>5104</v>
      </c>
      <c r="G123" s="1640"/>
      <c r="H123" s="183" t="s">
        <v>52</v>
      </c>
      <c r="I123" s="184"/>
      <c r="J123" s="171"/>
      <c r="K123" s="171"/>
      <c r="L123" s="171" t="s">
        <v>500</v>
      </c>
      <c r="M123" s="171">
        <v>2.5090954710826749E-3</v>
      </c>
      <c r="N123" s="171">
        <v>2.1740283153931809E-3</v>
      </c>
      <c r="O123" s="206">
        <v>2.6555560642827708E-3</v>
      </c>
    </row>
    <row r="124" spans="1:101" ht="25.5" x14ac:dyDescent="0.25">
      <c r="A124" s="1660"/>
      <c r="B124" s="1660"/>
      <c r="C124" s="1671"/>
      <c r="D124" s="115" t="s">
        <v>4831</v>
      </c>
      <c r="E124" s="115">
        <v>82</v>
      </c>
      <c r="F124" s="116" t="s">
        <v>5105</v>
      </c>
      <c r="G124" s="1640" t="s">
        <v>5106</v>
      </c>
      <c r="H124" s="183" t="s">
        <v>5056</v>
      </c>
      <c r="I124" s="184"/>
      <c r="J124" s="171"/>
      <c r="K124" s="171"/>
      <c r="L124" s="171"/>
      <c r="M124" s="171">
        <v>646</v>
      </c>
      <c r="N124" s="171">
        <v>311</v>
      </c>
      <c r="O124" s="172">
        <v>417</v>
      </c>
      <c r="P124">
        <f t="shared" si="174"/>
        <v>420</v>
      </c>
      <c r="Q124">
        <f>SUMIFS('База практик'!$BW$5:$BW$311,'База практик'!$E$5:$E$311,Расчеты!Q$1)</f>
        <v>0</v>
      </c>
      <c r="R124">
        <f>SUMIFS('База практик'!$BW$5:$BW$311,'База практик'!$E$5:$E$311,Расчеты!R$1)</f>
        <v>0</v>
      </c>
      <c r="S124">
        <f>SUMIFS('База практик'!$BW$5:$BW$311,'База практик'!$E$5:$E$311,Расчеты!S$1)</f>
        <v>0</v>
      </c>
      <c r="T124">
        <f>SUMIFS('База практик'!$BW$5:$BW$311,'База практик'!$E$5:$E$311,Расчеты!T$1)</f>
        <v>0</v>
      </c>
      <c r="U124">
        <f>SUMIFS('База практик'!$BW$5:$BW$311,'База практик'!$E$5:$E$311,Расчеты!U$1)</f>
        <v>0</v>
      </c>
      <c r="V124">
        <f>SUMIFS('База практик'!$BW$5:$BW$311,'База практик'!$E$5:$E$311,Расчеты!V$1)</f>
        <v>0</v>
      </c>
      <c r="W124">
        <f>SUMIFS('База практик'!$BW$5:$BW$311,'База практик'!$E$5:$E$311,Расчеты!W$1)</f>
        <v>49</v>
      </c>
      <c r="X124" s="388">
        <f>SUMIFS('База практик'!$BW$5:$BW$311,'База практик'!$E$5:$E$311,Расчеты!X$1)</f>
        <v>0</v>
      </c>
      <c r="Y124">
        <f>SUMIFS('База практик'!$BW$5:$BW$311,'База практик'!$E$5:$E$311,Расчеты!Y$1)</f>
        <v>0</v>
      </c>
      <c r="Z124">
        <f>SUMIFS('База практик'!$BW$5:$BW$311,'База практик'!$E$5:$E$311,Расчеты!Z$1)</f>
        <v>0</v>
      </c>
      <c r="AA124">
        <f>SUMIFS('База практик'!$BW$5:$BW$311,'База практик'!$E$5:$E$311,Расчеты!AA$1)</f>
        <v>0</v>
      </c>
      <c r="AB124">
        <f>SUMIFS('База практик'!$BW$5:$BW$311,'База практик'!$E$5:$E$311,Расчеты!AB$1)</f>
        <v>0</v>
      </c>
      <c r="AC124">
        <f>SUMIFS('База практик'!$BW$5:$BW$311,'База практик'!$E$5:$E$311,Расчеты!AC$1)</f>
        <v>0</v>
      </c>
      <c r="AD124">
        <f>SUMIFS('База практик'!$BW$5:$BW$311,'База практик'!$E$5:$E$311,Расчеты!AD$1)</f>
        <v>0</v>
      </c>
      <c r="AE124">
        <f>SUMIFS('База практик'!$BW$5:$BW$311,'База практик'!$E$5:$E$311,Расчеты!AE$1)</f>
        <v>0</v>
      </c>
      <c r="AF124" s="388">
        <f>SUMIFS('База практик'!$BW$5:$BW$311,'База практик'!$E$5:$E$311,Расчеты!AF$1)</f>
        <v>0</v>
      </c>
      <c r="AG124">
        <f>SUMIFS('База практик'!$BW$5:$BW$311,'База практик'!$E$5:$E$311,Расчеты!AG$1)</f>
        <v>0</v>
      </c>
      <c r="AH124">
        <f>SUMIFS('База практик'!$BW$5:$BW$311,'База практик'!$E$5:$E$311,Расчеты!AH$1)</f>
        <v>0</v>
      </c>
      <c r="AI124">
        <f>SUMIFS('База практик'!$BW$5:$BW$311,'База практик'!$E$5:$E$311,Расчеты!AI$1)</f>
        <v>0</v>
      </c>
      <c r="AJ124">
        <f>SUMIFS('База практик'!$BW$5:$BW$311,'База практик'!$E$5:$E$311,Расчеты!AJ$1)</f>
        <v>245</v>
      </c>
      <c r="AK124">
        <f>SUMIFS('База практик'!$BW$5:$BW$311,'База практик'!$E$5:$E$311,Расчеты!AK$1)</f>
        <v>0</v>
      </c>
      <c r="AL124">
        <f>SUMIFS('База практик'!$BW$5:$BW$311,'База практик'!$E$5:$E$311,Расчеты!AL$1)</f>
        <v>0</v>
      </c>
      <c r="AM124">
        <f>SUMIFS('База практик'!$BW$5:$BW$311,'База практик'!$E$5:$E$311,Расчеты!AM$1)</f>
        <v>0</v>
      </c>
      <c r="AN124">
        <f>SUMIFS('База практик'!$BW$5:$BW$311,'База практик'!$E$5:$E$311,Расчеты!AN$1)</f>
        <v>0</v>
      </c>
      <c r="AO124" s="388">
        <f>SUMIFS('База практик'!$BW$5:$BW$311,'База практик'!$E$5:$E$311,Расчеты!AO$1)</f>
        <v>0</v>
      </c>
      <c r="AP124" s="388">
        <f>SUMIFS('База практик'!$BW$5:$BW$311,'База практик'!$E$5:$E$311,Расчеты!AP$1)</f>
        <v>0</v>
      </c>
      <c r="AQ124">
        <f>SUMIFS('База практик'!$BW$5:$BW$311,'База практик'!$E$5:$E$311,Расчеты!AQ$1)</f>
        <v>3</v>
      </c>
      <c r="AR124">
        <f>SUMIFS('База практик'!$BW$5:$BW$311,'База практик'!$E$5:$E$311,Расчеты!AR$1)</f>
        <v>0</v>
      </c>
      <c r="AS124">
        <f>SUMIFS('База практик'!$BW$5:$BW$311,'База практик'!$E$5:$E$311,Расчеты!AS$1)</f>
        <v>2</v>
      </c>
      <c r="AT124">
        <f>SUMIFS('База практик'!$BW$5:$BW$311,'База практик'!$E$5:$E$311,Расчеты!AT$1)</f>
        <v>22</v>
      </c>
      <c r="AU124">
        <f>SUMIFS('База практик'!$BW$5:$BW$311,'База практик'!$E$5:$E$311,Расчеты!AU$1)</f>
        <v>0</v>
      </c>
      <c r="AV124">
        <f>SUMIFS('База практик'!$BW$5:$BW$311,'База практик'!$E$5:$E$311,Расчеты!AV$1)</f>
        <v>0</v>
      </c>
      <c r="AW124">
        <f>SUMIFS('База практик'!$BW$5:$BW$311,'База практик'!$E$5:$E$311,Расчеты!AW$1)</f>
        <v>0</v>
      </c>
      <c r="AX124">
        <f>SUMIFS('База практик'!$BW$5:$BW$311,'База практик'!$E$5:$E$311,Расчеты!AX$1)</f>
        <v>0</v>
      </c>
      <c r="AY124">
        <f>SUMIFS('База практик'!$BW$5:$BW$311,'База практик'!$E$5:$E$311,Расчеты!AY$1)</f>
        <v>0</v>
      </c>
      <c r="AZ124">
        <f>SUMIFS('База практик'!$BW$5:$BW$311,'База практик'!$E$5:$E$311,Расчеты!AZ$1)</f>
        <v>0</v>
      </c>
      <c r="BA124">
        <f>SUMIFS('База практик'!$BW$5:$BW$311,'База практик'!$E$5:$E$311,Расчеты!BA$1)</f>
        <v>2</v>
      </c>
      <c r="BB124">
        <f>SUMIFS('База практик'!$BW$5:$BW$311,'База практик'!$E$5:$E$311,Расчеты!BB$1)</f>
        <v>0</v>
      </c>
      <c r="BC124" s="388">
        <f>SUMIFS('База практик'!$BW$5:$BW$311,'База практик'!$E$5:$E$311,Расчеты!BC$1)</f>
        <v>0</v>
      </c>
      <c r="BD124">
        <f>SUMIFS('База практик'!$BW$5:$BW$311,'База практик'!$E$5:$E$311,Расчеты!BD$1)</f>
        <v>0</v>
      </c>
      <c r="BE124" s="388">
        <f>SUMIFS('База практик'!$BW$5:$BW$311,'База практик'!$E$5:$E$311,Расчеты!BE$1)</f>
        <v>0</v>
      </c>
      <c r="BF124" s="388">
        <f>SUMIFS('База практик'!$BW$5:$BW$311,'База практик'!$E$5:$E$311,Расчеты!BF$1)</f>
        <v>0</v>
      </c>
      <c r="BG124">
        <f>SUMIFS('База практик'!$BW$5:$BW$311,'База практик'!$E$5:$E$311,Расчеты!BG$1)</f>
        <v>0</v>
      </c>
      <c r="BH124">
        <f>SUMIFS('База практик'!$BW$5:$BW$311,'База практик'!$E$5:$E$311,Расчеты!BH$1)</f>
        <v>1</v>
      </c>
      <c r="BI124">
        <f>SUMIFS('База практик'!$BW$5:$BW$311,'База практик'!$E$5:$E$311,Расчеты!BI$1)</f>
        <v>0</v>
      </c>
      <c r="BJ124">
        <f>SUMIFS('База практик'!$BW$5:$BW$311,'База практик'!$E$5:$E$311,Расчеты!BJ$1)</f>
        <v>4</v>
      </c>
      <c r="BK124">
        <f>SUMIFS('База практик'!$BW$5:$BW$311,'База практик'!$E$5:$E$311,Расчеты!BK$1)</f>
        <v>2</v>
      </c>
      <c r="BL124">
        <f>SUMIFS('База практик'!$BW$5:$BW$311,'База практик'!$E$5:$E$311,Расчеты!BL$1)</f>
        <v>3</v>
      </c>
      <c r="BM124">
        <f>SUMIFS('База практик'!$BW$5:$BW$311,'База практик'!$E$5:$E$311,Расчеты!BM$1)</f>
        <v>0</v>
      </c>
      <c r="BN124">
        <f>SUMIFS('База практик'!$BW$5:$BW$311,'База практик'!$E$5:$E$311,Расчеты!BN$1)</f>
        <v>10</v>
      </c>
      <c r="BO124">
        <f>SUMIFS('База практик'!$BW$5:$BW$311,'База практик'!$E$5:$E$311,Расчеты!BO$1)</f>
        <v>1</v>
      </c>
      <c r="BP124">
        <f>SUMIFS('База практик'!$BW$5:$BW$311,'База практик'!$E$5:$E$311,Расчеты!BP$1)</f>
        <v>1</v>
      </c>
      <c r="BQ124">
        <f>SUMIFS('База практик'!$BW$5:$BW$311,'База практик'!$E$5:$E$311,Расчеты!BQ$1)</f>
        <v>0</v>
      </c>
      <c r="BR124" s="388">
        <f>SUMIFS('База практик'!$BW$5:$BW$311,'База практик'!$E$5:$E$311,Расчеты!BR$1)</f>
        <v>0</v>
      </c>
      <c r="BS124">
        <f>SUMIFS('База практик'!$BW$5:$BW$311,'База практик'!$E$5:$E$311,Расчеты!BS$1)</f>
        <v>0</v>
      </c>
      <c r="BT124">
        <f>SUMIFS('База практик'!$BW$5:$BW$311,'База практик'!$E$5:$E$311,Расчеты!BT$1)</f>
        <v>0</v>
      </c>
      <c r="BU124">
        <f>SUMIFS('База практик'!$BW$5:$BW$311,'База практик'!$E$5:$E$311,Расчеты!BU$1)</f>
        <v>0</v>
      </c>
      <c r="BV124">
        <f>SUMIFS('База практик'!$BW$5:$BW$311,'База практик'!$E$5:$E$311,Расчеты!BV$1)</f>
        <v>6</v>
      </c>
      <c r="BW124">
        <f>SUMIFS('База практик'!$BW$5:$BW$311,'База практик'!$E$5:$E$311,Расчеты!BW$1)</f>
        <v>0</v>
      </c>
      <c r="BX124">
        <f>SUMIFS('База практик'!$BW$5:$BW$311,'База практик'!$E$5:$E$311,Расчеты!BX$1)</f>
        <v>0</v>
      </c>
      <c r="BY124">
        <f>SUMIFS('База практик'!$BW$5:$BW$311,'База практик'!$E$5:$E$311,Расчеты!BY$1)</f>
        <v>14</v>
      </c>
      <c r="BZ124">
        <f>SUMIFS('База практик'!$BW$5:$BW$311,'База практик'!$E$5:$E$311,Расчеты!BZ$1)</f>
        <v>1</v>
      </c>
      <c r="CA124">
        <f>SUMIFS('База практик'!$BW$5:$BW$311,'База практик'!$E$5:$E$311,Расчеты!CA$1)</f>
        <v>0</v>
      </c>
      <c r="CB124">
        <f>SUMIFS('База практик'!$BW$5:$BW$311,'База практик'!$E$5:$E$311,Расчеты!CB$1)</f>
        <v>0</v>
      </c>
      <c r="CC124" s="388">
        <f>SUMIFS('База практик'!$BW$5:$BW$311,'База практик'!$E$5:$E$311,Расчеты!CC$1)</f>
        <v>0</v>
      </c>
      <c r="CD124">
        <f>SUMIFS('База практик'!$BW$5:$BW$311,'База практик'!$E$5:$E$311,Расчеты!CD$1)</f>
        <v>0</v>
      </c>
      <c r="CE124">
        <f>SUMIFS('База практик'!$BW$5:$BW$311,'База практик'!$E$5:$E$311,Расчеты!CE$1)</f>
        <v>0</v>
      </c>
      <c r="CF124">
        <f>SUMIFS('База практик'!$BW$5:$BW$311,'База практик'!$E$5:$E$311,Расчеты!CF$1)</f>
        <v>5</v>
      </c>
      <c r="CG124">
        <f>SUMIFS('База практик'!$BW$5:$BW$311,'База практик'!$E$5:$E$311,Расчеты!CG$1)</f>
        <v>0</v>
      </c>
      <c r="CH124">
        <f>SUMIFS('База практик'!$BW$5:$BW$311,'База практик'!$E$5:$E$311,Расчеты!CH$1)</f>
        <v>14</v>
      </c>
      <c r="CI124">
        <f>SUMIFS('База практик'!$BW$5:$BW$311,'База практик'!$E$5:$E$311,Расчеты!CI$1)</f>
        <v>0</v>
      </c>
      <c r="CJ124">
        <f>SUMIFS('База практик'!$BW$5:$BW$311,'База практик'!$E$5:$E$311,Расчеты!CJ$1)</f>
        <v>0</v>
      </c>
      <c r="CK124" s="388">
        <f>SUMIFS('База практик'!$BW$5:$BW$311,'База практик'!$E$5:$E$311,Расчеты!CK$1)</f>
        <v>0</v>
      </c>
      <c r="CL124">
        <f>SUMIFS('База практик'!$BW$5:$BW$311,'База практик'!$E$5:$E$311,Расчеты!CL$1)</f>
        <v>0</v>
      </c>
      <c r="CM124">
        <f>SUMIFS('База практик'!$BW$5:$BW$311,'База практик'!$E$5:$E$311,Расчеты!CM$1)</f>
        <v>1</v>
      </c>
      <c r="CN124">
        <f>SUMIFS('База практик'!$BW$5:$BW$311,'База практик'!$E$5:$E$311,Расчеты!CN$1)</f>
        <v>0</v>
      </c>
      <c r="CO124">
        <f>SUMIFS('База практик'!$BW$5:$BW$311,'База практик'!$E$5:$E$311,Расчеты!CO$1)</f>
        <v>1</v>
      </c>
      <c r="CP124" s="388">
        <f>SUMIFS('База практик'!$BW$5:$BW$311,'База практик'!$E$5:$E$311,Расчеты!CP$1)</f>
        <v>0</v>
      </c>
      <c r="CQ124">
        <f>SUMIFS('База практик'!$BW$5:$BW$311,'База практик'!$E$5:$E$311,Расчеты!CQ$1)</f>
        <v>2</v>
      </c>
      <c r="CR124">
        <f>SUMIFS('База практик'!$BW$5:$BW$311,'База практик'!$E$5:$E$311,Расчеты!CR$1)</f>
        <v>10</v>
      </c>
      <c r="CS124" s="388">
        <f>SUMIFS('База практик'!$BW$5:$BW$311,'База практик'!$E$5:$E$311,Расчеты!CS$1)</f>
        <v>0</v>
      </c>
      <c r="CT124">
        <f>SUMIFS('База практик'!$BW$5:$BW$311,'База практик'!$E$5:$E$311,Расчеты!CT$1)</f>
        <v>0</v>
      </c>
      <c r="CU124">
        <f>SUMIFS('База практик'!$BW$5:$BW$311,'База практик'!$E$5:$E$311,Расчеты!CU$1)</f>
        <v>0</v>
      </c>
      <c r="CV124">
        <f>SUMIFS('База практик'!$BW$5:$BW$311,'База практик'!$E$5:$E$311,Расчеты!CV$1)</f>
        <v>4</v>
      </c>
      <c r="CW124">
        <f>SUMIFS('База практик'!$BW$5:$BW$311,'База практик'!$E$5:$E$311,Расчеты!CW$1)</f>
        <v>17</v>
      </c>
    </row>
    <row r="125" spans="1:101" x14ac:dyDescent="0.25">
      <c r="A125" s="1660"/>
      <c r="B125" s="1660"/>
      <c r="C125" s="1671"/>
      <c r="D125" s="115" t="s">
        <v>4831</v>
      </c>
      <c r="E125" s="115">
        <v>83</v>
      </c>
      <c r="F125" s="116" t="s">
        <v>5107</v>
      </c>
      <c r="G125" s="1640"/>
      <c r="H125" s="183" t="s">
        <v>52</v>
      </c>
      <c r="I125" s="184"/>
      <c r="J125" s="171"/>
      <c r="K125" s="171"/>
      <c r="L125" s="171"/>
      <c r="M125" s="171">
        <v>4.0521891857985194E-2</v>
      </c>
      <c r="N125" s="171">
        <v>1.6490800148470226E-2</v>
      </c>
      <c r="O125" s="172">
        <v>1.9092532393205439E-2</v>
      </c>
    </row>
    <row r="126" spans="1:101" ht="25.5" x14ac:dyDescent="0.25">
      <c r="A126" s="1660"/>
      <c r="B126" s="1660"/>
      <c r="C126" s="1671"/>
      <c r="D126" s="115" t="s">
        <v>4831</v>
      </c>
      <c r="E126" s="115">
        <v>91</v>
      </c>
      <c r="F126" s="118" t="s">
        <v>5108</v>
      </c>
      <c r="G126" s="1640" t="s">
        <v>38</v>
      </c>
      <c r="H126" s="183" t="s">
        <v>5056</v>
      </c>
      <c r="I126" s="184"/>
      <c r="J126" s="171"/>
      <c r="K126" s="171"/>
      <c r="L126" s="171"/>
      <c r="M126" s="171" t="s">
        <v>4844</v>
      </c>
      <c r="N126" s="171">
        <v>557</v>
      </c>
      <c r="O126" s="172">
        <v>110</v>
      </c>
      <c r="P126">
        <f t="shared" si="174"/>
        <v>64</v>
      </c>
      <c r="Q126">
        <f>SUMIFS('База практик'!$BX$5:$BX$311,'База практик'!$E$5:$E$311,Расчеты!Q$1)</f>
        <v>0</v>
      </c>
      <c r="R126">
        <f>SUMIFS('База практик'!$BX$5:$BX$311,'База практик'!$E$5:$E$311,Расчеты!R$1)</f>
        <v>0</v>
      </c>
      <c r="S126">
        <f>SUMIFS('База практик'!$BX$5:$BX$311,'База практик'!$E$5:$E$311,Расчеты!S$1)</f>
        <v>0</v>
      </c>
      <c r="T126">
        <f>SUMIFS('База практик'!$BX$5:$BX$311,'База практик'!$E$5:$E$311,Расчеты!T$1)</f>
        <v>0</v>
      </c>
      <c r="U126">
        <f>SUMIFS('База практик'!$BX$5:$BX$311,'База практик'!$E$5:$E$311,Расчеты!U$1)</f>
        <v>23</v>
      </c>
      <c r="V126">
        <f>SUMIFS('База практик'!$BX$5:$BX$311,'База практик'!$E$5:$E$311,Расчеты!V$1)</f>
        <v>0</v>
      </c>
      <c r="W126">
        <f>SUMIFS('База практик'!$BX$5:$BX$311,'База практик'!$E$5:$E$311,Расчеты!W$1)</f>
        <v>0</v>
      </c>
      <c r="X126" s="388">
        <f>SUMIFS('База практик'!$BX$5:$BX$311,'База практик'!$E$5:$E$311,Расчеты!X$1)</f>
        <v>0</v>
      </c>
      <c r="Y126">
        <f>SUMIFS('База практик'!$BX$5:$BX$311,'База практик'!$E$5:$E$311,Расчеты!Y$1)</f>
        <v>0</v>
      </c>
      <c r="Z126">
        <f>SUMIFS('База практик'!$BX$5:$BX$311,'База практик'!$E$5:$E$311,Расчеты!Z$1)</f>
        <v>0</v>
      </c>
      <c r="AA126">
        <f>SUMIFS('База практик'!$BX$5:$BX$311,'База практик'!$E$5:$E$311,Расчеты!AA$1)</f>
        <v>0</v>
      </c>
      <c r="AB126">
        <f>SUMIFS('База практик'!$BX$5:$BX$311,'База практик'!$E$5:$E$311,Расчеты!AB$1)</f>
        <v>0</v>
      </c>
      <c r="AC126">
        <f>SUMIFS('База практик'!$BX$5:$BX$311,'База практик'!$E$5:$E$311,Расчеты!AC$1)</f>
        <v>0</v>
      </c>
      <c r="AD126">
        <f>SUMIFS('База практик'!$BX$5:$BX$311,'База практик'!$E$5:$E$311,Расчеты!AD$1)</f>
        <v>0</v>
      </c>
      <c r="AE126">
        <f>SUMIFS('База практик'!$BX$5:$BX$311,'База практик'!$E$5:$E$311,Расчеты!AE$1)</f>
        <v>0</v>
      </c>
      <c r="AF126" s="388">
        <f>SUMIFS('База практик'!$BX$5:$BX$311,'База практик'!$E$5:$E$311,Расчеты!AF$1)</f>
        <v>0</v>
      </c>
      <c r="AG126">
        <f>SUMIFS('База практик'!$BX$5:$BX$311,'База практик'!$E$5:$E$311,Расчеты!AG$1)</f>
        <v>0</v>
      </c>
      <c r="AH126">
        <f>SUMIFS('База практик'!$BX$5:$BX$311,'База практик'!$E$5:$E$311,Расчеты!AH$1)</f>
        <v>0</v>
      </c>
      <c r="AI126">
        <f>SUMIFS('База практик'!$BX$5:$BX$311,'База практик'!$E$5:$E$311,Расчеты!AI$1)</f>
        <v>0</v>
      </c>
      <c r="AJ126">
        <f>SUMIFS('База практик'!$BX$5:$BX$311,'База практик'!$E$5:$E$311,Расчеты!AJ$1)</f>
        <v>0</v>
      </c>
      <c r="AK126">
        <f>SUMIFS('База практик'!$BX$5:$BX$311,'База практик'!$E$5:$E$311,Расчеты!AK$1)</f>
        <v>0</v>
      </c>
      <c r="AL126">
        <f>SUMIFS('База практик'!$BX$5:$BX$311,'База практик'!$E$5:$E$311,Расчеты!AL$1)</f>
        <v>0</v>
      </c>
      <c r="AM126">
        <f>SUMIFS('База практик'!$BX$5:$BX$311,'База практик'!$E$5:$E$311,Расчеты!AM$1)</f>
        <v>0</v>
      </c>
      <c r="AN126">
        <f>SUMIFS('База практик'!$BX$5:$BX$311,'База практик'!$E$5:$E$311,Расчеты!AN$1)</f>
        <v>0</v>
      </c>
      <c r="AO126" s="388">
        <f>SUMIFS('База практик'!$BX$5:$BX$311,'База практик'!$E$5:$E$311,Расчеты!AO$1)</f>
        <v>0</v>
      </c>
      <c r="AP126" s="388">
        <f>SUMIFS('База практик'!$BX$5:$BX$311,'База практик'!$E$5:$E$311,Расчеты!AP$1)</f>
        <v>0</v>
      </c>
      <c r="AQ126">
        <f>SUMIFS('База практик'!$BX$5:$BX$311,'База практик'!$E$5:$E$311,Расчеты!AQ$1)</f>
        <v>0</v>
      </c>
      <c r="AR126">
        <f>SUMIFS('База практик'!$BX$5:$BX$311,'База практик'!$E$5:$E$311,Расчеты!AR$1)</f>
        <v>0</v>
      </c>
      <c r="AS126">
        <f>SUMIFS('База практик'!$BX$5:$BX$311,'База практик'!$E$5:$E$311,Расчеты!AS$1)</f>
        <v>0</v>
      </c>
      <c r="AT126">
        <f>SUMIFS('База практик'!$BX$5:$BX$311,'База практик'!$E$5:$E$311,Расчеты!AT$1)</f>
        <v>0</v>
      </c>
      <c r="AU126">
        <f>SUMIFS('База практик'!$BX$5:$BX$311,'База практик'!$E$5:$E$311,Расчеты!AU$1)</f>
        <v>0</v>
      </c>
      <c r="AV126">
        <f>SUMIFS('База практик'!$BX$5:$BX$311,'База практик'!$E$5:$E$311,Расчеты!AV$1)</f>
        <v>3</v>
      </c>
      <c r="AW126">
        <f>SUMIFS('База практик'!$BX$5:$BX$311,'База практик'!$E$5:$E$311,Расчеты!AW$1)</f>
        <v>0</v>
      </c>
      <c r="AX126">
        <f>SUMIFS('База практик'!$BX$5:$BX$311,'База практик'!$E$5:$E$311,Расчеты!AX$1)</f>
        <v>0</v>
      </c>
      <c r="AY126">
        <f>SUMIFS('База практик'!$BX$5:$BX$311,'База практик'!$E$5:$E$311,Расчеты!AY$1)</f>
        <v>0</v>
      </c>
      <c r="AZ126">
        <f>SUMIFS('База практик'!$BX$5:$BX$311,'База практик'!$E$5:$E$311,Расчеты!AZ$1)</f>
        <v>0</v>
      </c>
      <c r="BA126">
        <f>SUMIFS('База практик'!$BX$5:$BX$311,'База практик'!$E$5:$E$311,Расчеты!BA$1)</f>
        <v>0</v>
      </c>
      <c r="BB126">
        <f>SUMIFS('База практик'!$BX$5:$BX$311,'База практик'!$E$5:$E$311,Расчеты!BB$1)</f>
        <v>0</v>
      </c>
      <c r="BC126" s="388">
        <f>SUMIFS('База практик'!$BX$5:$BX$311,'База практик'!$E$5:$E$311,Расчеты!BC$1)</f>
        <v>0</v>
      </c>
      <c r="BD126">
        <f>SUMIFS('База практик'!$BX$5:$BX$311,'База практик'!$E$5:$E$311,Расчеты!BD$1)</f>
        <v>0</v>
      </c>
      <c r="BE126" s="388">
        <f>SUMIFS('База практик'!$BX$5:$BX$311,'База практик'!$E$5:$E$311,Расчеты!BE$1)</f>
        <v>0</v>
      </c>
      <c r="BF126" s="388">
        <f>SUMIFS('База практик'!$BX$5:$BX$311,'База практик'!$E$5:$E$311,Расчеты!BF$1)</f>
        <v>0</v>
      </c>
      <c r="BG126">
        <f>SUMIFS('База практик'!$BX$5:$BX$311,'База практик'!$E$5:$E$311,Расчеты!BG$1)</f>
        <v>0</v>
      </c>
      <c r="BH126">
        <f>SUMIFS('База практик'!$BX$5:$BX$311,'База практик'!$E$5:$E$311,Расчеты!BH$1)</f>
        <v>1</v>
      </c>
      <c r="BI126">
        <f>SUMIFS('База практик'!$BX$5:$BX$311,'База практик'!$E$5:$E$311,Расчеты!BI$1)</f>
        <v>0</v>
      </c>
      <c r="BJ126">
        <f>SUMIFS('База практик'!$BX$5:$BX$311,'База практик'!$E$5:$E$311,Расчеты!BJ$1)</f>
        <v>1</v>
      </c>
      <c r="BK126">
        <f>SUMIFS('База практик'!$BX$5:$BX$311,'База практик'!$E$5:$E$311,Расчеты!BK$1)</f>
        <v>0</v>
      </c>
      <c r="BL126">
        <f>SUMIFS('База практик'!$BX$5:$BX$311,'База практик'!$E$5:$E$311,Расчеты!BL$1)</f>
        <v>0</v>
      </c>
      <c r="BM126">
        <f>SUMIFS('База практик'!$BX$5:$BX$311,'База практик'!$E$5:$E$311,Расчеты!BM$1)</f>
        <v>0</v>
      </c>
      <c r="BN126">
        <f>SUMIFS('База практик'!$BX$5:$BX$311,'База практик'!$E$5:$E$311,Расчеты!BN$1)</f>
        <v>0</v>
      </c>
      <c r="BO126">
        <f>SUMIFS('База практик'!$BX$5:$BX$311,'База практик'!$E$5:$E$311,Расчеты!BO$1)</f>
        <v>0</v>
      </c>
      <c r="BP126">
        <f>SUMIFS('База практик'!$BX$5:$BX$311,'База практик'!$E$5:$E$311,Расчеты!BP$1)</f>
        <v>1</v>
      </c>
      <c r="BQ126">
        <f>SUMIFS('База практик'!$BX$5:$BX$311,'База практик'!$E$5:$E$311,Расчеты!BQ$1)</f>
        <v>0</v>
      </c>
      <c r="BR126" s="388">
        <f>SUMIFS('База практик'!$BX$5:$BX$311,'База практик'!$E$5:$E$311,Расчеты!BR$1)</f>
        <v>0</v>
      </c>
      <c r="BS126">
        <f>SUMIFS('База практик'!$BX$5:$BX$311,'База практик'!$E$5:$E$311,Расчеты!BS$1)</f>
        <v>0</v>
      </c>
      <c r="BT126">
        <f>SUMIFS('База практик'!$BX$5:$BX$311,'База практик'!$E$5:$E$311,Расчеты!BT$1)</f>
        <v>1</v>
      </c>
      <c r="BU126">
        <f>SUMIFS('База практик'!$BX$5:$BX$311,'База практик'!$E$5:$E$311,Расчеты!BU$1)</f>
        <v>0</v>
      </c>
      <c r="BV126">
        <f>SUMIFS('База практик'!$BX$5:$BX$311,'База практик'!$E$5:$E$311,Расчеты!BV$1)</f>
        <v>4</v>
      </c>
      <c r="BW126">
        <f>SUMIFS('База практик'!$BX$5:$BX$311,'База практик'!$E$5:$E$311,Расчеты!BW$1)</f>
        <v>3</v>
      </c>
      <c r="BX126">
        <f>SUMIFS('База практик'!$BX$5:$BX$311,'База практик'!$E$5:$E$311,Расчеты!BX$1)</f>
        <v>0</v>
      </c>
      <c r="BY126">
        <f>SUMIFS('База практик'!$BX$5:$BX$311,'База практик'!$E$5:$E$311,Расчеты!BY$1)</f>
        <v>0</v>
      </c>
      <c r="BZ126">
        <f>SUMIFS('База практик'!$BX$5:$BX$311,'База практик'!$E$5:$E$311,Расчеты!BZ$1)</f>
        <v>0</v>
      </c>
      <c r="CA126">
        <f>SUMIFS('База практик'!$BX$5:$BX$311,'База практик'!$E$5:$E$311,Расчеты!CA$1)</f>
        <v>0</v>
      </c>
      <c r="CB126">
        <f>SUMIFS('База практик'!$BX$5:$BX$311,'База практик'!$E$5:$E$311,Расчеты!CB$1)</f>
        <v>0</v>
      </c>
      <c r="CC126" s="388">
        <f>SUMIFS('База практик'!$BX$5:$BX$311,'База практик'!$E$5:$E$311,Расчеты!CC$1)</f>
        <v>0</v>
      </c>
      <c r="CD126">
        <f>SUMIFS('База практик'!$BX$5:$BX$311,'База практик'!$E$5:$E$311,Расчеты!CD$1)</f>
        <v>0</v>
      </c>
      <c r="CE126">
        <f>SUMIFS('База практик'!$BX$5:$BX$311,'База практик'!$E$5:$E$311,Расчеты!CE$1)</f>
        <v>0</v>
      </c>
      <c r="CF126">
        <f>SUMIFS('База практик'!$BX$5:$BX$311,'База практик'!$E$5:$E$311,Расчеты!CF$1)</f>
        <v>0</v>
      </c>
      <c r="CG126">
        <f>SUMIFS('База практик'!$BX$5:$BX$311,'База практик'!$E$5:$E$311,Расчеты!CG$1)</f>
        <v>24</v>
      </c>
      <c r="CH126">
        <f>SUMIFS('База практик'!$BX$5:$BX$311,'База практик'!$E$5:$E$311,Расчеты!CH$1)</f>
        <v>0</v>
      </c>
      <c r="CI126">
        <f>SUMIFS('База практик'!$BX$5:$BX$311,'База практик'!$E$5:$E$311,Расчеты!CI$1)</f>
        <v>0</v>
      </c>
      <c r="CJ126">
        <f>SUMIFS('База практик'!$BX$5:$BX$311,'База практик'!$E$5:$E$311,Расчеты!CJ$1)</f>
        <v>0</v>
      </c>
      <c r="CK126" s="388">
        <f>SUMIFS('База практик'!$BX$5:$BX$311,'База практик'!$E$5:$E$311,Расчеты!CK$1)</f>
        <v>0</v>
      </c>
      <c r="CL126">
        <f>SUMIFS('База практик'!$BX$5:$BX$311,'База практик'!$E$5:$E$311,Расчеты!CL$1)</f>
        <v>0</v>
      </c>
      <c r="CM126">
        <f>SUMIFS('База практик'!$BX$5:$BX$311,'База практик'!$E$5:$E$311,Расчеты!CM$1)</f>
        <v>0</v>
      </c>
      <c r="CN126">
        <f>SUMIFS('База практик'!$BX$5:$BX$311,'База практик'!$E$5:$E$311,Расчеты!CN$1)</f>
        <v>0</v>
      </c>
      <c r="CO126">
        <f>SUMIFS('База практик'!$BX$5:$BX$311,'База практик'!$E$5:$E$311,Расчеты!CO$1)</f>
        <v>0</v>
      </c>
      <c r="CP126" s="388">
        <f>SUMIFS('База практик'!$BX$5:$BX$311,'База практик'!$E$5:$E$311,Расчеты!CP$1)</f>
        <v>0</v>
      </c>
      <c r="CQ126">
        <f>SUMIFS('База практик'!$BX$5:$BX$311,'База практик'!$E$5:$E$311,Расчеты!CQ$1)</f>
        <v>0</v>
      </c>
      <c r="CR126">
        <f>SUMIFS('База практик'!$BX$5:$BX$311,'База практик'!$E$5:$E$311,Расчеты!CR$1)</f>
        <v>0</v>
      </c>
      <c r="CS126" s="388">
        <f>SUMIFS('База практик'!$BX$5:$BX$311,'База практик'!$E$5:$E$311,Расчеты!CS$1)</f>
        <v>0</v>
      </c>
      <c r="CT126">
        <f>SUMIFS('База практик'!$BX$5:$BX$311,'База практик'!$E$5:$E$311,Расчеты!CT$1)</f>
        <v>0</v>
      </c>
      <c r="CU126">
        <f>SUMIFS('База практик'!$BX$5:$BX$311,'База практик'!$E$5:$E$311,Расчеты!CU$1)</f>
        <v>0</v>
      </c>
      <c r="CV126">
        <f>SUMIFS('База практик'!$BX$5:$BX$311,'База практик'!$E$5:$E$311,Расчеты!CV$1)</f>
        <v>2</v>
      </c>
      <c r="CW126">
        <f>SUMIFS('База практик'!$BX$5:$BX$311,'База практик'!$E$5:$E$311,Расчеты!CW$1)</f>
        <v>1</v>
      </c>
    </row>
    <row r="127" spans="1:101" x14ac:dyDescent="0.25">
      <c r="A127" s="1660"/>
      <c r="B127" s="1660"/>
      <c r="C127" s="1671"/>
      <c r="D127" s="115" t="s">
        <v>4831</v>
      </c>
      <c r="E127" s="115">
        <v>92</v>
      </c>
      <c r="F127" s="118" t="s">
        <v>5109</v>
      </c>
      <c r="G127" s="1640"/>
      <c r="H127" s="183" t="s">
        <v>52</v>
      </c>
      <c r="I127" s="184"/>
      <c r="J127" s="171"/>
      <c r="K127" s="171"/>
      <c r="L127" s="171" t="s">
        <v>500</v>
      </c>
      <c r="M127" s="171" t="s">
        <v>4844</v>
      </c>
      <c r="N127" s="171">
        <v>2.9534970040829313E-2</v>
      </c>
      <c r="O127" s="206">
        <v>5.0363994322604275E-3</v>
      </c>
    </row>
    <row r="128" spans="1:101" ht="56.1" customHeight="1" x14ac:dyDescent="0.25">
      <c r="A128" s="1660"/>
      <c r="B128" s="1660"/>
      <c r="C128" s="1671"/>
      <c r="D128" s="115"/>
      <c r="E128" s="115"/>
      <c r="F128" s="118"/>
      <c r="G128" s="1649" t="s">
        <v>226</v>
      </c>
      <c r="H128" s="183" t="s">
        <v>5056</v>
      </c>
      <c r="I128" s="184"/>
      <c r="J128" s="171"/>
      <c r="K128" s="171"/>
      <c r="L128" s="171"/>
      <c r="M128" s="171"/>
      <c r="N128" s="171"/>
      <c r="O128" s="206"/>
      <c r="P128">
        <f t="shared" si="174"/>
        <v>381</v>
      </c>
      <c r="Q128">
        <f>SUMIFS('База практик'!$BY$5:$BY$311,'База практик'!$E$5:$E$311,Расчеты!Q$1)</f>
        <v>0</v>
      </c>
      <c r="R128">
        <f>SUMIFS('База практик'!$BY$5:$BY$311,'База практик'!$E$5:$E$311,Расчеты!R$1)</f>
        <v>0</v>
      </c>
      <c r="S128">
        <f>SUMIFS('База практик'!$BY$5:$BY$311,'База практик'!$E$5:$E$311,Расчеты!S$1)</f>
        <v>17</v>
      </c>
      <c r="T128">
        <f>SUMIFS('База практик'!$BY$5:$BY$311,'База практик'!$E$5:$E$311,Расчеты!T$1)</f>
        <v>0</v>
      </c>
      <c r="U128">
        <f>SUMIFS('База практик'!$BY$5:$BY$311,'База практик'!$E$5:$E$311,Расчеты!U$1)</f>
        <v>3</v>
      </c>
      <c r="V128">
        <f>SUMIFS('База практик'!$BY$5:$BY$311,'База практик'!$E$5:$E$311,Расчеты!V$1)</f>
        <v>0</v>
      </c>
      <c r="W128">
        <f>SUMIFS('База практик'!$BY$5:$BY$311,'База практик'!$E$5:$E$311,Расчеты!W$1)</f>
        <v>0</v>
      </c>
      <c r="X128" s="388">
        <f>SUMIFS('База практик'!$BY$5:$BY$311,'База практик'!$E$5:$E$311,Расчеты!X$1)</f>
        <v>0</v>
      </c>
      <c r="Y128">
        <f>SUMIFS('База практик'!$BY$5:$BY$311,'База практик'!$E$5:$E$311,Расчеты!Y$1)</f>
        <v>0</v>
      </c>
      <c r="Z128">
        <f>SUMIFS('База практик'!$BY$5:$BY$311,'База практик'!$E$5:$E$311,Расчеты!Z$1)</f>
        <v>0</v>
      </c>
      <c r="AA128">
        <f>SUMIFS('База практик'!$BY$5:$BY$311,'База практик'!$E$5:$E$311,Расчеты!AA$1)</f>
        <v>0</v>
      </c>
      <c r="AB128">
        <f>SUMIFS('База практик'!$BY$5:$BY$311,'База практик'!$E$5:$E$311,Расчеты!AB$1)</f>
        <v>0</v>
      </c>
      <c r="AC128">
        <f>SUMIFS('База практик'!$BY$5:$BY$311,'База практик'!$E$5:$E$311,Расчеты!AC$1)</f>
        <v>0</v>
      </c>
      <c r="AD128">
        <f>SUMIFS('База практик'!$BY$5:$BY$311,'База практик'!$E$5:$E$311,Расчеты!AD$1)</f>
        <v>0</v>
      </c>
      <c r="AE128">
        <f>SUMIFS('База практик'!$BY$5:$BY$311,'База практик'!$E$5:$E$311,Расчеты!AE$1)</f>
        <v>0</v>
      </c>
      <c r="AF128" s="388">
        <f>SUMIFS('База практик'!$BY$5:$BY$311,'База практик'!$E$5:$E$311,Расчеты!AF$1)</f>
        <v>0</v>
      </c>
      <c r="AG128">
        <f>SUMIFS('База практик'!$BY$5:$BY$311,'База практик'!$E$5:$E$311,Расчеты!AG$1)</f>
        <v>0</v>
      </c>
      <c r="AH128">
        <f>SUMIFS('База практик'!$BY$5:$BY$311,'База практик'!$E$5:$E$311,Расчеты!AH$1)</f>
        <v>0</v>
      </c>
      <c r="AI128">
        <f>SUMIFS('База практик'!$BY$5:$BY$311,'База практик'!$E$5:$E$311,Расчеты!AI$1)</f>
        <v>0</v>
      </c>
      <c r="AJ128">
        <f>SUMIFS('База практик'!$BY$5:$BY$311,'База практик'!$E$5:$E$311,Расчеты!AJ$1)</f>
        <v>0</v>
      </c>
      <c r="AK128">
        <f>SUMIFS('База практик'!$BY$5:$BY$311,'База практик'!$E$5:$E$311,Расчеты!AK$1)</f>
        <v>0</v>
      </c>
      <c r="AL128">
        <f>SUMIFS('База практик'!$BY$5:$BY$311,'База практик'!$E$5:$E$311,Расчеты!AL$1)</f>
        <v>0</v>
      </c>
      <c r="AM128">
        <f>SUMIFS('База практик'!$BY$5:$BY$311,'База практик'!$E$5:$E$311,Расчеты!AM$1)</f>
        <v>0</v>
      </c>
      <c r="AN128">
        <f>SUMIFS('База практик'!$BY$5:$BY$311,'База практик'!$E$5:$E$311,Расчеты!AN$1)</f>
        <v>0</v>
      </c>
      <c r="AO128" s="388">
        <f>SUMIFS('База практик'!$BY$5:$BY$311,'База практик'!$E$5:$E$311,Расчеты!AO$1)</f>
        <v>0</v>
      </c>
      <c r="AP128" s="388">
        <f>SUMIFS('База практик'!$BY$5:$BY$311,'База практик'!$E$5:$E$311,Расчеты!AP$1)</f>
        <v>0</v>
      </c>
      <c r="AQ128">
        <f>SUMIFS('База практик'!$BY$5:$BY$311,'База практик'!$E$5:$E$311,Расчеты!AQ$1)</f>
        <v>0</v>
      </c>
      <c r="AR128">
        <f>SUMIFS('База практик'!$BY$5:$BY$311,'База практик'!$E$5:$E$311,Расчеты!AR$1)</f>
        <v>0</v>
      </c>
      <c r="AS128">
        <f>SUMIFS('База практик'!$BY$5:$BY$311,'База практик'!$E$5:$E$311,Расчеты!AS$1)</f>
        <v>0</v>
      </c>
      <c r="AT128">
        <f>SUMIFS('База практик'!$BY$5:$BY$311,'База практик'!$E$5:$E$311,Расчеты!AT$1)</f>
        <v>19</v>
      </c>
      <c r="AU128">
        <f>SUMIFS('База практик'!$BY$5:$BY$311,'База практик'!$E$5:$E$311,Расчеты!AU$1)</f>
        <v>29</v>
      </c>
      <c r="AV128">
        <f>SUMIFS('База практик'!$BY$5:$BY$311,'База практик'!$E$5:$E$311,Расчеты!AV$1)</f>
        <v>4</v>
      </c>
      <c r="AW128">
        <f>SUMIFS('База практик'!$BY$5:$BY$311,'База практик'!$E$5:$E$311,Расчеты!AW$1)</f>
        <v>0</v>
      </c>
      <c r="AX128">
        <f>SUMIFS('База практик'!$BY$5:$BY$311,'База практик'!$E$5:$E$311,Расчеты!AX$1)</f>
        <v>0</v>
      </c>
      <c r="AY128">
        <f>SUMIFS('База практик'!$BY$5:$BY$311,'База практик'!$E$5:$E$311,Расчеты!AY$1)</f>
        <v>0</v>
      </c>
      <c r="AZ128">
        <f>SUMIFS('База практик'!$BY$5:$BY$311,'База практик'!$E$5:$E$311,Расчеты!AZ$1)</f>
        <v>8</v>
      </c>
      <c r="BA128">
        <f>SUMIFS('База практик'!$BY$5:$BY$311,'База практик'!$E$5:$E$311,Расчеты!BA$1)</f>
        <v>0</v>
      </c>
      <c r="BB128">
        <f>SUMIFS('База практик'!$BY$5:$BY$311,'База практик'!$E$5:$E$311,Расчеты!BB$1)</f>
        <v>0</v>
      </c>
      <c r="BC128" s="388">
        <f>SUMIFS('База практик'!$BY$5:$BY$311,'База практик'!$E$5:$E$311,Расчеты!BC$1)</f>
        <v>0</v>
      </c>
      <c r="BD128">
        <f>SUMIFS('База практик'!$BY$5:$BY$311,'База практик'!$E$5:$E$311,Расчеты!BD$1)</f>
        <v>0</v>
      </c>
      <c r="BE128" s="388">
        <f>SUMIFS('База практик'!$BY$5:$BY$311,'База практик'!$E$5:$E$311,Расчеты!BE$1)</f>
        <v>0</v>
      </c>
      <c r="BF128" s="388">
        <f>SUMIFS('База практик'!$BY$5:$BY$311,'База практик'!$E$5:$E$311,Расчеты!BF$1)</f>
        <v>0</v>
      </c>
      <c r="BG128">
        <f>SUMIFS('База практик'!$BY$5:$BY$311,'База практик'!$E$5:$E$311,Расчеты!BG$1)</f>
        <v>0</v>
      </c>
      <c r="BH128">
        <f>SUMIFS('База практик'!$BY$5:$BY$311,'База практик'!$E$5:$E$311,Расчеты!BH$1)</f>
        <v>0</v>
      </c>
      <c r="BI128">
        <f>SUMIFS('База практик'!$BY$5:$BY$311,'База практик'!$E$5:$E$311,Расчеты!BI$1)</f>
        <v>0</v>
      </c>
      <c r="BJ128">
        <f>SUMIFS('База практик'!$BY$5:$BY$311,'База практик'!$E$5:$E$311,Расчеты!BJ$1)</f>
        <v>0</v>
      </c>
      <c r="BK128">
        <f>SUMIFS('База практик'!$BY$5:$BY$311,'База практик'!$E$5:$E$311,Расчеты!BK$1)</f>
        <v>5</v>
      </c>
      <c r="BL128">
        <f>SUMIFS('База практик'!$BY$5:$BY$311,'База практик'!$E$5:$E$311,Расчеты!BL$1)</f>
        <v>0</v>
      </c>
      <c r="BM128">
        <f>SUMIFS('База практик'!$BY$5:$BY$311,'База практик'!$E$5:$E$311,Расчеты!BM$1)</f>
        <v>0</v>
      </c>
      <c r="BN128">
        <f>SUMIFS('База практик'!$BY$5:$BY$311,'База практик'!$E$5:$E$311,Расчеты!BN$1)</f>
        <v>0</v>
      </c>
      <c r="BO128">
        <f>SUMIFS('База практик'!$BY$5:$BY$311,'База практик'!$E$5:$E$311,Расчеты!BO$1)</f>
        <v>0</v>
      </c>
      <c r="BP128">
        <f>SUMIFS('База практик'!$BY$5:$BY$311,'База практик'!$E$5:$E$311,Расчеты!BP$1)</f>
        <v>0</v>
      </c>
      <c r="BQ128">
        <f>SUMIFS('База практик'!$BY$5:$BY$311,'База практик'!$E$5:$E$311,Расчеты!BQ$1)</f>
        <v>0</v>
      </c>
      <c r="BR128" s="388">
        <f>SUMIFS('База практик'!$BY$5:$BY$311,'База практик'!$E$5:$E$311,Расчеты!BR$1)</f>
        <v>0</v>
      </c>
      <c r="BS128">
        <f>SUMIFS('База практик'!$BY$5:$BY$311,'База практик'!$E$5:$E$311,Расчеты!BS$1)</f>
        <v>0</v>
      </c>
      <c r="BT128">
        <f>SUMIFS('База практик'!$BY$5:$BY$311,'База практик'!$E$5:$E$311,Расчеты!BT$1)</f>
        <v>5</v>
      </c>
      <c r="BU128">
        <f>SUMIFS('База практик'!$BY$5:$BY$311,'База практик'!$E$5:$E$311,Расчеты!BU$1)</f>
        <v>0</v>
      </c>
      <c r="BV128">
        <f>SUMIFS('База практик'!$BY$5:$BY$311,'База практик'!$E$5:$E$311,Расчеты!BV$1)</f>
        <v>0</v>
      </c>
      <c r="BW128">
        <f>SUMIFS('База практик'!$BY$5:$BY$311,'База практик'!$E$5:$E$311,Расчеты!BW$1)</f>
        <v>12</v>
      </c>
      <c r="BX128">
        <f>SUMIFS('База практик'!$BY$5:$BY$311,'База практик'!$E$5:$E$311,Расчеты!BX$1)</f>
        <v>0</v>
      </c>
      <c r="BY128">
        <f>SUMIFS('База практик'!$BY$5:$BY$311,'База практик'!$E$5:$E$311,Расчеты!BY$1)</f>
        <v>0</v>
      </c>
      <c r="BZ128">
        <f>SUMIFS('База практик'!$BY$5:$BY$311,'База практик'!$E$5:$E$311,Расчеты!BZ$1)</f>
        <v>136</v>
      </c>
      <c r="CA128">
        <f>SUMIFS('База практик'!$BY$5:$BY$311,'База практик'!$E$5:$E$311,Расчеты!CA$1)</f>
        <v>0</v>
      </c>
      <c r="CB128">
        <f>SUMIFS('База практик'!$BY$5:$BY$311,'База практик'!$E$5:$E$311,Расчеты!CB$1)</f>
        <v>0</v>
      </c>
      <c r="CC128" s="388">
        <f>SUMIFS('База практик'!$BY$5:$BY$311,'База практик'!$E$5:$E$311,Расчеты!CC$1)</f>
        <v>0</v>
      </c>
      <c r="CD128">
        <f>SUMIFS('База практик'!$BY$5:$BY$311,'База практик'!$E$5:$E$311,Расчеты!CD$1)</f>
        <v>0</v>
      </c>
      <c r="CE128">
        <f>SUMIFS('База практик'!$BY$5:$BY$311,'База практик'!$E$5:$E$311,Расчеты!CE$1)</f>
        <v>0</v>
      </c>
      <c r="CF128">
        <f>SUMIFS('База практик'!$BY$5:$BY$311,'База практик'!$E$5:$E$311,Расчеты!CF$1)</f>
        <v>0</v>
      </c>
      <c r="CG128">
        <f>SUMIFS('База практик'!$BY$5:$BY$311,'База практик'!$E$5:$E$311,Расчеты!CG$1)</f>
        <v>0</v>
      </c>
      <c r="CH128">
        <f>SUMIFS('База практик'!$BY$5:$BY$311,'База практик'!$E$5:$E$311,Расчеты!CH$1)</f>
        <v>0</v>
      </c>
      <c r="CI128">
        <f>SUMIFS('База практик'!$BY$5:$BY$311,'База практик'!$E$5:$E$311,Расчеты!CI$1)</f>
        <v>0</v>
      </c>
      <c r="CJ128">
        <f>SUMIFS('База практик'!$BY$5:$BY$311,'База практик'!$E$5:$E$311,Расчеты!CJ$1)</f>
        <v>0</v>
      </c>
      <c r="CK128" s="388">
        <f>SUMIFS('База практик'!$BY$5:$BY$311,'База практик'!$E$5:$E$311,Расчеты!CK$1)</f>
        <v>0</v>
      </c>
      <c r="CL128">
        <f>SUMIFS('База практик'!$BY$5:$BY$311,'База практик'!$E$5:$E$311,Расчеты!CL$1)</f>
        <v>0</v>
      </c>
      <c r="CM128">
        <f>SUMIFS('База практик'!$BY$5:$BY$311,'База практик'!$E$5:$E$311,Расчеты!CM$1)</f>
        <v>0</v>
      </c>
      <c r="CN128">
        <f>SUMIFS('База практик'!$BY$5:$BY$311,'База практик'!$E$5:$E$311,Расчеты!CN$1)</f>
        <v>0</v>
      </c>
      <c r="CO128">
        <f>SUMIFS('База практик'!$BY$5:$BY$311,'База практик'!$E$5:$E$311,Расчеты!CO$1)</f>
        <v>0</v>
      </c>
      <c r="CP128" s="388">
        <f>SUMIFS('База практик'!$BY$5:$BY$311,'База практик'!$E$5:$E$311,Расчеты!CP$1)</f>
        <v>0</v>
      </c>
      <c r="CQ128">
        <f>SUMIFS('База практик'!$BY$5:$BY$311,'База практик'!$E$5:$E$311,Расчеты!CQ$1)</f>
        <v>0</v>
      </c>
      <c r="CR128">
        <f>SUMIFS('База практик'!$BY$5:$BY$311,'База практик'!$E$5:$E$311,Расчеты!CR$1)</f>
        <v>0</v>
      </c>
      <c r="CS128" s="388">
        <f>SUMIFS('База практик'!$BY$5:$BY$311,'База практик'!$E$5:$E$311,Расчеты!CS$1)</f>
        <v>0</v>
      </c>
      <c r="CT128">
        <f>SUMIFS('База практик'!$BY$5:$BY$311,'База практик'!$E$5:$E$311,Расчеты!CT$1)</f>
        <v>0</v>
      </c>
      <c r="CU128">
        <f>SUMIFS('База практик'!$BY$5:$BY$311,'База практик'!$E$5:$E$311,Расчеты!CU$1)</f>
        <v>0</v>
      </c>
      <c r="CV128">
        <f>SUMIFS('База практик'!$BY$5:$BY$311,'База практик'!$E$5:$E$311,Расчеты!CV$1)</f>
        <v>138</v>
      </c>
      <c r="CW128">
        <f>SUMIFS('База практик'!$BY$5:$BY$311,'База практик'!$E$5:$E$311,Расчеты!CW$1)</f>
        <v>5</v>
      </c>
    </row>
    <row r="129" spans="1:101" x14ac:dyDescent="0.25">
      <c r="A129" s="1660"/>
      <c r="B129" s="1660"/>
      <c r="C129" s="1671"/>
      <c r="D129" s="115"/>
      <c r="E129" s="115"/>
      <c r="F129" s="118"/>
      <c r="G129" s="1650"/>
      <c r="H129" s="183" t="s">
        <v>52</v>
      </c>
      <c r="I129" s="184"/>
      <c r="J129" s="171"/>
      <c r="K129" s="171"/>
      <c r="L129" s="171"/>
      <c r="M129" s="171"/>
      <c r="N129" s="171"/>
      <c r="O129" s="206"/>
    </row>
    <row r="130" spans="1:101" ht="25.5" x14ac:dyDescent="0.25">
      <c r="A130" s="1660"/>
      <c r="B130" s="1660"/>
      <c r="C130" s="1671"/>
      <c r="D130" s="115" t="s">
        <v>4831</v>
      </c>
      <c r="E130" s="115">
        <v>84</v>
      </c>
      <c r="F130" s="116" t="s">
        <v>5110</v>
      </c>
      <c r="G130" s="1640" t="s">
        <v>5111</v>
      </c>
      <c r="H130" s="183" t="s">
        <v>5056</v>
      </c>
      <c r="I130" s="184"/>
      <c r="J130" s="171"/>
      <c r="K130" s="171"/>
      <c r="L130" s="171"/>
      <c r="M130" s="171">
        <v>1268</v>
      </c>
      <c r="N130" s="171">
        <v>224</v>
      </c>
      <c r="O130" s="172">
        <v>732</v>
      </c>
      <c r="P130">
        <f t="shared" si="174"/>
        <v>828</v>
      </c>
      <c r="Q130">
        <f>SUMIFS('База практик'!$BZ$5:$BZ$311,'База практик'!$E$5:$E$311,Расчеты!Q$1)</f>
        <v>0</v>
      </c>
      <c r="R130">
        <f>SUMIFS('База практик'!$BZ$5:$BZ$311,'База практик'!$E$5:$E$311,Расчеты!R$1)</f>
        <v>1</v>
      </c>
      <c r="S130">
        <f>SUMIFS('База практик'!$BZ$5:$BZ$311,'База практик'!$E$5:$E$311,Расчеты!S$1)</f>
        <v>0</v>
      </c>
      <c r="T130">
        <f>SUMIFS('База практик'!$BZ$5:$BZ$311,'База практик'!$E$5:$E$311,Расчеты!T$1)</f>
        <v>0</v>
      </c>
      <c r="U130">
        <f>SUMIFS('База практик'!$BZ$5:$BZ$311,'База практик'!$E$5:$E$311,Расчеты!U$1)</f>
        <v>51</v>
      </c>
      <c r="V130">
        <f>SUMIFS('База практик'!$BZ$5:$BZ$311,'База практик'!$E$5:$E$311,Расчеты!V$1)</f>
        <v>3</v>
      </c>
      <c r="W130">
        <f>SUMIFS('База практик'!$BZ$5:$BZ$311,'База практик'!$E$5:$E$311,Расчеты!W$1)</f>
        <v>12</v>
      </c>
      <c r="X130" s="388">
        <f>SUMIFS('База практик'!$BZ$5:$BZ$311,'База практик'!$E$5:$E$311,Расчеты!X$1)</f>
        <v>0</v>
      </c>
      <c r="Y130">
        <f>SUMIFS('База практик'!$BZ$5:$BZ$311,'База практик'!$E$5:$E$311,Расчеты!Y$1)</f>
        <v>0</v>
      </c>
      <c r="Z130">
        <f>SUMIFS('База практик'!$BZ$5:$BZ$311,'База практик'!$E$5:$E$311,Расчеты!Z$1)</f>
        <v>0</v>
      </c>
      <c r="AA130">
        <f>SUMIFS('База практик'!$BZ$5:$BZ$311,'База практик'!$E$5:$E$311,Расчеты!AA$1)</f>
        <v>10</v>
      </c>
      <c r="AB130">
        <f>SUMIFS('База практик'!$BZ$5:$BZ$311,'База практик'!$E$5:$E$311,Расчеты!AB$1)</f>
        <v>0</v>
      </c>
      <c r="AC130">
        <f>SUMIFS('База практик'!$BZ$5:$BZ$311,'База практик'!$E$5:$E$311,Расчеты!AC$1)</f>
        <v>0</v>
      </c>
      <c r="AD130">
        <f>SUMIFS('База практик'!$BZ$5:$BZ$311,'База практик'!$E$5:$E$311,Расчеты!AD$1)</f>
        <v>26</v>
      </c>
      <c r="AE130">
        <f>SUMIFS('База практик'!$BZ$5:$BZ$311,'База практик'!$E$5:$E$311,Расчеты!AE$1)</f>
        <v>2</v>
      </c>
      <c r="AF130" s="388">
        <f>SUMIFS('База практик'!$BZ$5:$BZ$311,'База практик'!$E$5:$E$311,Расчеты!AF$1)</f>
        <v>0</v>
      </c>
      <c r="AG130">
        <f>SUMIFS('База практик'!$BZ$5:$BZ$311,'База практик'!$E$5:$E$311,Расчеты!AG$1)</f>
        <v>0</v>
      </c>
      <c r="AH130">
        <f>SUMIFS('База практик'!$BZ$5:$BZ$311,'База практик'!$E$5:$E$311,Расчеты!AH$1)</f>
        <v>6</v>
      </c>
      <c r="AI130">
        <f>SUMIFS('База практик'!$BZ$5:$BZ$311,'База практик'!$E$5:$E$311,Расчеты!AI$1)</f>
        <v>0</v>
      </c>
      <c r="AJ130">
        <f>SUMIFS('База практик'!$BZ$5:$BZ$311,'База практик'!$E$5:$E$311,Расчеты!AJ$1)</f>
        <v>0</v>
      </c>
      <c r="AK130">
        <f>SUMIFS('База практик'!$BZ$5:$BZ$311,'База практик'!$E$5:$E$311,Расчеты!AK$1)</f>
        <v>0</v>
      </c>
      <c r="AL130">
        <f>SUMIFS('База практик'!$BZ$5:$BZ$311,'База практик'!$E$5:$E$311,Расчеты!AL$1)</f>
        <v>0</v>
      </c>
      <c r="AM130">
        <f>SUMIFS('База практик'!$BZ$5:$BZ$311,'База практик'!$E$5:$E$311,Расчеты!AM$1)</f>
        <v>5</v>
      </c>
      <c r="AN130">
        <f>SUMIFS('База практик'!$BZ$5:$BZ$311,'База практик'!$E$5:$E$311,Расчеты!AN$1)</f>
        <v>19</v>
      </c>
      <c r="AO130" s="388">
        <f>SUMIFS('База практик'!$BZ$5:$BZ$311,'База практик'!$E$5:$E$311,Расчеты!AO$1)</f>
        <v>0</v>
      </c>
      <c r="AP130" s="388">
        <f>SUMIFS('База практик'!$BZ$5:$BZ$311,'База практик'!$E$5:$E$311,Расчеты!AP$1)</f>
        <v>0</v>
      </c>
      <c r="AQ130">
        <f>SUMIFS('База практик'!$BZ$5:$BZ$311,'База практик'!$E$5:$E$311,Расчеты!AQ$1)</f>
        <v>0</v>
      </c>
      <c r="AR130">
        <f>SUMIFS('База практик'!$BZ$5:$BZ$311,'База практик'!$E$5:$E$311,Расчеты!AR$1)</f>
        <v>0</v>
      </c>
      <c r="AS130">
        <f>SUMIFS('База практик'!$BZ$5:$BZ$311,'База практик'!$E$5:$E$311,Расчеты!AS$1)</f>
        <v>0</v>
      </c>
      <c r="AT130">
        <f>SUMIFS('База практик'!$BZ$5:$BZ$311,'База практик'!$E$5:$E$311,Расчеты!AT$1)</f>
        <v>6</v>
      </c>
      <c r="AU130">
        <f>SUMIFS('База практик'!$BZ$5:$BZ$311,'База практик'!$E$5:$E$311,Расчеты!AU$1)</f>
        <v>2</v>
      </c>
      <c r="AV130">
        <f>SUMIFS('База практик'!$BZ$5:$BZ$311,'База практик'!$E$5:$E$311,Расчеты!AV$1)</f>
        <v>2</v>
      </c>
      <c r="AW130">
        <f>SUMIFS('База практик'!$BZ$5:$BZ$311,'База практик'!$E$5:$E$311,Расчеты!AW$1)</f>
        <v>0</v>
      </c>
      <c r="AX130">
        <f>SUMIFS('База практик'!$BZ$5:$BZ$311,'База практик'!$E$5:$E$311,Расчеты!AX$1)</f>
        <v>104</v>
      </c>
      <c r="AY130">
        <f>SUMIFS('База практик'!$BZ$5:$BZ$311,'База практик'!$E$5:$E$311,Расчеты!AY$1)</f>
        <v>4</v>
      </c>
      <c r="AZ130">
        <f>SUMIFS('База практик'!$BZ$5:$BZ$311,'База практик'!$E$5:$E$311,Расчеты!AZ$1)</f>
        <v>0</v>
      </c>
      <c r="BA130">
        <f>SUMIFS('База практик'!$BZ$5:$BZ$311,'База практик'!$E$5:$E$311,Расчеты!BA$1)</f>
        <v>92</v>
      </c>
      <c r="BB130">
        <f>SUMIFS('База практик'!$BZ$5:$BZ$311,'База практик'!$E$5:$E$311,Расчеты!BB$1)</f>
        <v>0</v>
      </c>
      <c r="BC130" s="388">
        <f>SUMIFS('База практик'!$BZ$5:$BZ$311,'База практик'!$E$5:$E$311,Расчеты!BC$1)</f>
        <v>0</v>
      </c>
      <c r="BD130">
        <f>SUMIFS('База практик'!$BZ$5:$BZ$311,'База практик'!$E$5:$E$311,Расчеты!BD$1)</f>
        <v>1</v>
      </c>
      <c r="BE130" s="388">
        <f>SUMIFS('База практик'!$BZ$5:$BZ$311,'База практик'!$E$5:$E$311,Расчеты!BE$1)</f>
        <v>0</v>
      </c>
      <c r="BF130" s="388">
        <f>SUMIFS('База практик'!$BZ$5:$BZ$311,'База практик'!$E$5:$E$311,Расчеты!BF$1)</f>
        <v>0</v>
      </c>
      <c r="BG130">
        <f>SUMIFS('База практик'!$BZ$5:$BZ$311,'База практик'!$E$5:$E$311,Расчеты!BG$1)</f>
        <v>174</v>
      </c>
      <c r="BH130">
        <f>SUMIFS('База практик'!$BZ$5:$BZ$311,'База практик'!$E$5:$E$311,Расчеты!BH$1)</f>
        <v>0</v>
      </c>
      <c r="BI130">
        <f>SUMIFS('База практик'!$BZ$5:$BZ$311,'База практик'!$E$5:$E$311,Расчеты!BI$1)</f>
        <v>0</v>
      </c>
      <c r="BJ130">
        <f>SUMIFS('База практик'!$BZ$5:$BZ$311,'База практик'!$E$5:$E$311,Расчеты!BJ$1)</f>
        <v>0</v>
      </c>
      <c r="BK130">
        <f>SUMIFS('База практик'!$BZ$5:$BZ$311,'База практик'!$E$5:$E$311,Расчеты!BK$1)</f>
        <v>10</v>
      </c>
      <c r="BL130">
        <f>SUMIFS('База практик'!$BZ$5:$BZ$311,'База практик'!$E$5:$E$311,Расчеты!BL$1)</f>
        <v>0</v>
      </c>
      <c r="BM130">
        <f>SUMIFS('База практик'!$BZ$5:$BZ$311,'База практик'!$E$5:$E$311,Расчеты!BM$1)</f>
        <v>0</v>
      </c>
      <c r="BN130">
        <f>SUMIFS('База практик'!$BZ$5:$BZ$311,'База практик'!$E$5:$E$311,Расчеты!BN$1)</f>
        <v>2</v>
      </c>
      <c r="BO130">
        <f>SUMIFS('База практик'!$BZ$5:$BZ$311,'База практик'!$E$5:$E$311,Расчеты!BO$1)</f>
        <v>1</v>
      </c>
      <c r="BP130">
        <f>SUMIFS('База практик'!$BZ$5:$BZ$311,'База практик'!$E$5:$E$311,Расчеты!BP$1)</f>
        <v>0</v>
      </c>
      <c r="BQ130">
        <f>SUMIFS('База практик'!$BZ$5:$BZ$311,'База практик'!$E$5:$E$311,Расчеты!BQ$1)</f>
        <v>1</v>
      </c>
      <c r="BR130" s="388">
        <f>SUMIFS('База практик'!$BZ$5:$BZ$311,'База практик'!$E$5:$E$311,Расчеты!BR$1)</f>
        <v>0</v>
      </c>
      <c r="BS130">
        <f>SUMIFS('База практик'!$BZ$5:$BZ$311,'База практик'!$E$5:$E$311,Расчеты!BS$1)</f>
        <v>0</v>
      </c>
      <c r="BT130">
        <f>SUMIFS('База практик'!$BZ$5:$BZ$311,'База практик'!$E$5:$E$311,Расчеты!BT$1)</f>
        <v>5</v>
      </c>
      <c r="BU130">
        <f>SUMIFS('База практик'!$BZ$5:$BZ$311,'База практик'!$E$5:$E$311,Расчеты!BU$1)</f>
        <v>2</v>
      </c>
      <c r="BV130">
        <f>SUMIFS('База практик'!$BZ$5:$BZ$311,'База практик'!$E$5:$E$311,Расчеты!BV$1)</f>
        <v>19</v>
      </c>
      <c r="BW130">
        <f>SUMIFS('База практик'!$BZ$5:$BZ$311,'База практик'!$E$5:$E$311,Расчеты!BW$1)</f>
        <v>3</v>
      </c>
      <c r="BX130">
        <f>SUMIFS('База практик'!$BZ$5:$BZ$311,'База практик'!$E$5:$E$311,Расчеты!BX$1)</f>
        <v>0</v>
      </c>
      <c r="BY130">
        <f>SUMIFS('База практик'!$BZ$5:$BZ$311,'База практик'!$E$5:$E$311,Расчеты!BY$1)</f>
        <v>36</v>
      </c>
      <c r="BZ130">
        <f>SUMIFS('База практик'!$BZ$5:$BZ$311,'База практик'!$E$5:$E$311,Расчеты!BZ$1)</f>
        <v>0</v>
      </c>
      <c r="CA130">
        <f>SUMIFS('База практик'!$BZ$5:$BZ$311,'База практик'!$E$5:$E$311,Расчеты!CA$1)</f>
        <v>11</v>
      </c>
      <c r="CB130">
        <f>SUMIFS('База практик'!$BZ$5:$BZ$311,'База практик'!$E$5:$E$311,Расчеты!CB$1)</f>
        <v>0</v>
      </c>
      <c r="CC130" s="388">
        <f>SUMIFS('База практик'!$BZ$5:$BZ$311,'База практик'!$E$5:$E$311,Расчеты!CC$1)</f>
        <v>0</v>
      </c>
      <c r="CD130">
        <f>SUMIFS('База практик'!$BZ$5:$BZ$311,'База практик'!$E$5:$E$311,Расчеты!CD$1)</f>
        <v>0</v>
      </c>
      <c r="CE130">
        <f>SUMIFS('База практик'!$BZ$5:$BZ$311,'База практик'!$E$5:$E$311,Расчеты!CE$1)</f>
        <v>0</v>
      </c>
      <c r="CF130">
        <f>SUMIFS('База практик'!$BZ$5:$BZ$311,'База практик'!$E$5:$E$311,Расчеты!CF$1)</f>
        <v>118</v>
      </c>
      <c r="CG130">
        <f>SUMIFS('База практик'!$BZ$5:$BZ$311,'База практик'!$E$5:$E$311,Расчеты!CG$1)</f>
        <v>8</v>
      </c>
      <c r="CH130">
        <f>SUMIFS('База практик'!$BZ$5:$BZ$311,'База практик'!$E$5:$E$311,Расчеты!CH$1)</f>
        <v>0</v>
      </c>
      <c r="CI130">
        <f>SUMIFS('База практик'!$BZ$5:$BZ$311,'База практик'!$E$5:$E$311,Расчеты!CI$1)</f>
        <v>0</v>
      </c>
      <c r="CJ130">
        <f>SUMIFS('База практик'!$BZ$5:$BZ$311,'База практик'!$E$5:$E$311,Расчеты!CJ$1)</f>
        <v>0</v>
      </c>
      <c r="CK130" s="388">
        <f>SUMIFS('База практик'!$BZ$5:$BZ$311,'База практик'!$E$5:$E$311,Расчеты!CK$1)</f>
        <v>0</v>
      </c>
      <c r="CL130">
        <f>SUMIFS('База практик'!$BZ$5:$BZ$311,'База практик'!$E$5:$E$311,Расчеты!CL$1)</f>
        <v>1</v>
      </c>
      <c r="CM130">
        <f>SUMIFS('База практик'!$BZ$5:$BZ$311,'База практик'!$E$5:$E$311,Расчеты!CM$1)</f>
        <v>4</v>
      </c>
      <c r="CN130">
        <f>SUMIFS('База практик'!$BZ$5:$BZ$311,'База практик'!$E$5:$E$311,Расчеты!CN$1)</f>
        <v>5</v>
      </c>
      <c r="CO130">
        <f>SUMIFS('База практик'!$BZ$5:$BZ$311,'База практик'!$E$5:$E$311,Расчеты!CO$1)</f>
        <v>7</v>
      </c>
      <c r="CP130" s="388">
        <f>SUMIFS('База практик'!$BZ$5:$BZ$311,'База практик'!$E$5:$E$311,Расчеты!CP$1)</f>
        <v>0</v>
      </c>
      <c r="CQ130">
        <f>SUMIFS('База практик'!$BZ$5:$BZ$311,'База практик'!$E$5:$E$311,Расчеты!CQ$1)</f>
        <v>14</v>
      </c>
      <c r="CR130">
        <f>SUMIFS('База практик'!$BZ$5:$BZ$311,'База практик'!$E$5:$E$311,Расчеты!CR$1)</f>
        <v>14</v>
      </c>
      <c r="CS130" s="388">
        <f>SUMIFS('База практик'!$BZ$5:$BZ$311,'База практик'!$E$5:$E$311,Расчеты!CS$1)</f>
        <v>0</v>
      </c>
      <c r="CT130">
        <f>SUMIFS('База практик'!$BZ$5:$BZ$311,'База практик'!$E$5:$E$311,Расчеты!CT$1)</f>
        <v>44</v>
      </c>
      <c r="CU130">
        <f>SUMIFS('База практик'!$BZ$5:$BZ$311,'База практик'!$E$5:$E$311,Расчеты!CU$1)</f>
        <v>0</v>
      </c>
      <c r="CV130">
        <f>SUMIFS('База практик'!$BZ$5:$BZ$311,'База практик'!$E$5:$E$311,Расчеты!CV$1)</f>
        <v>3</v>
      </c>
      <c r="CW130">
        <f>SUMIFS('База практик'!$BZ$5:$BZ$311,'База практик'!$E$5:$E$311,Расчеты!CW$1)</f>
        <v>0</v>
      </c>
    </row>
    <row r="131" spans="1:101" ht="24.95" customHeight="1" thickBot="1" x14ac:dyDescent="0.3">
      <c r="A131" s="1660"/>
      <c r="B131" s="1660"/>
      <c r="C131" s="1671"/>
      <c r="D131" s="147" t="s">
        <v>4831</v>
      </c>
      <c r="E131" s="147">
        <v>85</v>
      </c>
      <c r="F131" s="155" t="s">
        <v>5112</v>
      </c>
      <c r="G131" s="1640"/>
      <c r="H131" s="209" t="s">
        <v>52</v>
      </c>
      <c r="I131" s="180"/>
      <c r="J131" s="171"/>
      <c r="K131" s="171"/>
      <c r="L131" s="171" t="s">
        <v>500</v>
      </c>
      <c r="M131" s="171">
        <v>7.9538326433320788E-2</v>
      </c>
      <c r="N131" s="171">
        <v>1.1877618113367622E-2</v>
      </c>
      <c r="O131" s="206">
        <v>3.3514948949223938E-2</v>
      </c>
    </row>
    <row r="132" spans="1:101" ht="63.75" x14ac:dyDescent="0.25">
      <c r="A132" s="129" t="s">
        <v>5113</v>
      </c>
      <c r="B132" s="130" t="s">
        <v>4881</v>
      </c>
      <c r="C132" s="131" t="s">
        <v>5114</v>
      </c>
      <c r="D132" s="112" t="s">
        <v>4831</v>
      </c>
      <c r="E132" s="112">
        <v>86</v>
      </c>
      <c r="F132" s="113" t="s">
        <v>5115</v>
      </c>
      <c r="G132" s="195" t="s">
        <v>5116</v>
      </c>
      <c r="H132" s="181" t="s">
        <v>5056</v>
      </c>
      <c r="I132" s="196" t="s">
        <v>4994</v>
      </c>
      <c r="J132" s="171"/>
      <c r="K132" s="171"/>
      <c r="L132" s="171"/>
      <c r="M132" s="171">
        <v>15942</v>
      </c>
      <c r="N132" s="171">
        <v>18859</v>
      </c>
      <c r="O132" s="172">
        <v>21841</v>
      </c>
      <c r="P132" s="323">
        <f>SUM(P90:P130)</f>
        <v>22887</v>
      </c>
      <c r="Q132" s="323">
        <f t="shared" ref="Q132:CB132" si="175">SUM(Q90:Q130)</f>
        <v>12</v>
      </c>
      <c r="R132" s="323">
        <f t="shared" si="175"/>
        <v>56</v>
      </c>
      <c r="S132" s="323">
        <f t="shared" si="175"/>
        <v>430</v>
      </c>
      <c r="T132" s="323">
        <f t="shared" si="175"/>
        <v>172</v>
      </c>
      <c r="U132" s="451" t="s">
        <v>4892</v>
      </c>
      <c r="V132" s="323">
        <f t="shared" si="175"/>
        <v>7</v>
      </c>
      <c r="W132" s="323">
        <f t="shared" si="175"/>
        <v>2047</v>
      </c>
      <c r="X132" s="390">
        <f t="shared" si="175"/>
        <v>0</v>
      </c>
      <c r="Y132" s="323">
        <f t="shared" si="175"/>
        <v>119</v>
      </c>
      <c r="Z132" s="323">
        <f t="shared" si="175"/>
        <v>1054</v>
      </c>
      <c r="AA132" s="323">
        <f t="shared" si="175"/>
        <v>447</v>
      </c>
      <c r="AB132" s="323">
        <f t="shared" si="175"/>
        <v>166</v>
      </c>
      <c r="AC132" s="323">
        <f t="shared" si="175"/>
        <v>976</v>
      </c>
      <c r="AD132" s="323">
        <f t="shared" si="175"/>
        <v>375</v>
      </c>
      <c r="AE132" s="323">
        <f t="shared" si="175"/>
        <v>332</v>
      </c>
      <c r="AF132" s="390">
        <f t="shared" si="175"/>
        <v>0</v>
      </c>
      <c r="AG132" s="323">
        <f t="shared" si="175"/>
        <v>10</v>
      </c>
      <c r="AH132" s="323">
        <f t="shared" si="175"/>
        <v>100</v>
      </c>
      <c r="AI132" s="323">
        <f t="shared" si="175"/>
        <v>4</v>
      </c>
      <c r="AJ132" s="323">
        <f t="shared" si="175"/>
        <v>1677</v>
      </c>
      <c r="AK132" s="323">
        <f t="shared" si="175"/>
        <v>27</v>
      </c>
      <c r="AL132" s="323">
        <f t="shared" si="175"/>
        <v>352</v>
      </c>
      <c r="AM132" s="323">
        <f t="shared" si="175"/>
        <v>74</v>
      </c>
      <c r="AN132" s="323">
        <f t="shared" si="175"/>
        <v>224</v>
      </c>
      <c r="AO132" s="390">
        <f t="shared" si="175"/>
        <v>0</v>
      </c>
      <c r="AP132" s="390">
        <f t="shared" si="175"/>
        <v>0</v>
      </c>
      <c r="AQ132" s="323">
        <f t="shared" si="175"/>
        <v>176</v>
      </c>
      <c r="AR132" s="323">
        <f t="shared" si="175"/>
        <v>142</v>
      </c>
      <c r="AS132" s="323">
        <f t="shared" si="175"/>
        <v>352</v>
      </c>
      <c r="AT132" s="323">
        <f t="shared" si="175"/>
        <v>236</v>
      </c>
      <c r="AU132" s="323">
        <f t="shared" si="175"/>
        <v>469</v>
      </c>
      <c r="AV132" s="323">
        <f t="shared" si="175"/>
        <v>399</v>
      </c>
      <c r="AW132" s="323">
        <f t="shared" si="175"/>
        <v>169</v>
      </c>
      <c r="AX132" s="323">
        <f t="shared" si="175"/>
        <v>320</v>
      </c>
      <c r="AY132" s="323">
        <f t="shared" si="175"/>
        <v>191</v>
      </c>
      <c r="AZ132" s="323">
        <f t="shared" si="175"/>
        <v>9</v>
      </c>
      <c r="BA132" s="323">
        <f t="shared" si="175"/>
        <v>565</v>
      </c>
      <c r="BB132" s="323">
        <f t="shared" si="175"/>
        <v>67</v>
      </c>
      <c r="BC132" s="390">
        <f t="shared" si="175"/>
        <v>0</v>
      </c>
      <c r="BD132" s="323">
        <f t="shared" si="175"/>
        <v>67</v>
      </c>
      <c r="BE132" s="390">
        <f t="shared" si="175"/>
        <v>0</v>
      </c>
      <c r="BF132" s="390">
        <f t="shared" si="175"/>
        <v>0</v>
      </c>
      <c r="BG132" s="323">
        <f t="shared" si="175"/>
        <v>587</v>
      </c>
      <c r="BH132" s="323">
        <f t="shared" si="175"/>
        <v>62</v>
      </c>
      <c r="BI132" s="323">
        <f t="shared" si="175"/>
        <v>22</v>
      </c>
      <c r="BJ132" s="323">
        <f t="shared" si="175"/>
        <v>575</v>
      </c>
      <c r="BK132" s="323">
        <f t="shared" si="175"/>
        <v>505</v>
      </c>
      <c r="BL132" s="323">
        <f t="shared" si="175"/>
        <v>214</v>
      </c>
      <c r="BM132" s="323">
        <f t="shared" si="175"/>
        <v>15</v>
      </c>
      <c r="BN132" s="323">
        <f t="shared" si="175"/>
        <v>174</v>
      </c>
      <c r="BO132" s="323">
        <f t="shared" si="175"/>
        <v>326</v>
      </c>
      <c r="BP132" s="323">
        <f t="shared" si="175"/>
        <v>46</v>
      </c>
      <c r="BQ132" s="323">
        <f t="shared" si="175"/>
        <v>185</v>
      </c>
      <c r="BR132" s="390">
        <f t="shared" si="175"/>
        <v>0</v>
      </c>
      <c r="BS132" s="323">
        <f t="shared" si="175"/>
        <v>78</v>
      </c>
      <c r="BT132" s="323">
        <f t="shared" si="175"/>
        <v>258</v>
      </c>
      <c r="BU132" s="323">
        <f t="shared" si="175"/>
        <v>215</v>
      </c>
      <c r="BV132" s="323">
        <f t="shared" si="175"/>
        <v>391</v>
      </c>
      <c r="BW132" s="323">
        <f t="shared" si="175"/>
        <v>36</v>
      </c>
      <c r="BX132" s="323">
        <f t="shared" si="175"/>
        <v>152</v>
      </c>
      <c r="BY132" s="323">
        <f t="shared" si="175"/>
        <v>332</v>
      </c>
      <c r="BZ132" s="323">
        <f t="shared" si="175"/>
        <v>211</v>
      </c>
      <c r="CA132" s="323">
        <f t="shared" si="175"/>
        <v>178</v>
      </c>
      <c r="CB132" s="323">
        <f t="shared" si="175"/>
        <v>50</v>
      </c>
      <c r="CC132" s="390">
        <f t="shared" ref="CC132:CW132" si="176">SUM(CC90:CC130)</f>
        <v>0</v>
      </c>
      <c r="CD132" s="323">
        <f t="shared" si="176"/>
        <v>9</v>
      </c>
      <c r="CE132" s="323">
        <f t="shared" si="176"/>
        <v>296</v>
      </c>
      <c r="CF132" s="323">
        <f t="shared" si="176"/>
        <v>973</v>
      </c>
      <c r="CG132" s="323">
        <f t="shared" si="176"/>
        <v>80</v>
      </c>
      <c r="CH132" s="323">
        <f t="shared" si="176"/>
        <v>266</v>
      </c>
      <c r="CI132" s="323">
        <f t="shared" si="176"/>
        <v>69</v>
      </c>
      <c r="CJ132" s="323">
        <f t="shared" si="176"/>
        <v>346</v>
      </c>
      <c r="CK132" s="390">
        <f t="shared" si="176"/>
        <v>0</v>
      </c>
      <c r="CL132" s="323">
        <f t="shared" si="176"/>
        <v>87</v>
      </c>
      <c r="CM132" s="323">
        <f t="shared" si="176"/>
        <v>426</v>
      </c>
      <c r="CN132" s="323">
        <f t="shared" si="176"/>
        <v>233</v>
      </c>
      <c r="CO132" s="323">
        <f t="shared" si="176"/>
        <v>372</v>
      </c>
      <c r="CP132" s="390">
        <f t="shared" si="176"/>
        <v>0</v>
      </c>
      <c r="CQ132" s="323">
        <f t="shared" si="176"/>
        <v>245</v>
      </c>
      <c r="CR132" s="323">
        <f t="shared" si="176"/>
        <v>1064</v>
      </c>
      <c r="CS132" s="390">
        <f t="shared" si="176"/>
        <v>0</v>
      </c>
      <c r="CT132" s="323">
        <f t="shared" si="176"/>
        <v>891</v>
      </c>
      <c r="CU132" s="323">
        <f t="shared" si="176"/>
        <v>22</v>
      </c>
      <c r="CV132" s="323">
        <f t="shared" si="176"/>
        <v>245</v>
      </c>
      <c r="CW132" s="323">
        <f t="shared" si="176"/>
        <v>458</v>
      </c>
    </row>
    <row r="133" spans="1:101" ht="144" customHeight="1" x14ac:dyDescent="0.25">
      <c r="A133" s="165" t="s">
        <v>5117</v>
      </c>
      <c r="B133" s="154" t="s">
        <v>4829</v>
      </c>
      <c r="C133" s="166" t="s">
        <v>5118</v>
      </c>
      <c r="D133" s="115" t="s">
        <v>4831</v>
      </c>
      <c r="E133" s="115">
        <v>87</v>
      </c>
      <c r="F133" s="116" t="s">
        <v>5119</v>
      </c>
      <c r="G133" s="124" t="s">
        <v>5120</v>
      </c>
      <c r="H133" s="183" t="s">
        <v>4984</v>
      </c>
      <c r="I133" s="184" t="s">
        <v>5121</v>
      </c>
      <c r="J133" s="171"/>
      <c r="K133" s="171"/>
      <c r="L133" s="171"/>
      <c r="M133" s="199">
        <v>0.90965584374607955</v>
      </c>
      <c r="N133" s="199">
        <v>1.0241420880237551</v>
      </c>
      <c r="O133" s="199">
        <v>1.1017895808923586</v>
      </c>
    </row>
    <row r="134" spans="1:101" ht="165.75" x14ac:dyDescent="0.25">
      <c r="A134" s="1644" t="s">
        <v>5122</v>
      </c>
      <c r="B134" s="1635" t="s">
        <v>4829</v>
      </c>
      <c r="C134" s="1647" t="s">
        <v>5123</v>
      </c>
      <c r="D134" s="115" t="s">
        <v>4831</v>
      </c>
      <c r="E134" s="115">
        <v>88</v>
      </c>
      <c r="F134" s="116" t="s">
        <v>5124</v>
      </c>
      <c r="G134" s="124" t="s">
        <v>5125</v>
      </c>
      <c r="H134" s="183" t="s">
        <v>4984</v>
      </c>
      <c r="I134" s="184" t="s">
        <v>5126</v>
      </c>
      <c r="J134" s="171"/>
      <c r="K134" s="171"/>
      <c r="L134" s="171"/>
      <c r="M134" s="199">
        <v>0.48168116415757128</v>
      </c>
      <c r="N134" s="199">
        <v>0.55672697043533592</v>
      </c>
      <c r="O134" s="200">
        <v>0.60027867245089517</v>
      </c>
    </row>
    <row r="135" spans="1:101" ht="153.75" thickBot="1" x14ac:dyDescent="0.3">
      <c r="A135" s="1645"/>
      <c r="B135" s="1646"/>
      <c r="C135" s="1648"/>
      <c r="D135" s="119" t="s">
        <v>4831</v>
      </c>
      <c r="E135" s="119">
        <v>89</v>
      </c>
      <c r="F135" s="125" t="s">
        <v>5127</v>
      </c>
      <c r="G135" s="126" t="s">
        <v>5128</v>
      </c>
      <c r="H135" s="193" t="s">
        <v>4984</v>
      </c>
      <c r="I135" s="194" t="s">
        <v>5129</v>
      </c>
      <c r="J135" s="171"/>
      <c r="K135" s="171"/>
      <c r="L135" s="171"/>
      <c r="M135" s="199">
        <v>7.0834226194956718E-2</v>
      </c>
      <c r="N135" s="199">
        <v>0.10303212206691761</v>
      </c>
      <c r="O135" s="200">
        <v>9.9830776875600949E-2</v>
      </c>
    </row>
    <row r="136" spans="1:101" ht="89.25" x14ac:dyDescent="0.25">
      <c r="A136" s="1651" t="s">
        <v>5130</v>
      </c>
      <c r="B136" s="1634" t="s">
        <v>4829</v>
      </c>
      <c r="C136" s="1636" t="s">
        <v>5131</v>
      </c>
      <c r="D136" s="112" t="s">
        <v>4831</v>
      </c>
      <c r="E136" s="112">
        <v>90</v>
      </c>
      <c r="F136" s="113" t="s">
        <v>5132</v>
      </c>
      <c r="G136" s="123" t="s">
        <v>5133</v>
      </c>
      <c r="H136" s="181" t="s">
        <v>4841</v>
      </c>
      <c r="I136" s="196" t="s">
        <v>4847</v>
      </c>
      <c r="J136" s="171"/>
      <c r="K136" s="171"/>
      <c r="L136" s="171"/>
      <c r="M136" s="171">
        <v>43</v>
      </c>
      <c r="N136" s="171">
        <v>132</v>
      </c>
      <c r="O136" s="172">
        <v>196</v>
      </c>
    </row>
    <row r="137" spans="1:101" ht="76.5" x14ac:dyDescent="0.25">
      <c r="A137" s="1633"/>
      <c r="B137" s="1635"/>
      <c r="C137" s="1661"/>
      <c r="D137" s="115" t="s">
        <v>4831</v>
      </c>
      <c r="E137" s="115">
        <v>91</v>
      </c>
      <c r="F137" s="116" t="s">
        <v>5134</v>
      </c>
      <c r="G137" s="124" t="s">
        <v>5135</v>
      </c>
      <c r="H137" s="183" t="s">
        <v>4841</v>
      </c>
      <c r="I137" s="184" t="s">
        <v>4847</v>
      </c>
      <c r="J137" s="171"/>
      <c r="K137" s="171"/>
      <c r="L137" s="171"/>
      <c r="M137" s="171">
        <v>29</v>
      </c>
      <c r="N137" s="171">
        <v>47</v>
      </c>
      <c r="O137" s="172">
        <v>37</v>
      </c>
    </row>
    <row r="138" spans="1:101" ht="77.25" thickBot="1" x14ac:dyDescent="0.3">
      <c r="A138" s="1652"/>
      <c r="B138" s="1646"/>
      <c r="C138" s="1662"/>
      <c r="D138" s="119" t="s">
        <v>4831</v>
      </c>
      <c r="E138" s="119">
        <v>92</v>
      </c>
      <c r="F138" s="125" t="s">
        <v>5136</v>
      </c>
      <c r="G138" s="126" t="s">
        <v>5137</v>
      </c>
      <c r="H138" s="193" t="s">
        <v>4841</v>
      </c>
      <c r="I138" s="194" t="s">
        <v>4847</v>
      </c>
      <c r="J138" s="171"/>
      <c r="K138" s="171"/>
      <c r="L138" s="171"/>
      <c r="M138" s="171">
        <v>38</v>
      </c>
      <c r="N138" s="171">
        <v>13</v>
      </c>
      <c r="O138" s="172">
        <v>13</v>
      </c>
    </row>
    <row r="139" spans="1:101" ht="38.25" x14ac:dyDescent="0.25">
      <c r="A139" s="1637">
        <v>27</v>
      </c>
      <c r="B139" s="1637" t="s">
        <v>4829</v>
      </c>
      <c r="C139" s="1641" t="s">
        <v>5138</v>
      </c>
      <c r="D139" s="115" t="s">
        <v>4831</v>
      </c>
      <c r="E139" s="115">
        <v>96</v>
      </c>
      <c r="F139" s="118" t="s">
        <v>5139</v>
      </c>
      <c r="G139" s="139" t="s">
        <v>5140</v>
      </c>
      <c r="H139" s="202"/>
      <c r="I139" s="203" t="s">
        <v>4847</v>
      </c>
      <c r="J139" s="171"/>
      <c r="K139" s="171"/>
      <c r="L139" s="171"/>
      <c r="M139" s="171" t="s">
        <v>4844</v>
      </c>
      <c r="N139" s="171">
        <v>79285</v>
      </c>
      <c r="O139" s="172">
        <v>152385</v>
      </c>
      <c r="P139">
        <f>SUM(Q139:CW139)</f>
        <v>586371.00150000001</v>
      </c>
      <c r="Q139">
        <f>SUMIFS('База практик'!$BC$5:$BC$311,'База практик'!$E$5:$E$311,Расчеты!Q$1)</f>
        <v>60</v>
      </c>
      <c r="R139">
        <f>SUMIFS('База практик'!$BC$5:$BC$311,'База практик'!$E$5:$E$311,Расчеты!R$1)</f>
        <v>29</v>
      </c>
      <c r="S139">
        <f>SUMIFS('База практик'!$BC$5:$BC$311,'База практик'!$E$5:$E$311,Расчеты!S$1)</f>
        <v>1285</v>
      </c>
      <c r="T139">
        <f>SUMIFS('База практик'!$BC$5:$BC$311,'База практик'!$E$5:$E$311,Расчеты!T$1)</f>
        <v>184</v>
      </c>
      <c r="U139">
        <f>SUMIFS('База практик'!$BC$5:$BC$311,'База практик'!$E$5:$E$311,Расчеты!U$1)</f>
        <v>674</v>
      </c>
      <c r="V139">
        <f>SUMIFS('База практик'!$BC$5:$BC$311,'База практик'!$E$5:$E$311,Расчеты!V$1)</f>
        <v>6</v>
      </c>
      <c r="W139">
        <f>SUMIFS('База практик'!$BC$5:$BC$311,'База практик'!$E$5:$E$311,Расчеты!W$1)</f>
        <v>2686</v>
      </c>
      <c r="X139" s="388">
        <f>SUMIFS('База практик'!$BC$5:$BC$311,'База практик'!$E$5:$E$311,Расчеты!X$1)</f>
        <v>0</v>
      </c>
      <c r="Y139">
        <f>SUMIFS('База практик'!$BC$5:$BC$311,'База практик'!$E$5:$E$311,Расчеты!Y$1)</f>
        <v>227</v>
      </c>
      <c r="Z139">
        <f>SUMIFS('База практик'!$BC$5:$BC$311,'База практик'!$E$5:$E$311,Расчеты!Z$1)</f>
        <v>1324</v>
      </c>
      <c r="AA139">
        <f>SUMIFS('База практик'!$BC$5:$BC$311,'База практик'!$E$5:$E$311,Расчеты!AA$1)</f>
        <v>437</v>
      </c>
      <c r="AB139">
        <f>SUMIFS('База практик'!$BC$5:$BC$311,'База практик'!$E$5:$E$311,Расчеты!AB$1)</f>
        <v>278</v>
      </c>
      <c r="AC139">
        <f>SUMIFS('База практик'!$BC$5:$BC$311,'База практик'!$E$5:$E$311,Расчеты!AC$1)</f>
        <v>984</v>
      </c>
      <c r="AD139">
        <f>SUMIFS('База практик'!$BC$5:$BC$311,'База практик'!$E$5:$E$311,Расчеты!AD$1)</f>
        <v>1107</v>
      </c>
      <c r="AE139">
        <f>SUMIFS('База практик'!$BC$5:$BC$311,'База практик'!$E$5:$E$311,Расчеты!AE$1)</f>
        <v>260</v>
      </c>
      <c r="AF139" s="388">
        <f>SUMIFS('База практик'!$BC$5:$BC$311,'База практик'!$E$5:$E$311,Расчеты!AF$1)</f>
        <v>0</v>
      </c>
      <c r="AG139">
        <f>SUMIFS('База практик'!$BC$5:$BC$311,'База практик'!$E$5:$E$311,Расчеты!AG$1)</f>
        <v>16</v>
      </c>
      <c r="AH139">
        <f>SUMIFS('База практик'!$BC$5:$BC$311,'База практик'!$E$5:$E$311,Расчеты!AH$1)</f>
        <v>183</v>
      </c>
      <c r="AI139">
        <f>SUMIFS('База практик'!$BC$5:$BC$311,'База практик'!$E$5:$E$311,Расчеты!AI$1)</f>
        <v>4</v>
      </c>
      <c r="AJ139">
        <f>SUMIFS('База практик'!$BC$5:$BC$311,'База практик'!$E$5:$E$311,Расчеты!AJ$1)</f>
        <v>1677</v>
      </c>
      <c r="AK139">
        <f>SUMIFS('База практик'!$BC$5:$BC$311,'База практик'!$E$5:$E$311,Расчеты!AK$1)</f>
        <v>27</v>
      </c>
      <c r="AL139">
        <f>SUMIFS('База практик'!$BC$5:$BC$311,'База практик'!$E$5:$E$311,Расчеты!AL$1)</f>
        <v>239</v>
      </c>
      <c r="AM139">
        <f>SUMIFS('База практик'!$BC$5:$BC$311,'База практик'!$E$5:$E$311,Расчеты!AM$1)</f>
        <v>101</v>
      </c>
      <c r="AN139">
        <f>SUMIFS('База практик'!$BC$5:$BC$311,'База практик'!$E$5:$E$311,Расчеты!AN$1)</f>
        <v>233</v>
      </c>
      <c r="AO139" s="388">
        <f>SUMIFS('База практик'!$BC$5:$BC$311,'База практик'!$E$5:$E$311,Расчеты!AO$1)</f>
        <v>0</v>
      </c>
      <c r="AP139" s="388">
        <f>SUMIFS('База практик'!$BC$5:$BC$311,'База практик'!$E$5:$E$311,Расчеты!AP$1)</f>
        <v>0</v>
      </c>
      <c r="AQ139">
        <f>SUMIFS('База практик'!$BC$5:$BC$311,'База практик'!$E$5:$E$311,Расчеты!AQ$1)</f>
        <v>403</v>
      </c>
      <c r="AR139">
        <f>SUMIFS('База практик'!$BC$5:$BC$311,'База практик'!$E$5:$E$311,Расчеты!AR$1)</f>
        <v>327</v>
      </c>
      <c r="AS139">
        <f>SUMIFS('База практик'!$BC$5:$BC$311,'База практик'!$E$5:$E$311,Расчеты!AS$1)</f>
        <v>522</v>
      </c>
      <c r="AT139">
        <f>SUMIFS('База практик'!$BC$5:$BC$311,'База практик'!$E$5:$E$311,Расчеты!AT$1)</f>
        <v>988</v>
      </c>
      <c r="AU139">
        <f>SUMIFS('База практик'!$BC$5:$BC$311,'База практик'!$E$5:$E$311,Расчеты!AU$1)</f>
        <v>591</v>
      </c>
      <c r="AV139">
        <f>SUMIFS('База практик'!$BC$5:$BC$311,'База практик'!$E$5:$E$311,Расчеты!AV$1)</f>
        <v>457</v>
      </c>
      <c r="AW139">
        <f>SUMIFS('База практик'!$BC$5:$BC$311,'База практик'!$E$5:$E$311,Расчеты!AW$1)</f>
        <v>651.00149999999996</v>
      </c>
      <c r="AX139">
        <f>SUMIFS('База практик'!$BC$5:$BC$311,'База практик'!$E$5:$E$311,Расчеты!AX$1)</f>
        <v>58</v>
      </c>
      <c r="AY139">
        <f>SUMIFS('База практик'!$BC$5:$BC$311,'База практик'!$E$5:$E$311,Расчеты!AY$1)</f>
        <v>199</v>
      </c>
      <c r="AZ139">
        <f>SUMIFS('База практик'!$BC$5:$BC$311,'База практик'!$E$5:$E$311,Расчеты!AZ$1)</f>
        <v>30</v>
      </c>
      <c r="BA139">
        <f>SUMIFS('База практик'!$BC$5:$BC$311,'База практик'!$E$5:$E$311,Расчеты!BA$1)</f>
        <v>566</v>
      </c>
      <c r="BB139">
        <f>SUMIFS('База практик'!$BC$5:$BC$311,'База практик'!$E$5:$E$311,Расчеты!BB$1)</f>
        <v>93</v>
      </c>
      <c r="BC139" s="388">
        <f>SUMIFS('База практик'!$BC$5:$BC$311,'База практик'!$E$5:$E$311,Расчеты!BC$1)</f>
        <v>0</v>
      </c>
      <c r="BD139">
        <f>SUMIFS('База практик'!$BC$5:$BC$311,'База практик'!$E$5:$E$311,Расчеты!BD$1)</f>
        <v>193</v>
      </c>
      <c r="BE139" s="388">
        <f>SUMIFS('База практик'!$BC$5:$BC$311,'База практик'!$E$5:$E$311,Расчеты!BE$1)</f>
        <v>0</v>
      </c>
      <c r="BF139" s="388">
        <f>SUMIFS('База практик'!$BC$5:$BC$311,'База практик'!$E$5:$E$311,Расчеты!BF$1)</f>
        <v>0</v>
      </c>
      <c r="BG139">
        <f>SUMIFS('База практик'!$BC$5:$BC$311,'База практик'!$E$5:$E$311,Расчеты!BG$1)</f>
        <v>648</v>
      </c>
      <c r="BH139">
        <f>SUMIFS('База практик'!$BC$5:$BC$311,'База практик'!$E$5:$E$311,Расчеты!BH$1)</f>
        <v>62</v>
      </c>
      <c r="BI139">
        <f>SUMIFS('База практик'!$BC$5:$BC$311,'База практик'!$E$5:$E$311,Расчеты!BI$1)</f>
        <v>36</v>
      </c>
      <c r="BJ139">
        <f>SUMIFS('База практик'!$BC$5:$BC$311,'База практик'!$E$5:$E$311,Расчеты!BJ$1)</f>
        <v>1005</v>
      </c>
      <c r="BK139">
        <f>SUMIFS('База практик'!$BC$5:$BC$311,'База практик'!$E$5:$E$311,Расчеты!BK$1)</f>
        <v>783</v>
      </c>
      <c r="BL139">
        <f>SUMIFS('База практик'!$BC$5:$BC$311,'База практик'!$E$5:$E$311,Расчеты!BL$1)</f>
        <v>458</v>
      </c>
      <c r="BM139">
        <f>SUMIFS('База практик'!$BC$5:$BC$311,'База практик'!$E$5:$E$311,Расчеты!BM$1)</f>
        <v>1</v>
      </c>
      <c r="BN139">
        <f>SUMIFS('База практик'!$BC$5:$BC$311,'База практик'!$E$5:$E$311,Расчеты!BN$1)</f>
        <v>285</v>
      </c>
      <c r="BO139">
        <f>SUMIFS('База практик'!$BC$5:$BC$311,'База практик'!$E$5:$E$311,Расчеты!BO$1)</f>
        <v>159</v>
      </c>
      <c r="BP139">
        <f>SUMIFS('База практик'!$BC$5:$BC$311,'База практик'!$E$5:$E$311,Расчеты!BP$1)</f>
        <v>67</v>
      </c>
      <c r="BQ139">
        <f>SUMIFS('База практик'!$BC$5:$BC$311,'База практик'!$E$5:$E$311,Расчеты!BQ$1)</f>
        <v>475</v>
      </c>
      <c r="BR139" s="388">
        <f>SUMIFS('База практик'!$BC$5:$BC$311,'База практик'!$E$5:$E$311,Расчеты!BR$1)</f>
        <v>0</v>
      </c>
      <c r="BS139">
        <f>SUMIFS('База практик'!$BC$5:$BC$311,'База практик'!$E$5:$E$311,Расчеты!BS$1)</f>
        <v>148</v>
      </c>
      <c r="BT139">
        <f>SUMIFS('База практик'!$BC$5:$BC$311,'База практик'!$E$5:$E$311,Расчеты!BT$1)</f>
        <v>474</v>
      </c>
      <c r="BU139">
        <f>SUMIFS('База практик'!$BC$5:$BC$311,'База практик'!$E$5:$E$311,Расчеты!BU$1)</f>
        <v>13</v>
      </c>
      <c r="BV139">
        <f>SUMIFS('База практик'!$BC$5:$BC$311,'База практик'!$E$5:$E$311,Расчеты!BV$1)</f>
        <v>561</v>
      </c>
      <c r="BW139">
        <f>SUMIFS('База практик'!$BC$5:$BC$311,'База практик'!$E$5:$E$311,Расчеты!BW$1)</f>
        <v>6945</v>
      </c>
      <c r="BX139">
        <f>SUMIFS('База практик'!$BC$5:$BC$311,'База практик'!$E$5:$E$311,Расчеты!BX$1)</f>
        <v>484</v>
      </c>
      <c r="BY139">
        <f>SUMIFS('База практик'!$BC$5:$BC$311,'База практик'!$E$5:$E$311,Расчеты!BY$1)</f>
        <v>1832</v>
      </c>
      <c r="BZ139">
        <f>SUMIFS('База практик'!$BC$5:$BC$311,'База практик'!$E$5:$E$311,Расчеты!BZ$1)</f>
        <v>759</v>
      </c>
      <c r="CA139">
        <f>SUMIFS('База практик'!$BC$5:$BC$311,'База практик'!$E$5:$E$311,Расчеты!CA$1)</f>
        <v>543763</v>
      </c>
      <c r="CB139">
        <f>SUMIFS('База практик'!$BC$5:$BC$311,'База практик'!$E$5:$E$311,Расчеты!CB$1)</f>
        <v>89</v>
      </c>
      <c r="CC139" s="388">
        <f>SUMIFS('База практик'!$BC$5:$BC$311,'База практик'!$E$5:$E$311,Расчеты!CC$1)</f>
        <v>0</v>
      </c>
      <c r="CD139">
        <f>SUMIFS('База практик'!$BC$5:$BC$311,'База практик'!$E$5:$E$311,Расчеты!CD$1)</f>
        <v>24</v>
      </c>
      <c r="CE139">
        <f>SUMIFS('База практик'!$BC$5:$BC$311,'База практик'!$E$5:$E$311,Расчеты!CE$1)</f>
        <v>387</v>
      </c>
      <c r="CF139">
        <f>SUMIFS('База практик'!$BC$5:$BC$311,'База практик'!$E$5:$E$311,Расчеты!CF$1)</f>
        <v>1885</v>
      </c>
      <c r="CG139">
        <f>SUMIFS('База практик'!$BC$5:$BC$311,'База практик'!$E$5:$E$311,Расчеты!CG$1)</f>
        <v>170</v>
      </c>
      <c r="CH139">
        <f>SUMIFS('База практик'!$BC$5:$BC$311,'База практик'!$E$5:$E$311,Расчеты!CH$1)</f>
        <v>325</v>
      </c>
      <c r="CI139">
        <f>SUMIFS('База практик'!$BC$5:$BC$311,'База практик'!$E$5:$E$311,Расчеты!CI$1)</f>
        <v>92</v>
      </c>
      <c r="CJ139">
        <f>SUMIFS('База практик'!$BC$5:$BC$311,'База практик'!$E$5:$E$311,Расчеты!CJ$1)</f>
        <v>1133</v>
      </c>
      <c r="CK139" s="388">
        <f>SUMIFS('База практик'!$BC$5:$BC$311,'База практик'!$E$5:$E$311,Расчеты!CK$1)</f>
        <v>0</v>
      </c>
      <c r="CL139">
        <f>SUMIFS('База практик'!$BC$5:$BC$311,'База практик'!$E$5:$E$311,Расчеты!CL$1)</f>
        <v>27</v>
      </c>
      <c r="CM139">
        <f>SUMIFS('База практик'!$BC$5:$BC$311,'База практик'!$E$5:$E$311,Расчеты!CM$1)</f>
        <v>552</v>
      </c>
      <c r="CN139">
        <f>SUMIFS('База практик'!$BC$5:$BC$311,'База практик'!$E$5:$E$311,Расчеты!CN$1)</f>
        <v>565</v>
      </c>
      <c r="CO139">
        <f>SUMIFS('База практик'!$BC$5:$BC$311,'База практик'!$E$5:$E$311,Расчеты!CO$1)</f>
        <v>606</v>
      </c>
      <c r="CP139" s="388">
        <f>SUMIFS('База практик'!$BC$5:$BC$311,'База практик'!$E$5:$E$311,Расчеты!CP$1)</f>
        <v>0</v>
      </c>
      <c r="CQ139">
        <f>SUMIFS('База практик'!$BC$5:$BC$311,'База практик'!$E$5:$E$311,Расчеты!CQ$1)</f>
        <v>426</v>
      </c>
      <c r="CR139">
        <f>SUMIFS('База практик'!$BC$5:$BC$311,'База практик'!$E$5:$E$311,Расчеты!CR$1)</f>
        <v>1101</v>
      </c>
      <c r="CS139" s="388">
        <f>SUMIFS('База практик'!$BC$5:$BC$311,'База практик'!$E$5:$E$311,Расчеты!CS$1)</f>
        <v>0</v>
      </c>
      <c r="CT139">
        <f>SUMIFS('База практик'!$BC$5:$BC$311,'База практик'!$E$5:$E$311,Расчеты!CT$1)</f>
        <v>1950</v>
      </c>
      <c r="CU139">
        <f>SUMIFS('База практик'!$BC$5:$BC$311,'База практик'!$E$5:$E$311,Расчеты!CU$1)</f>
        <v>21</v>
      </c>
      <c r="CV139">
        <f>SUMIFS('База практик'!$BC$5:$BC$311,'База практик'!$E$5:$E$311,Расчеты!CV$1)</f>
        <v>452</v>
      </c>
      <c r="CW139">
        <f>SUMIFS('База практик'!$BC$5:$BC$311,'База практик'!$E$5:$E$311,Расчеты!CW$1)</f>
        <v>509</v>
      </c>
    </row>
    <row r="140" spans="1:101" ht="101.1" customHeight="1" x14ac:dyDescent="0.25">
      <c r="A140" s="1638"/>
      <c r="B140" s="1638"/>
      <c r="C140" s="1642"/>
      <c r="D140" s="115" t="s">
        <v>4831</v>
      </c>
      <c r="E140" s="115">
        <v>93</v>
      </c>
      <c r="F140" s="116" t="s">
        <v>5141</v>
      </c>
      <c r="G140" s="124" t="s">
        <v>5142</v>
      </c>
      <c r="H140" s="183" t="s">
        <v>5143</v>
      </c>
      <c r="I140" s="184" t="s">
        <v>4847</v>
      </c>
      <c r="J140" s="171"/>
      <c r="K140" s="171"/>
      <c r="L140" s="171"/>
      <c r="M140" s="171">
        <v>22253</v>
      </c>
      <c r="N140" s="171">
        <v>19154</v>
      </c>
      <c r="O140" s="172">
        <v>24380</v>
      </c>
      <c r="P140">
        <f>SUM(Q140:CW140)</f>
        <v>27963</v>
      </c>
      <c r="Q140">
        <f>SUMIFS('База практик'!$BD$5:$BD$311,'База практик'!$E$5:$E$311,Расчеты!Q$1)</f>
        <v>20</v>
      </c>
      <c r="R140">
        <f>SUMIFS('База практик'!$BD$5:$BD$311,'База практик'!$E$5:$E$311,Расчеты!R$1)</f>
        <v>99</v>
      </c>
      <c r="S140">
        <f>SUMIFS('База практик'!$BD$5:$BD$311,'База практик'!$E$5:$E$311,Расчеты!S$1)</f>
        <v>454</v>
      </c>
      <c r="T140">
        <f>SUMIFS('База практик'!$BD$5:$BD$311,'База практик'!$E$5:$E$311,Расчеты!T$1)</f>
        <v>172</v>
      </c>
      <c r="U140">
        <f>SUMIFS('База практик'!$BD$5:$BD$311,'База практик'!$E$5:$E$311,Расчеты!U$1)</f>
        <v>535</v>
      </c>
      <c r="V140">
        <f>SUMIFS('База практик'!$BD$5:$BD$311,'База практик'!$E$5:$E$311,Расчеты!V$1)</f>
        <v>4</v>
      </c>
      <c r="W140">
        <f>SUMIFS('База практик'!$BD$5:$BD$311,'База практик'!$E$5:$E$311,Расчеты!W$1)</f>
        <v>2518</v>
      </c>
      <c r="X140" s="388">
        <f>SUMIFS('База практик'!$BD$5:$BD$311,'База практик'!$E$5:$E$311,Расчеты!X$1)</f>
        <v>0</v>
      </c>
      <c r="Y140">
        <f>SUMIFS('База практик'!$BD$5:$BD$311,'База практик'!$E$5:$E$311,Расчеты!Y$1)</f>
        <v>227</v>
      </c>
      <c r="Z140">
        <f>SUMIFS('База практик'!$BD$5:$BD$311,'База практик'!$E$5:$E$311,Расчеты!Z$1)</f>
        <v>1324</v>
      </c>
      <c r="AA140">
        <f>SUMIFS('База практик'!$BD$5:$BD$311,'База практик'!$E$5:$E$311,Расчеты!AA$1)</f>
        <v>447</v>
      </c>
      <c r="AB140">
        <f>SUMIFS('База практик'!$BD$5:$BD$311,'База практик'!$E$5:$E$311,Расчеты!AB$1)</f>
        <v>277</v>
      </c>
      <c r="AC140">
        <f>SUMIFS('База практик'!$BD$5:$BD$311,'База практик'!$E$5:$E$311,Расчеты!AC$1)</f>
        <v>984</v>
      </c>
      <c r="AD140">
        <f>SUMIFS('База практик'!$BD$5:$BD$311,'База практик'!$E$5:$E$311,Расчеты!AD$1)</f>
        <v>1095</v>
      </c>
      <c r="AE140">
        <f>SUMIFS('База практик'!$BD$5:$BD$311,'База практик'!$E$5:$E$311,Расчеты!AE$1)</f>
        <v>246</v>
      </c>
      <c r="AF140" s="388">
        <f>SUMIFS('База практик'!$BD$5:$BD$311,'База практик'!$E$5:$E$311,Расчеты!AF$1)</f>
        <v>0</v>
      </c>
      <c r="AG140">
        <f>SUMIFS('База практик'!$BD$5:$BD$311,'База практик'!$E$5:$E$311,Расчеты!AG$1)</f>
        <v>16</v>
      </c>
      <c r="AH140">
        <f>SUMIFS('База практик'!$BD$5:$BD$311,'База практик'!$E$5:$E$311,Расчеты!AH$1)</f>
        <v>183</v>
      </c>
      <c r="AI140">
        <f>SUMIFS('База практик'!$BD$5:$BD$311,'База практик'!$E$5:$E$311,Расчеты!AI$1)</f>
        <v>4</v>
      </c>
      <c r="AJ140">
        <f>SUMIFS('База практик'!$BD$5:$BD$311,'База практик'!$E$5:$E$311,Расчеты!AJ$1)</f>
        <v>454</v>
      </c>
      <c r="AK140">
        <f>SUMIFS('База практик'!$BD$5:$BD$311,'База практик'!$E$5:$E$311,Расчеты!AK$1)</f>
        <v>27</v>
      </c>
      <c r="AL140">
        <f>SUMIFS('База практик'!$BD$5:$BD$311,'База практик'!$E$5:$E$311,Расчеты!AL$1)</f>
        <v>110</v>
      </c>
      <c r="AM140">
        <f>SUMIFS('База практик'!$BD$5:$BD$311,'База практик'!$E$5:$E$311,Расчеты!AM$1)</f>
        <v>77</v>
      </c>
      <c r="AN140">
        <f>SUMIFS('База практик'!$BD$5:$BD$311,'База практик'!$E$5:$E$311,Расчеты!AN$1)</f>
        <v>229</v>
      </c>
      <c r="AO140" s="388">
        <f>SUMIFS('База практик'!$BD$5:$BD$311,'База практик'!$E$5:$E$311,Расчеты!AO$1)</f>
        <v>0</v>
      </c>
      <c r="AP140" s="388">
        <f>SUMIFS('База практик'!$BD$5:$BD$311,'База практик'!$E$5:$E$311,Расчеты!AP$1)</f>
        <v>0</v>
      </c>
      <c r="AQ140">
        <f>SUMIFS('База практик'!$BD$5:$BD$311,'База практик'!$E$5:$E$311,Расчеты!AQ$1)</f>
        <v>305</v>
      </c>
      <c r="AR140">
        <f>SUMIFS('База практик'!$BD$5:$BD$311,'База практик'!$E$5:$E$311,Расчеты!AR$1)</f>
        <v>142</v>
      </c>
      <c r="AS140">
        <f>SUMIFS('База практик'!$BD$5:$BD$311,'База практик'!$E$5:$E$311,Расчеты!AS$1)</f>
        <v>473</v>
      </c>
      <c r="AT140">
        <f>SUMIFS('База практик'!$BD$5:$BD$311,'База практик'!$E$5:$E$311,Расчеты!AT$1)</f>
        <v>539</v>
      </c>
      <c r="AU140">
        <f>SUMIFS('База практик'!$BD$5:$BD$311,'База практик'!$E$5:$E$311,Расчеты!AU$1)</f>
        <v>591</v>
      </c>
      <c r="AV140">
        <f>SUMIFS('База практик'!$BD$5:$BD$311,'База практик'!$E$5:$E$311,Расчеты!AV$1)</f>
        <v>457</v>
      </c>
      <c r="AW140">
        <f>SUMIFS('База практик'!$BD$5:$BD$311,'База практик'!$E$5:$E$311,Расчеты!AW$1)</f>
        <v>245</v>
      </c>
      <c r="AX140">
        <f>SUMIFS('База практик'!$BD$5:$BD$311,'База практик'!$E$5:$E$311,Расчеты!AX$1)</f>
        <v>58</v>
      </c>
      <c r="AY140">
        <f>SUMIFS('База практик'!$BD$5:$BD$311,'База практик'!$E$5:$E$311,Расчеты!AY$1)</f>
        <v>199</v>
      </c>
      <c r="AZ140">
        <f>SUMIFS('База практик'!$BD$5:$BD$311,'База практик'!$E$5:$E$311,Расчеты!AZ$1)</f>
        <v>10</v>
      </c>
      <c r="BA140">
        <f>SUMIFS('База практик'!$BD$5:$BD$311,'База практик'!$E$5:$E$311,Расчеты!BA$1)</f>
        <v>566</v>
      </c>
      <c r="BB140">
        <f>SUMIFS('База практик'!$BD$5:$BD$311,'База практик'!$E$5:$E$311,Расчеты!BB$1)</f>
        <v>93</v>
      </c>
      <c r="BC140" s="388">
        <f>SUMIFS('База практик'!$BD$5:$BD$311,'База практик'!$E$5:$E$311,Расчеты!BC$1)</f>
        <v>0</v>
      </c>
      <c r="BD140">
        <f>SUMIFS('База практик'!$BD$5:$BD$311,'База практик'!$E$5:$E$311,Расчеты!BD$1)</f>
        <v>193</v>
      </c>
      <c r="BE140" s="388">
        <f>SUMIFS('База практик'!$BD$5:$BD$311,'База практик'!$E$5:$E$311,Расчеты!BE$1)</f>
        <v>0</v>
      </c>
      <c r="BF140" s="388">
        <f>SUMIFS('База практик'!$BD$5:$BD$311,'База практик'!$E$5:$E$311,Расчеты!BF$1)</f>
        <v>0</v>
      </c>
      <c r="BG140">
        <f>SUMIFS('База практик'!$BD$5:$BD$311,'База практик'!$E$5:$E$311,Расчеты!BG$1)</f>
        <v>648</v>
      </c>
      <c r="BH140">
        <f>SUMIFS('База практик'!$BD$5:$BD$311,'База практик'!$E$5:$E$311,Расчеты!BH$1)</f>
        <v>62</v>
      </c>
      <c r="BI140">
        <f>SUMIFS('База практик'!$BD$5:$BD$311,'База практик'!$E$5:$E$311,Расчеты!BI$1)</f>
        <v>36</v>
      </c>
      <c r="BJ140">
        <f>SUMIFS('База практик'!$BD$5:$BD$311,'База практик'!$E$5:$E$311,Расчеты!BJ$1)</f>
        <v>799</v>
      </c>
      <c r="BK140">
        <f>SUMIFS('База практик'!$BD$5:$BD$311,'База практик'!$E$5:$E$311,Расчеты!BK$1)</f>
        <v>440</v>
      </c>
      <c r="BL140">
        <f>SUMIFS('База практик'!$BD$5:$BD$311,'База практик'!$E$5:$E$311,Расчеты!BL$1)</f>
        <v>214</v>
      </c>
      <c r="BM140">
        <f>SUMIFS('База практик'!$BD$5:$BD$311,'База практик'!$E$5:$E$311,Расчеты!BM$1)</f>
        <v>1</v>
      </c>
      <c r="BN140">
        <f>SUMIFS('База практик'!$BD$5:$BD$311,'База практик'!$E$5:$E$311,Расчеты!BN$1)</f>
        <v>280</v>
      </c>
      <c r="BO140">
        <f>SUMIFS('База практик'!$BD$5:$BD$311,'База практик'!$E$5:$E$311,Расчеты!BO$1)</f>
        <v>151</v>
      </c>
      <c r="BP140">
        <f>SUMIFS('База практик'!$BD$5:$BD$311,'База практик'!$E$5:$E$311,Расчеты!BP$1)</f>
        <v>67</v>
      </c>
      <c r="BQ140">
        <f>SUMIFS('База практик'!$BD$5:$BD$311,'База практик'!$E$5:$E$311,Расчеты!BQ$1)</f>
        <v>475</v>
      </c>
      <c r="BR140" s="388">
        <f>SUMIFS('База практик'!$BD$5:$BD$311,'База практик'!$E$5:$E$311,Расчеты!BR$1)</f>
        <v>0</v>
      </c>
      <c r="BS140">
        <f>SUMIFS('База практик'!$BD$5:$BD$311,'База практик'!$E$5:$E$311,Расчеты!BS$1)</f>
        <v>148</v>
      </c>
      <c r="BT140">
        <f>SUMIFS('База практик'!$BD$5:$BD$311,'База практик'!$E$5:$E$311,Расчеты!BT$1)</f>
        <v>381</v>
      </c>
      <c r="BU140">
        <f>SUMIFS('База практик'!$BD$5:$BD$311,'База практик'!$E$5:$E$311,Расчеты!BU$1)</f>
        <v>327</v>
      </c>
      <c r="BV140">
        <f>SUMIFS('База практик'!$BD$5:$BD$311,'База практик'!$E$5:$E$311,Расчеты!BV$1)</f>
        <v>702</v>
      </c>
      <c r="BW140">
        <f>SUMIFS('База практик'!$BD$5:$BD$311,'База практик'!$E$5:$E$311,Расчеты!BW$1)</f>
        <v>64</v>
      </c>
      <c r="BX140">
        <f>SUMIFS('База практик'!$BD$5:$BD$311,'База практик'!$E$5:$E$311,Расчеты!BX$1)</f>
        <v>202</v>
      </c>
      <c r="BY140">
        <f>SUMIFS('База практик'!$BD$5:$BD$311,'База практик'!$E$5:$E$311,Расчеты!BY$1)</f>
        <v>503</v>
      </c>
      <c r="BZ140">
        <f>SUMIFS('База практик'!$BD$5:$BD$311,'База практик'!$E$5:$E$311,Расчеты!BZ$1)</f>
        <v>249</v>
      </c>
      <c r="CA140">
        <f>SUMIFS('База практик'!$BD$5:$BD$311,'База практик'!$E$5:$E$311,Расчеты!CA$1)</f>
        <v>115</v>
      </c>
      <c r="CB140">
        <f>SUMIFS('База практик'!$BD$5:$BD$311,'База практик'!$E$5:$E$311,Расчеты!CB$1)</f>
        <v>89</v>
      </c>
      <c r="CC140" s="388">
        <f>SUMIFS('База практик'!$BD$5:$BD$311,'База практик'!$E$5:$E$311,Расчеты!CC$1)</f>
        <v>0</v>
      </c>
      <c r="CD140">
        <f>SUMIFS('База практик'!$BD$5:$BD$311,'База практик'!$E$5:$E$311,Расчеты!CD$1)</f>
        <v>24</v>
      </c>
      <c r="CE140">
        <f>SUMIFS('База практик'!$BD$5:$BD$311,'База практик'!$E$5:$E$311,Расчеты!CE$1)</f>
        <v>378</v>
      </c>
      <c r="CF140">
        <f>SUMIFS('База практик'!$BD$5:$BD$311,'База практик'!$E$5:$E$311,Расчеты!CF$1)</f>
        <v>1026</v>
      </c>
      <c r="CG140">
        <f>SUMIFS('База практик'!$BD$5:$BD$311,'База практик'!$E$5:$E$311,Расчеты!CG$1)</f>
        <v>135</v>
      </c>
      <c r="CH140">
        <f>SUMIFS('База практик'!$BD$5:$BD$311,'База практик'!$E$5:$E$311,Расчеты!CH$1)</f>
        <v>325</v>
      </c>
      <c r="CI140">
        <f>SUMIFS('База практик'!$BD$5:$BD$311,'База практик'!$E$5:$E$311,Расчеты!CI$1)</f>
        <v>92</v>
      </c>
      <c r="CJ140">
        <f>SUMIFS('База практик'!$BD$5:$BD$311,'База практик'!$E$5:$E$311,Расчеты!CJ$1)</f>
        <v>1133</v>
      </c>
      <c r="CK140" s="388">
        <f>SUMIFS('База практик'!$BD$5:$BD$311,'База практик'!$E$5:$E$311,Расчеты!CK$1)</f>
        <v>0</v>
      </c>
      <c r="CL140">
        <f>SUMIFS('База практик'!$BD$5:$BD$311,'База практик'!$E$5:$E$311,Расчеты!CL$1)</f>
        <v>48</v>
      </c>
      <c r="CM140">
        <f>SUMIFS('База практик'!$BD$5:$BD$311,'База практик'!$E$5:$E$311,Расчеты!CM$1)</f>
        <v>431</v>
      </c>
      <c r="CN140">
        <f>SUMIFS('База практик'!$BD$5:$BD$311,'База практик'!$E$5:$E$311,Расчеты!CN$1)</f>
        <v>475</v>
      </c>
      <c r="CO140">
        <f>SUMIFS('База практик'!$BD$5:$BD$311,'База практик'!$E$5:$E$311,Расчеты!CO$1)</f>
        <v>536</v>
      </c>
      <c r="CP140" s="388">
        <f>SUMIFS('База практик'!$BD$5:$BD$311,'База практик'!$E$5:$E$311,Расчеты!CP$1)</f>
        <v>0</v>
      </c>
      <c r="CQ140">
        <f>SUMIFS('База практик'!$BD$5:$BD$311,'База практик'!$E$5:$E$311,Расчеты!CQ$1)</f>
        <v>372</v>
      </c>
      <c r="CR140">
        <f>SUMIFS('База практик'!$BD$5:$BD$311,'База практик'!$E$5:$E$311,Расчеты!CR$1)</f>
        <v>1069</v>
      </c>
      <c r="CS140" s="388">
        <f>SUMIFS('База практик'!$BD$5:$BD$311,'База практик'!$E$5:$E$311,Расчеты!CS$1)</f>
        <v>0</v>
      </c>
      <c r="CT140">
        <f>SUMIFS('База практик'!$BD$5:$BD$311,'База практик'!$E$5:$E$311,Расчеты!CT$1)</f>
        <v>1727</v>
      </c>
      <c r="CU140">
        <f>SUMIFS('База практик'!$BD$5:$BD$311,'База практик'!$E$5:$E$311,Расчеты!CU$1)</f>
        <v>21</v>
      </c>
      <c r="CV140">
        <f>SUMIFS('База практик'!$BD$5:$BD$311,'База практик'!$E$5:$E$311,Расчеты!CV$1)</f>
        <v>367</v>
      </c>
      <c r="CW140">
        <f>SUMIFS('База практик'!$BD$5:$BD$311,'База практик'!$E$5:$E$311,Расчеты!CW$1)</f>
        <v>478</v>
      </c>
    </row>
    <row r="141" spans="1:101" ht="51" x14ac:dyDescent="0.25">
      <c r="A141" s="1638"/>
      <c r="B141" s="1638"/>
      <c r="C141" s="1642"/>
      <c r="D141" s="115" t="s">
        <v>4831</v>
      </c>
      <c r="E141" s="115">
        <v>94</v>
      </c>
      <c r="F141" s="116" t="s">
        <v>5144</v>
      </c>
      <c r="G141" s="124" t="s">
        <v>5145</v>
      </c>
      <c r="H141" s="183" t="s">
        <v>5143</v>
      </c>
      <c r="I141" s="184" t="s">
        <v>4847</v>
      </c>
      <c r="J141" s="171"/>
      <c r="K141" s="171"/>
      <c r="L141" s="171"/>
      <c r="M141" s="171">
        <v>13964</v>
      </c>
      <c r="N141" s="171">
        <v>18725</v>
      </c>
      <c r="O141" s="172">
        <v>20369</v>
      </c>
      <c r="P141">
        <f t="shared" ref="P141" si="177">SUM(Q141:CW141)</f>
        <v>21151</v>
      </c>
      <c r="Q141">
        <f>SUMIFS('База практик'!$BE$5:$BE$311,'База практик'!$E$5:$E$311,Расчеты!Q$1)</f>
        <v>12</v>
      </c>
      <c r="R141">
        <f>SUMIFS('База практик'!$BE$5:$BE$311,'База практик'!$E$5:$E$311,Расчеты!R$1)</f>
        <v>56</v>
      </c>
      <c r="S141">
        <f>SUMIFS('База практик'!$BE$5:$BE$311,'База практик'!$E$5:$E$311,Расчеты!S$1)</f>
        <v>438</v>
      </c>
      <c r="T141">
        <f>SUMIFS('База практик'!$BE$5:$BE$311,'База практик'!$E$5:$E$311,Расчеты!T$1)</f>
        <v>172</v>
      </c>
      <c r="U141">
        <f>SUMIFS('База практик'!$BE$5:$BE$311,'База практик'!$E$5:$E$311,Расчеты!U$1)</f>
        <v>370</v>
      </c>
      <c r="V141">
        <f>SUMIFS('База практик'!$BE$5:$BE$311,'База практик'!$E$5:$E$311,Расчеты!V$1)</f>
        <v>4</v>
      </c>
      <c r="W141">
        <f>SUMIFS('База практик'!$BE$5:$BE$311,'База практик'!$E$5:$E$311,Расчеты!W$1)</f>
        <v>2047</v>
      </c>
      <c r="X141" s="388">
        <f>SUMIFS('База практик'!$BE$5:$BE$311,'База практик'!$E$5:$E$311,Расчеты!X$1)</f>
        <v>0</v>
      </c>
      <c r="Y141">
        <f>SUMIFS('База практик'!$BE$5:$BE$311,'База практик'!$E$5:$E$311,Расчеты!Y$1)</f>
        <v>119</v>
      </c>
      <c r="Z141">
        <f>SUMIFS('База практик'!$BE$5:$BE$311,'База практик'!$E$5:$E$311,Расчеты!Z$1)</f>
        <v>1054</v>
      </c>
      <c r="AA141">
        <f>SUMIFS('База практик'!$BE$5:$BE$311,'База практик'!$E$5:$E$311,Расчеты!AA$1)</f>
        <v>447</v>
      </c>
      <c r="AB141">
        <f>SUMIFS('База практик'!$BE$5:$BE$311,'База практик'!$E$5:$E$311,Расчеты!AB$1)</f>
        <v>166</v>
      </c>
      <c r="AC141">
        <f>SUMIFS('База практик'!$BE$5:$BE$311,'База практик'!$E$5:$E$311,Расчеты!AC$1)</f>
        <v>976</v>
      </c>
      <c r="AD141">
        <f>SUMIFS('База практик'!$BE$5:$BE$311,'База практик'!$E$5:$E$311,Расчеты!AD$1)</f>
        <v>375</v>
      </c>
      <c r="AE141">
        <f>SUMIFS('База практик'!$BE$5:$BE$311,'База практик'!$E$5:$E$311,Расчеты!AE$1)</f>
        <v>122</v>
      </c>
      <c r="AF141" s="388">
        <f>SUMIFS('База практик'!$BE$5:$BE$311,'База практик'!$E$5:$E$311,Расчеты!AF$1)</f>
        <v>0</v>
      </c>
      <c r="AG141">
        <f>SUMIFS('База практик'!$BE$5:$BE$311,'База практик'!$E$5:$E$311,Расчеты!AG$1)</f>
        <v>8</v>
      </c>
      <c r="AH141">
        <f>SUMIFS('База практик'!$BE$5:$BE$311,'База практик'!$E$5:$E$311,Расчеты!AH$1)</f>
        <v>100</v>
      </c>
      <c r="AI141">
        <f>SUMIFS('База практик'!$BE$5:$BE$311,'База практик'!$E$5:$E$311,Расчеты!AI$1)</f>
        <v>4</v>
      </c>
      <c r="AJ141">
        <f>SUMIFS('База практик'!$BE$5:$BE$311,'База практик'!$E$5:$E$311,Расчеты!AJ$1)</f>
        <v>454</v>
      </c>
      <c r="AK141">
        <f>SUMIFS('База практик'!$BE$5:$BE$311,'База практик'!$E$5:$E$311,Расчеты!AK$1)</f>
        <v>27</v>
      </c>
      <c r="AL141">
        <f>SUMIFS('База практик'!$BE$5:$BE$311,'База практик'!$E$5:$E$311,Расчеты!AL$1)</f>
        <v>101</v>
      </c>
      <c r="AM141">
        <f>SUMIFS('База практик'!$BE$5:$BE$311,'База практик'!$E$5:$E$311,Расчеты!AM$1)</f>
        <v>74</v>
      </c>
      <c r="AN141">
        <f>SUMIFS('База практик'!$BE$5:$BE$311,'База практик'!$E$5:$E$311,Расчеты!AN$1)</f>
        <v>223</v>
      </c>
      <c r="AO141" s="388">
        <f>SUMIFS('База практик'!$BE$5:$BE$311,'База практик'!$E$5:$E$311,Расчеты!AO$1)</f>
        <v>0</v>
      </c>
      <c r="AP141" s="388">
        <f>SUMIFS('База практик'!$BE$5:$BE$311,'База практик'!$E$5:$E$311,Расчеты!AP$1)</f>
        <v>0</v>
      </c>
      <c r="AQ141">
        <f>SUMIFS('База практик'!$BE$5:$BE$311,'База практик'!$E$5:$E$311,Расчеты!AQ$1)</f>
        <v>176</v>
      </c>
      <c r="AR141">
        <f>SUMIFS('База практик'!$BE$5:$BE$311,'База практик'!$E$5:$E$311,Расчеты!AR$1)</f>
        <v>142</v>
      </c>
      <c r="AS141">
        <f>SUMIFS('База практик'!$BE$5:$BE$311,'База практик'!$E$5:$E$311,Расчеты!AS$1)</f>
        <v>352</v>
      </c>
      <c r="AT141">
        <f>SUMIFS('База практик'!$BE$5:$BE$311,'База практик'!$E$5:$E$311,Расчеты!AT$1)</f>
        <v>236</v>
      </c>
      <c r="AU141">
        <f>SUMIFS('База практик'!$BE$5:$BE$311,'База практик'!$E$5:$E$311,Расчеты!AU$1)</f>
        <v>469</v>
      </c>
      <c r="AV141">
        <f>SUMIFS('База практик'!$BE$5:$BE$311,'База практик'!$E$5:$E$311,Расчеты!AV$1)</f>
        <v>399</v>
      </c>
      <c r="AW141">
        <f>SUMIFS('База практик'!$BE$5:$BE$311,'База практик'!$E$5:$E$311,Расчеты!AW$1)</f>
        <v>212</v>
      </c>
      <c r="AX141">
        <f>SUMIFS('База практик'!$BE$5:$BE$311,'База практик'!$E$5:$E$311,Расчеты!AX$1)</f>
        <v>11</v>
      </c>
      <c r="AY141">
        <f>SUMIFS('База практик'!$BE$5:$BE$311,'База практик'!$E$5:$E$311,Расчеты!AY$1)</f>
        <v>191</v>
      </c>
      <c r="AZ141">
        <f>SUMIFS('База практик'!$BE$5:$BE$311,'База практик'!$E$5:$E$311,Расчеты!AZ$1)</f>
        <v>9</v>
      </c>
      <c r="BA141">
        <f>SUMIFS('База практик'!$BE$5:$BE$311,'База практик'!$E$5:$E$311,Расчеты!BA$1)</f>
        <v>566</v>
      </c>
      <c r="BB141">
        <f>SUMIFS('База практик'!$BE$5:$BE$311,'База практик'!$E$5:$E$311,Расчеты!BB$1)</f>
        <v>67</v>
      </c>
      <c r="BC141" s="388">
        <f>SUMIFS('База практик'!$BE$5:$BE$311,'База практик'!$E$5:$E$311,Расчеты!BC$1)</f>
        <v>0</v>
      </c>
      <c r="BD141">
        <f>SUMIFS('База практик'!$BE$5:$BE$311,'База практик'!$E$5:$E$311,Расчеты!BD$1)</f>
        <v>68</v>
      </c>
      <c r="BE141" s="388">
        <f>SUMIFS('База практик'!$BE$5:$BE$311,'База практик'!$E$5:$E$311,Расчеты!BE$1)</f>
        <v>0</v>
      </c>
      <c r="BF141" s="388">
        <f>SUMIFS('База практик'!$BE$5:$BE$311,'База практик'!$E$5:$E$311,Расчеты!BF$1)</f>
        <v>0</v>
      </c>
      <c r="BG141">
        <f>SUMIFS('База практик'!$BE$5:$BE$311,'База практик'!$E$5:$E$311,Расчеты!BG$1)</f>
        <v>587</v>
      </c>
      <c r="BH141">
        <f>SUMIFS('База практик'!$BE$5:$BE$311,'База практик'!$E$5:$E$311,Расчеты!BH$1)</f>
        <v>62</v>
      </c>
      <c r="BI141">
        <f>SUMIFS('База практик'!$BE$5:$BE$311,'База практик'!$E$5:$E$311,Расчеты!BI$1)</f>
        <v>22</v>
      </c>
      <c r="BJ141">
        <f>SUMIFS('База практик'!$BE$5:$BE$311,'База практик'!$E$5:$E$311,Расчеты!BJ$1)</f>
        <v>575</v>
      </c>
      <c r="BK141">
        <f>SUMIFS('База практик'!$BE$5:$BE$311,'База практик'!$E$5:$E$311,Расчеты!BK$1)</f>
        <v>372</v>
      </c>
      <c r="BL141">
        <f>SUMIFS('База практик'!$BE$5:$BE$311,'База практик'!$E$5:$E$311,Расчеты!BL$1)</f>
        <v>214</v>
      </c>
      <c r="BM141">
        <f>SUMIFS('База практик'!$BE$5:$BE$311,'База практик'!$E$5:$E$311,Расчеты!BM$1)</f>
        <v>15</v>
      </c>
      <c r="BN141">
        <f>SUMIFS('База практик'!$BE$5:$BE$311,'База практик'!$E$5:$E$311,Расчеты!BN$1)</f>
        <v>174</v>
      </c>
      <c r="BO141">
        <f>SUMIFS('База практик'!$BE$5:$BE$311,'База практик'!$E$5:$E$311,Расчеты!BO$1)</f>
        <v>115</v>
      </c>
      <c r="BP141">
        <f>SUMIFS('База практик'!$BE$5:$BE$311,'База практик'!$E$5:$E$311,Расчеты!BP$1)</f>
        <v>46</v>
      </c>
      <c r="BQ141">
        <f>SUMIFS('База практик'!$BE$5:$BE$311,'База практик'!$E$5:$E$311,Расчеты!BQ$1)</f>
        <v>185</v>
      </c>
      <c r="BR141" s="388">
        <f>SUMIFS('База практик'!$BE$5:$BE$311,'База практик'!$E$5:$E$311,Расчеты!BR$1)</f>
        <v>0</v>
      </c>
      <c r="BS141">
        <f>SUMIFS('База практик'!$BE$5:$BE$311,'База практик'!$E$5:$E$311,Расчеты!BS$1)</f>
        <v>78</v>
      </c>
      <c r="BT141">
        <f>SUMIFS('База практик'!$BE$5:$BE$311,'База практик'!$E$5:$E$311,Расчеты!BT$1)</f>
        <v>165</v>
      </c>
      <c r="BU141">
        <f>SUMIFS('База практик'!$BE$5:$BE$311,'База практик'!$E$5:$E$311,Расчеты!BU$1)</f>
        <v>215</v>
      </c>
      <c r="BV141">
        <f>SUMIFS('База практик'!$BE$5:$BE$311,'База практик'!$E$5:$E$311,Расчеты!BV$1)</f>
        <v>391</v>
      </c>
      <c r="BW141">
        <f>SUMIFS('База практик'!$BE$5:$BE$311,'База практик'!$E$5:$E$311,Расчеты!BW$1)</f>
        <v>25</v>
      </c>
      <c r="BX141">
        <f>SUMIFS('База практик'!$BE$5:$BE$311,'База практик'!$E$5:$E$311,Расчеты!BX$1)</f>
        <v>156</v>
      </c>
      <c r="BY141">
        <f>SUMIFS('База практик'!$BE$5:$BE$311,'База практик'!$E$5:$E$311,Расчеты!BY$1)</f>
        <v>332</v>
      </c>
      <c r="BZ141">
        <f>SUMIFS('База практик'!$BE$5:$BE$311,'База практик'!$E$5:$E$311,Расчеты!BZ$1)</f>
        <v>212</v>
      </c>
      <c r="CA141">
        <f>SUMIFS('База практик'!$BE$5:$BE$311,'База практик'!$E$5:$E$311,Расчеты!CA$1)</f>
        <v>177</v>
      </c>
      <c r="CB141">
        <f>SUMIFS('База практик'!$BE$5:$BE$311,'База практик'!$E$5:$E$311,Расчеты!CB$1)</f>
        <v>50</v>
      </c>
      <c r="CC141" s="388">
        <f>SUMIFS('База практик'!$BE$5:$BE$311,'База практик'!$E$5:$E$311,Расчеты!CC$1)</f>
        <v>0</v>
      </c>
      <c r="CD141">
        <f>SUMIFS('База практик'!$BE$5:$BE$311,'База практик'!$E$5:$E$311,Расчеты!CD$1)</f>
        <v>9</v>
      </c>
      <c r="CE141">
        <f>SUMIFS('База практик'!$BE$5:$BE$311,'База практик'!$E$5:$E$311,Расчеты!CE$1)</f>
        <v>291</v>
      </c>
      <c r="CF141">
        <f>SUMIFS('База практик'!$BE$5:$BE$311,'База практик'!$E$5:$E$311,Расчеты!CF$1)</f>
        <v>973</v>
      </c>
      <c r="CG141">
        <f>SUMIFS('База практик'!$BE$5:$BE$311,'База практик'!$E$5:$E$311,Расчеты!CG$1)</f>
        <v>80</v>
      </c>
      <c r="CH141">
        <f>SUMIFS('База практик'!$BE$5:$BE$311,'База практик'!$E$5:$E$311,Расчеты!CH$1)</f>
        <v>271</v>
      </c>
      <c r="CI141">
        <f>SUMIFS('База практик'!$BE$5:$BE$311,'База практик'!$E$5:$E$311,Расчеты!CI$1)</f>
        <v>69</v>
      </c>
      <c r="CJ141">
        <f>SUMIFS('База практик'!$BE$5:$BE$311,'База практик'!$E$5:$E$311,Расчеты!CJ$1)</f>
        <v>346</v>
      </c>
      <c r="CK141" s="388">
        <f>SUMIFS('База практик'!$BE$5:$BE$311,'База практик'!$E$5:$E$311,Расчеты!CK$1)</f>
        <v>0</v>
      </c>
      <c r="CL141">
        <f>SUMIFS('База практик'!$BE$5:$BE$311,'База практик'!$E$5:$E$311,Расчеты!CL$1)</f>
        <v>44</v>
      </c>
      <c r="CM141">
        <f>SUMIFS('База практик'!$BE$5:$BE$311,'База практик'!$E$5:$E$311,Расчеты!CM$1)</f>
        <v>428</v>
      </c>
      <c r="CN141">
        <f>SUMIFS('База практик'!$BE$5:$BE$311,'База практик'!$E$5:$E$311,Расчеты!CN$1)</f>
        <v>235</v>
      </c>
      <c r="CO141">
        <f>SUMIFS('База практик'!$BE$5:$BE$311,'База практик'!$E$5:$E$311,Расчеты!CO$1)</f>
        <v>251</v>
      </c>
      <c r="CP141" s="388">
        <f>SUMIFS('База практик'!$BE$5:$BE$311,'База практик'!$E$5:$E$311,Расчеты!CP$1)</f>
        <v>0</v>
      </c>
      <c r="CQ141">
        <f>SUMIFS('База практик'!$BE$5:$BE$311,'База практик'!$E$5:$E$311,Расчеты!CQ$1)</f>
        <v>245</v>
      </c>
      <c r="CR141">
        <f>SUMIFS('База практик'!$BE$5:$BE$311,'База практик'!$E$5:$E$311,Расчеты!CR$1)</f>
        <v>1064</v>
      </c>
      <c r="CS141" s="388">
        <f>SUMIFS('База практик'!$BE$5:$BE$311,'База практик'!$E$5:$E$311,Расчеты!CS$1)</f>
        <v>0</v>
      </c>
      <c r="CT141">
        <f>SUMIFS('База практик'!$BE$5:$BE$311,'База практик'!$E$5:$E$311,Расчеты!CT$1)</f>
        <v>1715</v>
      </c>
      <c r="CU141">
        <f>SUMIFS('База практик'!$BE$5:$BE$311,'База практик'!$E$5:$E$311,Расчеты!CU$1)</f>
        <v>18</v>
      </c>
      <c r="CV141">
        <f>SUMIFS('База практик'!$BE$5:$BE$311,'База практик'!$E$5:$E$311,Расчеты!CV$1)</f>
        <v>239</v>
      </c>
      <c r="CW141">
        <f>SUMIFS('База практик'!$BE$5:$BE$311,'База практик'!$E$5:$E$311,Расчеты!CW$1)</f>
        <v>458</v>
      </c>
    </row>
    <row r="142" spans="1:101" ht="76.5" x14ac:dyDescent="0.25">
      <c r="A142" s="1638"/>
      <c r="B142" s="1638"/>
      <c r="C142" s="1642"/>
      <c r="D142" s="115" t="s">
        <v>4831</v>
      </c>
      <c r="E142" s="115">
        <v>97</v>
      </c>
      <c r="F142" s="118" t="s">
        <v>5146</v>
      </c>
      <c r="G142" s="124" t="s">
        <v>5147</v>
      </c>
      <c r="H142" s="183" t="s">
        <v>52</v>
      </c>
      <c r="I142" s="184" t="s">
        <v>4838</v>
      </c>
      <c r="J142" s="171"/>
      <c r="K142" s="171"/>
      <c r="L142" s="171"/>
      <c r="M142" s="171" t="s">
        <v>4844</v>
      </c>
      <c r="N142" s="199">
        <v>0.24158415841584158</v>
      </c>
      <c r="O142" s="200">
        <v>0.15998950027889886</v>
      </c>
    </row>
    <row r="143" spans="1:101" ht="51" x14ac:dyDescent="0.25">
      <c r="A143" s="1638"/>
      <c r="B143" s="1638"/>
      <c r="C143" s="1642"/>
      <c r="D143" s="115" t="s">
        <v>4831</v>
      </c>
      <c r="E143" s="115">
        <v>95</v>
      </c>
      <c r="F143" s="116" t="s">
        <v>5148</v>
      </c>
      <c r="G143" s="124" t="s">
        <v>5149</v>
      </c>
      <c r="H143" s="183" t="s">
        <v>52</v>
      </c>
      <c r="I143" s="184" t="s">
        <v>4838</v>
      </c>
      <c r="J143" s="171"/>
      <c r="K143" s="171"/>
      <c r="L143" s="171"/>
      <c r="M143" s="199">
        <v>0.62751089740709121</v>
      </c>
      <c r="N143" s="199">
        <v>0.9776025895374334</v>
      </c>
      <c r="O143" s="200">
        <v>0.83547990155865459</v>
      </c>
    </row>
    <row r="144" spans="1:101" ht="51.75" thickBot="1" x14ac:dyDescent="0.3">
      <c r="A144" s="1639"/>
      <c r="B144" s="1639"/>
      <c r="C144" s="1643"/>
      <c r="D144" s="147" t="s">
        <v>4831</v>
      </c>
      <c r="E144" s="147">
        <v>98</v>
      </c>
      <c r="F144" s="149" t="s">
        <v>5150</v>
      </c>
      <c r="G144" s="150" t="s">
        <v>5151</v>
      </c>
      <c r="H144" s="209" t="s">
        <v>52</v>
      </c>
      <c r="I144" s="180" t="s">
        <v>4838</v>
      </c>
      <c r="J144" s="171"/>
      <c r="K144" s="171"/>
      <c r="L144" s="171"/>
      <c r="M144" s="199" t="s">
        <v>4844</v>
      </c>
      <c r="N144" s="199">
        <v>0.23617329885854826</v>
      </c>
      <c r="O144" s="200">
        <v>0.13366801194343275</v>
      </c>
    </row>
    <row r="145" spans="1:101" ht="25.5" x14ac:dyDescent="0.25">
      <c r="A145" s="1632">
        <v>28</v>
      </c>
      <c r="B145" s="1634" t="s">
        <v>4881</v>
      </c>
      <c r="C145" s="1636" t="s">
        <v>5152</v>
      </c>
      <c r="D145" s="260" t="s">
        <v>4831</v>
      </c>
      <c r="E145" s="260">
        <v>96</v>
      </c>
      <c r="F145" s="261" t="s">
        <v>5153</v>
      </c>
      <c r="G145" s="262" t="s">
        <v>5154</v>
      </c>
      <c r="H145" s="263" t="s">
        <v>5155</v>
      </c>
      <c r="I145" s="167" t="s">
        <v>4847</v>
      </c>
      <c r="J145" s="191"/>
      <c r="K145" s="191"/>
      <c r="L145" s="191"/>
      <c r="M145" s="191">
        <v>29121.573000000004</v>
      </c>
      <c r="N145" s="191">
        <v>27775.256799999999</v>
      </c>
      <c r="O145" s="264"/>
      <c r="P145">
        <f>SUM(Q145:CW145)</f>
        <v>56498.659140640004</v>
      </c>
      <c r="Q145">
        <f>SUMIFS('База практик'!$CD$5:$CD$311, 'База практик'!$E$5:$E$311,Расчеты!Q$1)</f>
        <v>41.25</v>
      </c>
      <c r="R145">
        <f>SUMIFS('База практик'!$CD$5:$CD$311, 'База практик'!$E$5:$E$311,Расчеты!R$1)</f>
        <v>249.1</v>
      </c>
      <c r="S145">
        <f>SUMIFS('База практик'!$CD$5:$CD$311, 'База практик'!$E$5:$E$311,Расчеты!S$1)</f>
        <v>271.98900000000003</v>
      </c>
      <c r="T145">
        <f>SUMIFS('База практик'!$CD$5:$CD$311, 'База практик'!$E$5:$E$311,Расчеты!T$1)</f>
        <v>161.34</v>
      </c>
      <c r="U145">
        <f>SUMIFS('База практик'!$CD$5:$CD$311, 'База практик'!$E$5:$E$311,Расчеты!U$1)</f>
        <v>354.1</v>
      </c>
      <c r="V145">
        <f>SUMIFS('База практик'!$CD$5:$CD$311, 'База практик'!$E$5:$E$311,Расчеты!V$1)</f>
        <v>1.952</v>
      </c>
      <c r="W145">
        <f>SUMIFS('База практик'!$CD$5:$CD$311, 'База практик'!$E$5:$E$311,Расчеты!W$1)</f>
        <v>893.92899999999997</v>
      </c>
      <c r="X145">
        <f>SUMIFS('База практик'!$CD$5:$CD$311, 'База практик'!$E$5:$E$311,Расчеты!X$1)</f>
        <v>0</v>
      </c>
      <c r="Y145">
        <f>SUMIFS('База практик'!$CD$5:$CD$311, 'База практик'!$E$5:$E$311,Расчеты!Y$1)</f>
        <v>330</v>
      </c>
      <c r="Z145">
        <f>SUMIFS('База практик'!$CD$5:$CD$311, 'База практик'!$E$5:$E$311,Расчеты!Z$1)</f>
        <v>231</v>
      </c>
      <c r="AA145">
        <f>SUMIFS('База практик'!$CD$5:$CD$311, 'База практик'!$E$5:$E$311,Расчеты!AA$1)</f>
        <v>1333.8039999999999</v>
      </c>
      <c r="AB145">
        <f>SUMIFS('База практик'!$CD$5:$CD$311, 'База практик'!$E$5:$E$311,Расчеты!AB$1)</f>
        <v>1997.6420000000001</v>
      </c>
      <c r="AC145">
        <f>SUMIFS('База практик'!$CD$5:$CD$311, 'База практик'!$E$5:$E$311,Расчеты!AC$1)</f>
        <v>252.946</v>
      </c>
      <c r="AD145">
        <f>SUMIFS('База практик'!$CD$5:$CD$311, 'База практик'!$E$5:$E$311,Расчеты!AD$1)</f>
        <v>1978.9379999999999</v>
      </c>
      <c r="AE145">
        <f>SUMIFS('База практик'!$CD$5:$CD$311, 'База практик'!$E$5:$E$311,Расчеты!AE$1)</f>
        <v>0</v>
      </c>
      <c r="AF145">
        <f>SUMIFS('База практик'!$CD$5:$CD$311, 'База практик'!$E$5:$E$311,Расчеты!AF$1)</f>
        <v>0</v>
      </c>
      <c r="AG145">
        <f>SUMIFS('База практик'!$CD$5:$CD$311, 'База практик'!$E$5:$E$311,Расчеты!AG$1)</f>
        <v>11</v>
      </c>
      <c r="AH145">
        <f>SUMIFS('База практик'!$CD$5:$CD$311, 'База практик'!$E$5:$E$311,Расчеты!AH$1)</f>
        <v>130.69399999999999</v>
      </c>
      <c r="AI145">
        <f>SUMIFS('База практик'!$CD$5:$CD$311, 'База практик'!$E$5:$E$311,Расчеты!AI$1)</f>
        <v>0.46</v>
      </c>
      <c r="AJ145">
        <f>SUMIFS('База практик'!$CD$5:$CD$311, 'База практик'!$E$5:$E$311,Расчеты!AJ$1)</f>
        <v>0</v>
      </c>
      <c r="AK145">
        <f>SUMIFS('База практик'!$CD$5:$CD$311, 'База практик'!$E$5:$E$311,Расчеты!AK$1)</f>
        <v>10.1</v>
      </c>
      <c r="AL145">
        <f>SUMIFS('База практик'!$CD$5:$CD$311, 'База практик'!$E$5:$E$311,Расчеты!AL$1)</f>
        <v>1111.5629999999999</v>
      </c>
      <c r="AM145">
        <f>SUMIFS('База практик'!$CD$5:$CD$311, 'База практик'!$E$5:$E$311,Расчеты!AM$1)</f>
        <v>60.783999999999999</v>
      </c>
      <c r="AN145">
        <f>SUMIFS('База практик'!$CD$5:$CD$311, 'База практик'!$E$5:$E$311,Расчеты!AN$1)</f>
        <v>388.86900000000003</v>
      </c>
      <c r="AO145">
        <f>SUMIFS('База практик'!$CD$5:$CD$311, 'База практик'!$E$5:$E$311,Расчеты!AO$1)</f>
        <v>0</v>
      </c>
      <c r="AP145">
        <f>SUMIFS('База практик'!$CD$5:$CD$311, 'База практик'!$E$5:$E$311,Расчеты!AP$1)</f>
        <v>0</v>
      </c>
      <c r="AQ145">
        <f>SUMIFS('База практик'!$CD$5:$CD$311, 'База практик'!$E$5:$E$311,Расчеты!AQ$1)</f>
        <v>637.5</v>
      </c>
      <c r="AR145">
        <f>SUMIFS('База практик'!$CD$5:$CD$311, 'База практик'!$E$5:$E$311,Расчеты!AR$1)</f>
        <v>916.60599999999999</v>
      </c>
      <c r="AS145">
        <f>SUMIFS('База практик'!$CD$5:$CD$311, 'База практик'!$E$5:$E$311,Расчеты!AS$1)</f>
        <v>594.9</v>
      </c>
      <c r="AT145">
        <f>SUMIFS('База практик'!$CD$5:$CD$311, 'База практик'!$E$5:$E$311,Расчеты!AT$1)</f>
        <v>627.66999999999996</v>
      </c>
      <c r="AU145">
        <f>SUMIFS('База практик'!$CD$5:$CD$311, 'База практик'!$E$5:$E$311,Расчеты!AU$1)</f>
        <v>996.5</v>
      </c>
      <c r="AV145">
        <f>SUMIFS('База практик'!$CD$5:$CD$311, 'База практик'!$E$5:$E$311,Расчеты!AV$1)</f>
        <v>657.17100000000005</v>
      </c>
      <c r="AW145">
        <f>SUMIFS('База практик'!$CD$5:$CD$311, 'База практик'!$E$5:$E$311,Расчеты!AW$1)</f>
        <v>253.578</v>
      </c>
      <c r="AX145">
        <f>SUMIFS('База практик'!$CD$5:$CD$311, 'База практик'!$E$5:$E$311,Расчеты!AX$1)</f>
        <v>861.59900000000005</v>
      </c>
      <c r="AY145">
        <f>SUMIFS('База практик'!$CD$5:$CD$311, 'База практик'!$E$5:$E$311,Расчеты!AY$1)</f>
        <v>320</v>
      </c>
      <c r="AZ145">
        <f>SUMIFS('База практик'!$CD$5:$CD$311, 'База практик'!$E$5:$E$311,Расчеты!AZ$1)</f>
        <v>37.707999999999998</v>
      </c>
      <c r="BA145">
        <f>SUMIFS('База практик'!$CD$5:$CD$311, 'База практик'!$E$5:$E$311,Расчеты!BA$1)</f>
        <v>625.774</v>
      </c>
      <c r="BB145">
        <f>SUMIFS('База практик'!$CD$5:$CD$311, 'База практик'!$E$5:$E$311,Расчеты!BB$1)</f>
        <v>630.06299999999999</v>
      </c>
      <c r="BC145">
        <f>SUMIFS('База практик'!$CD$5:$CD$311, 'База практик'!$E$5:$E$311,Расчеты!BC$1)</f>
        <v>0</v>
      </c>
      <c r="BD145">
        <f>SUMIFS('База практик'!$CD$5:$CD$311, 'База практик'!$E$5:$E$311,Расчеты!BD$1)</f>
        <v>131.07</v>
      </c>
      <c r="BE145">
        <f>SUMIFS('База практик'!$CD$5:$CD$311, 'База практик'!$E$5:$E$311,Расчеты!BE$1)</f>
        <v>0</v>
      </c>
      <c r="BF145">
        <f>SUMIFS('База практик'!$CD$5:$CD$311, 'База практик'!$E$5:$E$311,Расчеты!BF$1)</f>
        <v>0</v>
      </c>
      <c r="BG145">
        <f>SUMIFS('База практик'!$CD$5:$CD$311, 'База практик'!$E$5:$E$311,Расчеты!BG$1)</f>
        <v>0</v>
      </c>
      <c r="BH145">
        <f>SUMIFS('База практик'!$CD$5:$CD$311, 'База практик'!$E$5:$E$311,Расчеты!BH$1)</f>
        <v>215.1</v>
      </c>
      <c r="BI145">
        <f>SUMIFS('База практик'!$CD$5:$CD$311, 'База практик'!$E$5:$E$311,Расчеты!BI$1)</f>
        <v>12.279</v>
      </c>
      <c r="BJ145">
        <f>SUMIFS('База практик'!$CD$5:$CD$311, 'База практик'!$E$5:$E$311,Расчеты!BJ$1)</f>
        <v>5623.7839999999997</v>
      </c>
      <c r="BK145">
        <f>SUMIFS('База практик'!$CD$5:$CD$311, 'База практик'!$E$5:$E$311,Расчеты!BK$1)</f>
        <v>785.12500000000011</v>
      </c>
      <c r="BL145">
        <f>SUMIFS('База практик'!$CD$5:$CD$311, 'База практик'!$E$5:$E$311,Расчеты!BL$1)</f>
        <v>371.7</v>
      </c>
      <c r="BM145">
        <f>SUMIFS('База практик'!$CD$5:$CD$311, 'База практик'!$E$5:$E$311,Расчеты!BM$1)</f>
        <v>0.252</v>
      </c>
      <c r="BN145">
        <f>SUMIFS('База практик'!$CD$5:$CD$311, 'База практик'!$E$5:$E$311,Расчеты!BN$1)</f>
        <v>142.98800000000003</v>
      </c>
      <c r="BO145">
        <f>SUMIFS('База практик'!$CD$5:$CD$311, 'База практик'!$E$5:$E$311,Расчеты!BO$1)</f>
        <v>857.24900000000002</v>
      </c>
      <c r="BP145">
        <f>SUMIFS('База практик'!$CD$5:$CD$311, 'База практик'!$E$5:$E$311,Расчеты!BP$1)</f>
        <v>42</v>
      </c>
      <c r="BQ145">
        <f>SUMIFS('База практик'!$CD$5:$CD$311, 'База практик'!$E$5:$E$311,Расчеты!BQ$1)</f>
        <v>0</v>
      </c>
      <c r="BR145">
        <f>SUMIFS('База практик'!$CD$5:$CD$311, 'База практик'!$E$5:$E$311,Расчеты!BR$1)</f>
        <v>0</v>
      </c>
      <c r="BS145">
        <f>SUMIFS('База практик'!$CD$5:$CD$311, 'База практик'!$E$5:$E$311,Расчеты!BS$1)</f>
        <v>11</v>
      </c>
      <c r="BT145">
        <f>SUMIFS('База практик'!$CD$5:$CD$311, 'База практик'!$E$5:$E$311,Расчеты!BT$1)</f>
        <v>698.12</v>
      </c>
      <c r="BU145">
        <f>SUMIFS('База практик'!$CD$5:$CD$311, 'База практик'!$E$5:$E$311,Расчеты!BU$1)</f>
        <v>509.45299999999997</v>
      </c>
      <c r="BV145">
        <f>SUMIFS('База практик'!$CD$5:$CD$311, 'База практик'!$E$5:$E$311,Расчеты!BV$1)</f>
        <v>4966.9279999999999</v>
      </c>
      <c r="BW145">
        <f>SUMIFS('База практик'!$CD$5:$CD$311, 'База практик'!$E$5:$E$311,Расчеты!BW$1)</f>
        <v>3884.4971406400005</v>
      </c>
      <c r="BX145">
        <f>SUMIFS('База практик'!$CD$5:$CD$311, 'База практик'!$E$5:$E$311,Расчеты!BX$1)</f>
        <v>323.54000000000002</v>
      </c>
      <c r="BY145">
        <f>SUMIFS('База практик'!$CD$5:$CD$311, 'База практик'!$E$5:$E$311,Расчеты!BY$1)</f>
        <v>828.4</v>
      </c>
      <c r="BZ145">
        <f>SUMIFS('База практик'!$CD$5:$CD$311, 'База практик'!$E$5:$E$311,Расчеты!BZ$1)</f>
        <v>217.40600000000001</v>
      </c>
      <c r="CA145">
        <f>SUMIFS('База практик'!$CD$5:$CD$311, 'База практик'!$E$5:$E$311,Расчеты!CA$1)</f>
        <v>4164.9979999999996</v>
      </c>
      <c r="CB145">
        <f>SUMIFS('База практик'!$CD$5:$CD$311, 'База практик'!$E$5:$E$311,Расчеты!CB$1)</f>
        <v>11.5</v>
      </c>
      <c r="CC145">
        <f>SUMIFS('База практик'!$CD$5:$CD$311, 'База практик'!$E$5:$E$311,Расчеты!CC$1)</f>
        <v>0</v>
      </c>
      <c r="CD145">
        <f>SUMIFS('База практик'!$CD$5:$CD$311, 'База практик'!$E$5:$E$311,Расчеты!CD$1)</f>
        <v>7.7</v>
      </c>
      <c r="CE145">
        <f>SUMIFS('База практик'!$CD$5:$CD$311, 'База практик'!$E$5:$E$311,Расчеты!CE$1)</f>
        <v>1907.8719999999998</v>
      </c>
      <c r="CF145">
        <f>SUMIFS('База практик'!$CD$5:$CD$311, 'База практик'!$E$5:$E$311,Расчеты!CF$1)</f>
        <v>1291.7670000000001</v>
      </c>
      <c r="CG145">
        <f>SUMIFS('База практик'!$CD$5:$CD$311, 'База практик'!$E$5:$E$311,Расчеты!CG$1)</f>
        <v>3000.46</v>
      </c>
      <c r="CH145">
        <f>SUMIFS('База практик'!$CD$5:$CD$311, 'База практик'!$E$5:$E$311,Расчеты!CH$1)</f>
        <v>398</v>
      </c>
      <c r="CI145">
        <f>SUMIFS('База практик'!$CD$5:$CD$311, 'База практик'!$E$5:$E$311,Расчеты!CI$1)</f>
        <v>69.08</v>
      </c>
      <c r="CJ145">
        <f>SUMIFS('База практик'!$CD$5:$CD$311, 'База практик'!$E$5:$E$311,Расчеты!CJ$1)</f>
        <v>263.012</v>
      </c>
      <c r="CK145">
        <f>SUMIFS('База практик'!$CD$5:$CD$311, 'База практик'!$E$5:$E$311,Расчеты!CK$1)</f>
        <v>0</v>
      </c>
      <c r="CL145">
        <f>SUMIFS('База практик'!$CD$5:$CD$311, 'База практик'!$E$5:$E$311,Расчеты!CL$1)</f>
        <v>133.834</v>
      </c>
      <c r="CM145">
        <f>SUMIFS('База практик'!$CD$5:$CD$311, 'База практик'!$E$5:$E$311,Расчеты!CM$1)</f>
        <v>849.11099999999988</v>
      </c>
      <c r="CN145">
        <f>SUMIFS('База практик'!$CD$5:$CD$311, 'База практик'!$E$5:$E$311,Расчеты!CN$1)</f>
        <v>1469.3240000000001</v>
      </c>
      <c r="CO145">
        <f>SUMIFS('База практик'!$CD$5:$CD$311, 'База практик'!$E$5:$E$311,Расчеты!CO$1)</f>
        <v>238.34800000000001</v>
      </c>
      <c r="CP145">
        <f>SUMIFS('База практик'!$CD$5:$CD$311, 'База практик'!$E$5:$E$311,Расчеты!CP$1)</f>
        <v>0</v>
      </c>
      <c r="CQ145">
        <v>407.25200000000001</v>
      </c>
      <c r="CR145">
        <v>3466.37</v>
      </c>
      <c r="CS145">
        <f>SUMIFS('База практик'!$CD$5:$CD$311, 'База практик'!$E$5:$E$311,Расчеты!CS$1)</f>
        <v>0</v>
      </c>
      <c r="CT145">
        <f>SUMIFS('База практик'!$CD$5:$CD$311, 'База практик'!$E$5:$E$311,Расчеты!CT$1)</f>
        <v>841.76800000000003</v>
      </c>
      <c r="CU145">
        <f>SUMIFS('База практик'!$CD$5:$CD$311, 'База практик'!$E$5:$E$311,Расчеты!CU$1)</f>
        <v>26.837</v>
      </c>
      <c r="CV145">
        <f>SUMIFS('База практик'!$CD$5:$CD$311, 'База практик'!$E$5:$E$311,Расчеты!CV$1)</f>
        <v>411.00600000000003</v>
      </c>
      <c r="CW145">
        <f>SUMIFS('База практик'!$CD$5:$CD$311, 'База практик'!$E$5:$E$311,Расчеты!CW$1)</f>
        <v>949</v>
      </c>
    </row>
    <row r="146" spans="1:101" ht="114.75" x14ac:dyDescent="0.25">
      <c r="A146" s="1633"/>
      <c r="B146" s="1635"/>
      <c r="C146" s="1635"/>
      <c r="D146" s="115" t="s">
        <v>4831</v>
      </c>
      <c r="E146" s="115">
        <v>97</v>
      </c>
      <c r="F146" s="116" t="s">
        <v>5156</v>
      </c>
      <c r="G146" s="124" t="s">
        <v>5157</v>
      </c>
      <c r="H146" s="183" t="s">
        <v>52</v>
      </c>
      <c r="I146" s="184" t="s">
        <v>4838</v>
      </c>
      <c r="J146" s="171"/>
      <c r="K146" s="171"/>
      <c r="L146" s="171"/>
      <c r="M146" s="171">
        <v>0.30423266850489755</v>
      </c>
      <c r="N146" s="171">
        <v>0.23273051478324078</v>
      </c>
      <c r="O146" s="446">
        <v>0.34298511101524443</v>
      </c>
      <c r="P146" s="431">
        <f>AVERAGE(Q146:CW146)</f>
        <v>0.43156771717690168</v>
      </c>
      <c r="Q146" s="431">
        <f>Q145/Q148</f>
        <v>8.9075942369484851E-2</v>
      </c>
      <c r="R146" s="431">
        <f t="shared" ref="R146:W146" si="178">R145/R148</f>
        <v>1.131341941402755</v>
      </c>
      <c r="S146" s="431">
        <f t="shared" si="178"/>
        <v>0.11738068224238972</v>
      </c>
      <c r="T146" s="431">
        <f t="shared" si="178"/>
        <v>0.20421647401916856</v>
      </c>
      <c r="U146" s="431">
        <f t="shared" si="178"/>
        <v>0.31156101659869689</v>
      </c>
      <c r="V146" s="431">
        <f t="shared" si="178"/>
        <v>1.9407784191802994E-3</v>
      </c>
      <c r="W146" s="431">
        <f t="shared" si="178"/>
        <v>0.22137086998480246</v>
      </c>
      <c r="X146" s="431"/>
      <c r="Y146" s="431">
        <f t="shared" ref="Y146" si="179">Y145/Y148</f>
        <v>0.27673164828916946</v>
      </c>
      <c r="Z146" s="431">
        <f t="shared" ref="Z146" si="180">Z145/Z148</f>
        <v>0.23429488902434942</v>
      </c>
      <c r="AA146" s="431">
        <f t="shared" ref="AA146" si="181">AA145/AA148</f>
        <v>0.98188183884759894</v>
      </c>
      <c r="AB146" s="431">
        <f t="shared" ref="AB146" si="182">AB145/AB148</f>
        <v>0.80193220812545463</v>
      </c>
      <c r="AC146" s="431">
        <f t="shared" ref="AC146" si="183">AC145/AC148</f>
        <v>0.217973277492686</v>
      </c>
      <c r="AD146" s="431">
        <f t="shared" ref="AD146:AE146" si="184">AD145/AD148</f>
        <v>0.85144726906619683</v>
      </c>
      <c r="AE146" s="431">
        <f t="shared" si="184"/>
        <v>0</v>
      </c>
      <c r="AF146" s="431"/>
      <c r="AG146" s="431">
        <f t="shared" ref="AG146" si="185">AG145/AG148</f>
        <v>1.0380296310276493E-2</v>
      </c>
      <c r="AH146" s="431">
        <f t="shared" ref="AH146" si="186">AH145/AH148</f>
        <v>0.13106951415806284</v>
      </c>
      <c r="AI146" s="431">
        <f t="shared" ref="AI146" si="187">AI145/AI148</f>
        <v>9.0718868144069463E-4</v>
      </c>
      <c r="AJ146" s="431">
        <f t="shared" ref="AJ146" si="188">AJ145/AJ148</f>
        <v>0</v>
      </c>
      <c r="AK146" s="431">
        <f t="shared" ref="AK146:AL146" si="189">AK145/AK148</f>
        <v>1.1631254678413082E-2</v>
      </c>
      <c r="AL146" s="431">
        <f t="shared" si="189"/>
        <v>1.0978269887171708</v>
      </c>
      <c r="AM146" s="431">
        <f t="shared" ref="AM146" si="190">AM145/AM148</f>
        <v>0.22418352481236284</v>
      </c>
      <c r="AN146" s="431">
        <f t="shared" ref="AN146" si="191">AN145/AN148</f>
        <v>0.38787023414707128</v>
      </c>
      <c r="AO146" s="431"/>
      <c r="AP146" s="431"/>
      <c r="AQ146" s="431">
        <f t="shared" ref="AQ146" si="192">AQ145/AQ148</f>
        <v>1.0381654029547409</v>
      </c>
      <c r="AR146" s="431">
        <f t="shared" ref="AR146:AS146" si="193">AR145/AR148</f>
        <v>0.34486694904987258</v>
      </c>
      <c r="AS146" s="431">
        <f t="shared" si="193"/>
        <v>0.47124450056321199</v>
      </c>
      <c r="AT146" s="431">
        <f t="shared" ref="AT146" si="194">AT145/AT148</f>
        <v>0.76500993938862094</v>
      </c>
      <c r="AU146" s="431">
        <f t="shared" ref="AU146" si="195">AU145/AU148</f>
        <v>1.573292705068797</v>
      </c>
      <c r="AV146" s="431">
        <f t="shared" ref="AV146" si="196">AV145/AV148</f>
        <v>0.11579163070777322</v>
      </c>
      <c r="AW146" s="431">
        <f t="shared" ref="AW146" si="197">AW145/AW148</f>
        <v>8.8470146585003781E-2</v>
      </c>
      <c r="AX146" s="431">
        <f t="shared" ref="AX146" si="198">AX145/AX148</f>
        <v>1.0416276781202323</v>
      </c>
      <c r="AY146" s="431">
        <f t="shared" ref="AY146:AZ146" si="199">AY145/AY148</f>
        <v>0.28985297207991245</v>
      </c>
      <c r="AZ146" s="431">
        <f t="shared" si="199"/>
        <v>1.9715343648666592E-2</v>
      </c>
      <c r="BA146" s="431">
        <f t="shared" ref="BA146" si="200">BA145/BA148</f>
        <v>0.3335909912829873</v>
      </c>
      <c r="BB146" s="431">
        <f t="shared" ref="BB146" si="201">BB145/BB148</f>
        <v>0.55299195784340649</v>
      </c>
      <c r="BC146" s="431"/>
      <c r="BD146" s="431">
        <f t="shared" ref="BD146" si="202">BD145/BD148</f>
        <v>0.19291539658265835</v>
      </c>
      <c r="BE146" s="431"/>
      <c r="BF146" s="431"/>
      <c r="BG146" s="431">
        <f t="shared" ref="BG146" si="203">BG145/BG148</f>
        <v>0</v>
      </c>
      <c r="BH146" s="431">
        <f t="shared" ref="BH146" si="204">BH145/BH148</f>
        <v>0.29012522187633194</v>
      </c>
      <c r="BI146" s="431">
        <f t="shared" ref="BI146" si="205">BI145/BI148</f>
        <v>0.27836594046836394</v>
      </c>
      <c r="BJ146" s="431">
        <v>1</v>
      </c>
      <c r="BK146" s="431">
        <v>1</v>
      </c>
      <c r="BL146" s="431">
        <f t="shared" ref="BL146" si="206">BL145/BL148</f>
        <v>0.13283681834913533</v>
      </c>
      <c r="BM146" s="431">
        <f t="shared" ref="BM146:BN146" si="207">BM145/BM148</f>
        <v>1.3079596089615996E-4</v>
      </c>
      <c r="BN146" s="431">
        <f t="shared" si="207"/>
        <v>7.3071056067578521E-2</v>
      </c>
      <c r="BO146" s="431">
        <v>1</v>
      </c>
      <c r="BP146" s="431">
        <f t="shared" ref="BP146" si="208">BP145/BP148</f>
        <v>3.2170029328343404E-2</v>
      </c>
      <c r="BQ146" s="431">
        <f t="shared" ref="BQ146" si="209">BQ145/BQ148</f>
        <v>0</v>
      </c>
      <c r="BR146" s="431"/>
      <c r="BS146" s="431">
        <f t="shared" ref="BS146" si="210">BS145/BS148</f>
        <v>1.7568657514993251E-2</v>
      </c>
      <c r="BT146" s="431">
        <f t="shared" ref="BT146:BU146" si="211">BT145/BT148</f>
        <v>0.1663053284072856</v>
      </c>
      <c r="BU146" s="431">
        <f t="shared" si="211"/>
        <v>0.4594439088530699</v>
      </c>
      <c r="BV146" s="431">
        <v>1</v>
      </c>
      <c r="BW146" s="431">
        <f t="shared" ref="BW146" si="212">BW145/BW148</f>
        <v>0.71960931560648411</v>
      </c>
      <c r="BX146" s="431">
        <f t="shared" ref="BX146" si="213">BX145/BX148</f>
        <v>0.13358960648583032</v>
      </c>
      <c r="BY146" s="431">
        <f t="shared" ref="BY146" si="214">BY145/BY148</f>
        <v>0.85226688175671506</v>
      </c>
      <c r="BZ146" s="431">
        <f t="shared" ref="BZ146" si="215">BZ145/BZ148</f>
        <v>0.44526960186950726</v>
      </c>
      <c r="CA146" s="431">
        <f t="shared" ref="CA146:CB146" si="216">CA145/CA148</f>
        <v>0.96620417980360873</v>
      </c>
      <c r="CB146" s="431">
        <f t="shared" si="216"/>
        <v>2.5604602594302864E-2</v>
      </c>
      <c r="CC146" s="431"/>
      <c r="CD146" s="431">
        <f t="shared" ref="CD146" si="217">CD145/CD148</f>
        <v>8.2362718996586756E-3</v>
      </c>
      <c r="CE146" s="431">
        <f t="shared" ref="CE146" si="218">CE145/CE148</f>
        <v>0.68051447206832139</v>
      </c>
      <c r="CF146" s="431">
        <v>1</v>
      </c>
      <c r="CG146" s="431">
        <f t="shared" ref="CG146" si="219">CG145/CG148</f>
        <v>0.76877942692693213</v>
      </c>
      <c r="CH146" s="431">
        <f t="shared" ref="CH146:CI146" si="220">CH145/CH148</f>
        <v>0.31577803184597653</v>
      </c>
      <c r="CI146" s="431">
        <f t="shared" si="220"/>
        <v>6.4006167125772867E-2</v>
      </c>
      <c r="CJ146" s="431">
        <f t="shared" ref="CJ146" si="221">CJ145/CJ148</f>
        <v>0.17939237187501492</v>
      </c>
      <c r="CK146" s="431"/>
      <c r="CL146" s="431">
        <f t="shared" ref="CL146" si="222">CL145/CL148</f>
        <v>3.562697123094255E-2</v>
      </c>
      <c r="CM146" s="431">
        <f t="shared" ref="CM146" si="223">CM145/CM148</f>
        <v>0.56571382886229094</v>
      </c>
      <c r="CN146" s="431">
        <v>1</v>
      </c>
      <c r="CO146" s="431">
        <f t="shared" ref="CO146" si="224">CO145/CO148</f>
        <v>0.18116464724853171</v>
      </c>
      <c r="CP146" s="431"/>
      <c r="CQ146" s="431">
        <f t="shared" ref="CQ146" si="225">CQ145/CQ148</f>
        <v>0.24318256188062648</v>
      </c>
      <c r="CR146" s="431">
        <f t="shared" ref="CR146" si="226">CR145/CR148</f>
        <v>1.0000002884863093</v>
      </c>
      <c r="CS146" s="431"/>
      <c r="CT146" s="431">
        <f t="shared" ref="CT146" si="227">CT145/CT148</f>
        <v>0.69121001660346626</v>
      </c>
      <c r="CU146" s="431">
        <f t="shared" ref="CU146" si="228">CU145/CU148</f>
        <v>0.53366608335984733</v>
      </c>
      <c r="CV146" s="431">
        <f t="shared" ref="CV146:CW146" si="229">CV145/CV148</f>
        <v>0.75490959584456818</v>
      </c>
      <c r="CW146" s="431">
        <f t="shared" si="229"/>
        <v>0.75714722245049226</v>
      </c>
    </row>
    <row r="147" spans="1:101" ht="39" thickBot="1" x14ac:dyDescent="0.3">
      <c r="A147" s="265"/>
      <c r="B147" s="266"/>
      <c r="C147" s="266"/>
      <c r="D147" s="241" t="s">
        <v>4831</v>
      </c>
      <c r="E147" s="241">
        <v>97</v>
      </c>
      <c r="F147" s="242" t="s">
        <v>5158</v>
      </c>
      <c r="G147" s="243" t="s">
        <v>5159</v>
      </c>
      <c r="H147" s="267" t="s">
        <v>52</v>
      </c>
      <c r="I147" s="245" t="s">
        <v>4838</v>
      </c>
      <c r="J147" s="171"/>
      <c r="K147" s="171"/>
      <c r="L147" s="171"/>
      <c r="M147" s="171">
        <v>0.19831855515411689</v>
      </c>
      <c r="N147" s="171">
        <v>0.18916534659647455</v>
      </c>
      <c r="O147" s="206"/>
      <c r="P147" s="431">
        <f>P145/P149</f>
        <v>0.3850046279379617</v>
      </c>
    </row>
    <row r="148" spans="1:101" ht="76.5" x14ac:dyDescent="0.25">
      <c r="A148" s="152" t="s">
        <v>5160</v>
      </c>
      <c r="B148" s="152"/>
      <c r="C148" s="162" t="s">
        <v>5161</v>
      </c>
      <c r="D148" s="137" t="s">
        <v>4831</v>
      </c>
      <c r="E148" s="137">
        <v>98</v>
      </c>
      <c r="F148" s="153" t="s">
        <v>5162</v>
      </c>
      <c r="G148" s="168" t="s">
        <v>5447</v>
      </c>
      <c r="H148" s="202" t="s">
        <v>5155</v>
      </c>
      <c r="I148" s="203" t="s">
        <v>5163</v>
      </c>
      <c r="J148" s="171"/>
      <c r="K148" s="171"/>
      <c r="L148" s="171"/>
      <c r="M148" s="171">
        <v>95721.39</v>
      </c>
      <c r="N148" s="171">
        <v>119345.144</v>
      </c>
      <c r="O148" s="268">
        <v>122757.18281999996</v>
      </c>
      <c r="P148" s="419">
        <f>SUM(Q148:CW148)</f>
        <v>127984.31999999999</v>
      </c>
      <c r="Q148" s="419">
        <v>463.08800000000002</v>
      </c>
      <c r="R148" s="419">
        <v>220.18100000000001</v>
      </c>
      <c r="S148" s="419">
        <v>2317.1529999999998</v>
      </c>
      <c r="T148" s="419">
        <v>790.04399999999998</v>
      </c>
      <c r="U148" s="419">
        <v>1136.5350000000001</v>
      </c>
      <c r="V148" s="419">
        <v>1005.782</v>
      </c>
      <c r="W148" s="419">
        <v>4038.1509999999998</v>
      </c>
      <c r="X148" s="419"/>
      <c r="Y148" s="419">
        <v>1192.491</v>
      </c>
      <c r="Z148" s="419">
        <v>985.93700000000001</v>
      </c>
      <c r="AA148" s="419">
        <v>1358.4159999999999</v>
      </c>
      <c r="AB148" s="419">
        <v>2491.0360000000001</v>
      </c>
      <c r="AC148" s="419">
        <v>1160.4449999999999</v>
      </c>
      <c r="AD148" s="419">
        <v>2324.2049999999999</v>
      </c>
      <c r="AE148" s="419">
        <v>3110.8580000000002</v>
      </c>
      <c r="AF148" s="419"/>
      <c r="AG148" s="419">
        <v>1059.7</v>
      </c>
      <c r="AH148" s="419">
        <v>997.13499999999999</v>
      </c>
      <c r="AI148" s="419">
        <v>507.06099999999998</v>
      </c>
      <c r="AJ148" s="419">
        <v>2391.1930000000002</v>
      </c>
      <c r="AK148" s="419">
        <v>868.35</v>
      </c>
      <c r="AL148" s="419">
        <v>1012.5119999999999</v>
      </c>
      <c r="AM148" s="419">
        <v>271.13499999999999</v>
      </c>
      <c r="AN148" s="419">
        <v>1002.575</v>
      </c>
      <c r="AO148" s="419"/>
      <c r="AP148" s="419"/>
      <c r="AQ148" s="419">
        <v>614.06399999999996</v>
      </c>
      <c r="AR148" s="419">
        <v>2657.8539999999998</v>
      </c>
      <c r="AS148" s="419">
        <v>1262.402</v>
      </c>
      <c r="AT148" s="419">
        <v>820.47299999999996</v>
      </c>
      <c r="AU148" s="419">
        <v>633.38499999999999</v>
      </c>
      <c r="AV148" s="419">
        <v>5675.4620000000004</v>
      </c>
      <c r="AW148" s="419">
        <v>2866.2550000000001</v>
      </c>
      <c r="AX148" s="419">
        <v>827.16600000000005</v>
      </c>
      <c r="AY148" s="419">
        <v>1104.008</v>
      </c>
      <c r="AZ148" s="419">
        <v>1912.6220000000001</v>
      </c>
      <c r="BA148" s="419">
        <v>1875.8720000000001</v>
      </c>
      <c r="BB148" s="419">
        <v>1139.3710000000001</v>
      </c>
      <c r="BC148" s="419"/>
      <c r="BD148" s="419">
        <v>679.41700000000003</v>
      </c>
      <c r="BE148" s="419"/>
      <c r="BF148" s="419"/>
      <c r="BG148" s="419">
        <v>7690.8630000000003</v>
      </c>
      <c r="BH148" s="419">
        <v>741.404</v>
      </c>
      <c r="BI148" s="419">
        <v>44.110999999999997</v>
      </c>
      <c r="BJ148" s="419">
        <v>3202.9459999999999</v>
      </c>
      <c r="BK148" s="419">
        <v>596.50800000000004</v>
      </c>
      <c r="BL148" s="419">
        <v>2798.17</v>
      </c>
      <c r="BM148" s="419">
        <v>1926.665</v>
      </c>
      <c r="BN148" s="419">
        <v>1956.835</v>
      </c>
      <c r="BO148" s="419">
        <v>733.49800000000005</v>
      </c>
      <c r="BP148" s="419">
        <v>1305.5630000000001</v>
      </c>
      <c r="BQ148" s="419">
        <v>2599.2600000000002</v>
      </c>
      <c r="BR148" s="419"/>
      <c r="BS148" s="419">
        <v>626.11500000000001</v>
      </c>
      <c r="BT148" s="419">
        <v>4197.8209999999999</v>
      </c>
      <c r="BU148" s="419">
        <v>1108.847</v>
      </c>
      <c r="BV148" s="419">
        <v>3179.5320000000002</v>
      </c>
      <c r="BW148" s="419">
        <v>5398.0640000000003</v>
      </c>
      <c r="BX148" s="419">
        <v>2421.895</v>
      </c>
      <c r="BY148" s="419">
        <v>971.99599999999998</v>
      </c>
      <c r="BZ148" s="419">
        <v>488.25700000000001</v>
      </c>
      <c r="CA148" s="419">
        <v>4310.6809999999996</v>
      </c>
      <c r="CB148" s="419">
        <v>449.13799999999998</v>
      </c>
      <c r="CC148" s="419"/>
      <c r="CD148" s="419">
        <v>934.88900000000001</v>
      </c>
      <c r="CE148" s="419">
        <v>2803.5729999999999</v>
      </c>
      <c r="CF148" s="419">
        <v>1006.748</v>
      </c>
      <c r="CG148" s="419">
        <v>3902.8879999999999</v>
      </c>
      <c r="CH148" s="419">
        <v>1260.3789999999999</v>
      </c>
      <c r="CI148" s="419">
        <v>1079.271</v>
      </c>
      <c r="CJ148" s="419">
        <v>1466.127</v>
      </c>
      <c r="CK148" s="419"/>
      <c r="CL148" s="419">
        <v>3756.5360000000001</v>
      </c>
      <c r="CM148" s="419">
        <v>1500.9549999999999</v>
      </c>
      <c r="CN148" s="419">
        <v>1229.8240000000001</v>
      </c>
      <c r="CO148" s="419">
        <v>1315.643</v>
      </c>
      <c r="CP148" s="419"/>
      <c r="CQ148" s="419">
        <v>1674.6759999999999</v>
      </c>
      <c r="CR148" s="419">
        <v>3466.3690000000001</v>
      </c>
      <c r="CS148" s="419"/>
      <c r="CT148" s="419">
        <v>1217.818</v>
      </c>
      <c r="CU148" s="419">
        <v>50.287999999999997</v>
      </c>
      <c r="CV148" s="419">
        <v>544.44399999999996</v>
      </c>
      <c r="CW148" s="420">
        <v>1253.3889999999999</v>
      </c>
    </row>
    <row r="149" spans="1:101" ht="76.5" x14ac:dyDescent="0.25">
      <c r="A149" s="154"/>
      <c r="B149" s="154"/>
      <c r="C149" s="166"/>
      <c r="D149" s="115"/>
      <c r="E149" s="115"/>
      <c r="F149" s="118" t="s">
        <v>5164</v>
      </c>
      <c r="G149" s="122" t="s">
        <v>5165</v>
      </c>
      <c r="H149" s="183" t="s">
        <v>5155</v>
      </c>
      <c r="I149" s="184" t="s">
        <v>5163</v>
      </c>
      <c r="J149" s="171"/>
      <c r="K149" s="171"/>
      <c r="L149" s="171"/>
      <c r="M149" s="171">
        <v>146842.402</v>
      </c>
      <c r="N149" s="171">
        <v>146830.576</v>
      </c>
      <c r="O149" s="172">
        <v>146764.655</v>
      </c>
      <c r="P149" s="421">
        <v>146748</v>
      </c>
      <c r="Q149" s="419"/>
      <c r="R149" s="447"/>
      <c r="S149" s="419"/>
      <c r="T149" s="419"/>
      <c r="U149" s="419"/>
      <c r="V149" s="419"/>
      <c r="W149" s="419"/>
      <c r="X149" s="419"/>
      <c r="Y149" s="419"/>
      <c r="Z149" s="419"/>
      <c r="AA149" s="419"/>
      <c r="AB149" s="419"/>
      <c r="AC149" s="419"/>
      <c r="AD149" s="419"/>
      <c r="AE149" s="419"/>
      <c r="AF149" s="419"/>
      <c r="AG149" s="419"/>
      <c r="AH149" s="419"/>
      <c r="AI149" s="419"/>
      <c r="AJ149" s="419"/>
      <c r="AK149" s="419"/>
      <c r="AL149" s="419"/>
      <c r="AM149" s="419"/>
      <c r="AN149" s="419"/>
      <c r="AO149" s="419"/>
      <c r="AP149" s="419"/>
      <c r="AQ149" s="419"/>
      <c r="AR149" s="419"/>
      <c r="AS149" s="419"/>
      <c r="AT149" s="419"/>
      <c r="AU149" s="419"/>
      <c r="AV149" s="419"/>
      <c r="AW149" s="419"/>
      <c r="AX149" s="419"/>
      <c r="AY149" s="419"/>
      <c r="AZ149" s="419"/>
      <c r="BA149" s="419"/>
      <c r="BB149" s="419"/>
      <c r="BC149" s="419"/>
      <c r="BD149" s="419"/>
      <c r="BE149" s="419"/>
      <c r="BF149" s="419"/>
      <c r="BG149" s="419"/>
      <c r="BH149" s="419"/>
      <c r="BI149" s="419"/>
      <c r="BJ149" s="419"/>
      <c r="BK149" s="419"/>
      <c r="BL149" s="419"/>
      <c r="BM149" s="419"/>
      <c r="BN149" s="419"/>
      <c r="BO149" s="419"/>
      <c r="BP149" s="419"/>
      <c r="BQ149" s="419"/>
      <c r="BR149" s="419"/>
      <c r="BS149" s="419"/>
      <c r="BT149" s="419"/>
      <c r="BU149" s="419"/>
      <c r="BV149" s="419"/>
      <c r="BW149" s="419"/>
      <c r="BX149" s="419"/>
      <c r="BY149" s="419"/>
      <c r="BZ149" s="419"/>
      <c r="CA149" s="419"/>
      <c r="CB149" s="419"/>
      <c r="CC149" s="419"/>
      <c r="CD149" s="419"/>
      <c r="CE149" s="419"/>
      <c r="CF149" s="419"/>
      <c r="CG149" s="419"/>
      <c r="CH149" s="419"/>
      <c r="CI149" s="419"/>
      <c r="CJ149" s="419"/>
      <c r="CK149" s="419"/>
      <c r="CL149" s="419"/>
      <c r="CM149" s="419"/>
      <c r="CN149" s="419"/>
      <c r="CO149" s="419"/>
      <c r="CP149" s="419"/>
      <c r="CQ149" s="419"/>
      <c r="CR149" s="419"/>
      <c r="CS149" s="419"/>
      <c r="CT149" s="419"/>
      <c r="CU149" s="419"/>
      <c r="CV149" s="419"/>
      <c r="CW149" s="420"/>
    </row>
    <row r="150" spans="1:101" x14ac:dyDescent="0.25">
      <c r="A150" s="171"/>
      <c r="B150" s="171"/>
      <c r="C150" s="171"/>
      <c r="D150" s="171"/>
      <c r="E150" s="171"/>
      <c r="F150" s="171"/>
      <c r="G150" s="171"/>
      <c r="H150" s="171"/>
      <c r="I150" s="171"/>
      <c r="J150" s="171"/>
      <c r="K150" s="171"/>
      <c r="L150" s="171"/>
      <c r="M150" s="171"/>
      <c r="N150" s="171"/>
      <c r="O150" s="172"/>
    </row>
    <row r="151" spans="1:101" x14ac:dyDescent="0.25">
      <c r="A151" s="171"/>
      <c r="B151" s="171"/>
      <c r="C151" s="171"/>
      <c r="D151" s="171"/>
      <c r="E151" s="171"/>
      <c r="F151" s="171"/>
      <c r="G151" s="171"/>
      <c r="H151" s="171"/>
      <c r="I151" s="171"/>
      <c r="J151" s="171"/>
      <c r="K151" s="171"/>
      <c r="L151" s="171"/>
      <c r="M151" s="171"/>
      <c r="N151" s="171"/>
      <c r="O151" s="172"/>
    </row>
    <row r="152" spans="1:101" x14ac:dyDescent="0.25">
      <c r="A152" s="171"/>
      <c r="B152" s="171"/>
      <c r="C152" s="171"/>
      <c r="D152" s="171"/>
      <c r="E152" s="171"/>
      <c r="F152" s="171"/>
      <c r="G152" s="171"/>
      <c r="H152" s="171"/>
      <c r="I152" s="171"/>
      <c r="J152" s="171"/>
      <c r="K152" s="171"/>
      <c r="L152" s="171"/>
      <c r="M152" s="171"/>
      <c r="N152" s="171"/>
      <c r="O152" s="172"/>
    </row>
    <row r="153" spans="1:101" x14ac:dyDescent="0.25">
      <c r="A153" s="171"/>
      <c r="B153" s="171"/>
      <c r="C153" s="171"/>
      <c r="D153" s="171"/>
      <c r="E153" s="171"/>
      <c r="F153" s="171"/>
      <c r="G153" s="171"/>
      <c r="H153" s="171"/>
      <c r="I153" s="171"/>
      <c r="J153" s="171"/>
      <c r="K153" s="171"/>
      <c r="L153" s="171"/>
      <c r="M153" s="171"/>
      <c r="N153" s="171"/>
      <c r="O153" s="172"/>
    </row>
    <row r="154" spans="1:101" ht="26.25" x14ac:dyDescent="0.25">
      <c r="A154" s="197"/>
      <c r="B154" s="197"/>
      <c r="C154" s="197"/>
      <c r="D154" s="197"/>
      <c r="E154" s="197"/>
      <c r="F154" s="197"/>
      <c r="G154" s="197" t="s">
        <v>5166</v>
      </c>
      <c r="H154" s="197"/>
      <c r="I154" s="197"/>
      <c r="J154" s="171"/>
      <c r="K154" s="171"/>
      <c r="L154" s="171"/>
      <c r="M154" s="171"/>
      <c r="N154" s="171"/>
      <c r="O154" s="172"/>
    </row>
    <row r="155" spans="1:101" ht="77.25" x14ac:dyDescent="0.25">
      <c r="A155" s="191" t="s">
        <v>5167</v>
      </c>
      <c r="B155" s="191" t="s">
        <v>4881</v>
      </c>
      <c r="C155" s="191" t="s">
        <v>4990</v>
      </c>
      <c r="D155" s="191" t="s">
        <v>4831</v>
      </c>
      <c r="E155" s="191">
        <v>26</v>
      </c>
      <c r="F155" s="191" t="s">
        <v>5168</v>
      </c>
      <c r="G155" s="192" t="s">
        <v>5169</v>
      </c>
      <c r="H155" s="191" t="s">
        <v>4984</v>
      </c>
      <c r="I155" s="191" t="s">
        <v>4847</v>
      </c>
      <c r="J155" s="191"/>
      <c r="K155" s="191"/>
      <c r="L155" s="191" t="s">
        <v>500</v>
      </c>
      <c r="M155" s="191" t="s">
        <v>4844</v>
      </c>
      <c r="N155" s="191">
        <v>10499.313935439999</v>
      </c>
      <c r="O155" s="192">
        <v>13110.686485000002</v>
      </c>
    </row>
    <row r="156" spans="1:101" ht="39" x14ac:dyDescent="0.25">
      <c r="A156" s="171"/>
      <c r="B156" s="171"/>
      <c r="C156" s="171"/>
      <c r="D156" s="171" t="s">
        <v>4831</v>
      </c>
      <c r="E156" s="171">
        <v>27</v>
      </c>
      <c r="F156" s="171" t="s">
        <v>5170</v>
      </c>
      <c r="G156" s="171" t="s">
        <v>5171</v>
      </c>
      <c r="H156" s="171" t="s">
        <v>52</v>
      </c>
      <c r="I156" s="171" t="s">
        <v>4994</v>
      </c>
      <c r="J156" s="171"/>
      <c r="K156" s="171"/>
      <c r="L156" s="171"/>
      <c r="M156" s="171" t="s">
        <v>4844</v>
      </c>
      <c r="N156" s="199">
        <v>0.56544079908331812</v>
      </c>
      <c r="O156" s="200">
        <v>0.56682466475607107</v>
      </c>
    </row>
    <row r="157" spans="1:101" ht="90" x14ac:dyDescent="0.25">
      <c r="A157" s="191" t="s">
        <v>5172</v>
      </c>
      <c r="B157" s="191" t="s">
        <v>4881</v>
      </c>
      <c r="C157" s="191" t="s">
        <v>4996</v>
      </c>
      <c r="D157" s="191" t="s">
        <v>4831</v>
      </c>
      <c r="E157" s="191">
        <v>28</v>
      </c>
      <c r="F157" s="191" t="s">
        <v>5173</v>
      </c>
      <c r="G157" s="192" t="s">
        <v>5174</v>
      </c>
      <c r="H157" s="191" t="s">
        <v>4984</v>
      </c>
      <c r="I157" s="191" t="s">
        <v>4847</v>
      </c>
      <c r="J157" s="191"/>
      <c r="K157" s="191"/>
      <c r="L157" s="191" t="s">
        <v>500</v>
      </c>
      <c r="M157" s="191" t="s">
        <v>4844</v>
      </c>
      <c r="N157" s="191">
        <v>2486.0245494100004</v>
      </c>
      <c r="O157" s="192">
        <v>3201.1381581299984</v>
      </c>
    </row>
    <row r="158" spans="1:101" ht="39" x14ac:dyDescent="0.25">
      <c r="A158" s="171"/>
      <c r="B158" s="171"/>
      <c r="C158" s="171"/>
      <c r="D158" s="171" t="s">
        <v>4831</v>
      </c>
      <c r="E158" s="171">
        <v>29</v>
      </c>
      <c r="F158" s="171" t="s">
        <v>5175</v>
      </c>
      <c r="G158" s="171" t="s">
        <v>5171</v>
      </c>
      <c r="H158" s="171" t="s">
        <v>52</v>
      </c>
      <c r="I158" s="171" t="s">
        <v>4994</v>
      </c>
      <c r="J158" s="171"/>
      <c r="K158" s="171"/>
      <c r="L158" s="171"/>
      <c r="M158" s="171" t="s">
        <v>4844</v>
      </c>
      <c r="N158" s="199">
        <v>0.1338849106144217</v>
      </c>
      <c r="O158" s="200">
        <v>0.13839733452522587</v>
      </c>
    </row>
    <row r="159" spans="1:101" ht="64.5" x14ac:dyDescent="0.25">
      <c r="A159" s="191" t="s">
        <v>5176</v>
      </c>
      <c r="B159" s="191" t="s">
        <v>4881</v>
      </c>
      <c r="C159" s="191" t="s">
        <v>5001</v>
      </c>
      <c r="D159" s="191" t="s">
        <v>4831</v>
      </c>
      <c r="E159" s="191">
        <v>30</v>
      </c>
      <c r="F159" s="191" t="s">
        <v>5177</v>
      </c>
      <c r="G159" s="192" t="s">
        <v>5178</v>
      </c>
      <c r="H159" s="191" t="s">
        <v>4984</v>
      </c>
      <c r="I159" s="191" t="s">
        <v>4847</v>
      </c>
      <c r="J159" s="191"/>
      <c r="K159" s="191"/>
      <c r="L159" s="191" t="s">
        <v>500</v>
      </c>
      <c r="M159" s="191" t="s">
        <v>4844</v>
      </c>
      <c r="N159" s="191">
        <v>1019.8676691000003</v>
      </c>
      <c r="O159" s="192">
        <v>1154.97429216</v>
      </c>
    </row>
    <row r="160" spans="1:101" ht="39" x14ac:dyDescent="0.25">
      <c r="A160" s="171"/>
      <c r="B160" s="171"/>
      <c r="C160" s="171"/>
      <c r="D160" s="171" t="s">
        <v>4831</v>
      </c>
      <c r="E160" s="171">
        <v>31</v>
      </c>
      <c r="F160" s="171" t="s">
        <v>5179</v>
      </c>
      <c r="G160" s="171" t="s">
        <v>5171</v>
      </c>
      <c r="H160" s="171" t="s">
        <v>52</v>
      </c>
      <c r="I160" s="171" t="s">
        <v>4994</v>
      </c>
      <c r="J160" s="171"/>
      <c r="K160" s="171"/>
      <c r="L160" s="171"/>
      <c r="M160" s="171" t="s">
        <v>4844</v>
      </c>
      <c r="N160" s="171">
        <v>5.49249973208824E-2</v>
      </c>
      <c r="O160" s="200">
        <v>4.9933915871185015E-2</v>
      </c>
    </row>
    <row r="161" spans="1:15" ht="102.75" x14ac:dyDescent="0.25">
      <c r="A161" s="191" t="s">
        <v>5180</v>
      </c>
      <c r="B161" s="191" t="s">
        <v>4881</v>
      </c>
      <c r="C161" s="191" t="s">
        <v>5006</v>
      </c>
      <c r="D161" s="191" t="s">
        <v>4831</v>
      </c>
      <c r="E161" s="191">
        <v>32</v>
      </c>
      <c r="F161" s="191" t="s">
        <v>5181</v>
      </c>
      <c r="G161" s="192" t="s">
        <v>5182</v>
      </c>
      <c r="H161" s="191" t="s">
        <v>4984</v>
      </c>
      <c r="I161" s="191" t="s">
        <v>4847</v>
      </c>
      <c r="J161" s="191"/>
      <c r="K161" s="191"/>
      <c r="L161" s="191" t="s">
        <v>500</v>
      </c>
      <c r="M161" s="191" t="s">
        <v>4844</v>
      </c>
      <c r="N161" s="191">
        <v>577.59344827000018</v>
      </c>
      <c r="O161" s="192">
        <v>743.74485430000004</v>
      </c>
    </row>
    <row r="162" spans="1:15" ht="39" x14ac:dyDescent="0.25">
      <c r="A162" s="171"/>
      <c r="B162" s="171"/>
      <c r="C162" s="171"/>
      <c r="D162" s="171" t="s">
        <v>4831</v>
      </c>
      <c r="E162" s="171">
        <v>33</v>
      </c>
      <c r="F162" s="171" t="s">
        <v>5183</v>
      </c>
      <c r="G162" s="171" t="s">
        <v>5171</v>
      </c>
      <c r="H162" s="171" t="s">
        <v>52</v>
      </c>
      <c r="I162" s="171" t="s">
        <v>4994</v>
      </c>
      <c r="J162" s="171"/>
      <c r="K162" s="171"/>
      <c r="L162" s="171"/>
      <c r="M162" s="171" t="s">
        <v>4844</v>
      </c>
      <c r="N162" s="171">
        <v>3.1106308749628917E-2</v>
      </c>
      <c r="O162" s="200">
        <v>3.2154908759733827E-2</v>
      </c>
    </row>
    <row r="163" spans="1:15" ht="115.5" x14ac:dyDescent="0.25">
      <c r="A163" s="191" t="s">
        <v>5184</v>
      </c>
      <c r="B163" s="191" t="s">
        <v>4881</v>
      </c>
      <c r="C163" s="191" t="s">
        <v>5011</v>
      </c>
      <c r="D163" s="191" t="s">
        <v>4831</v>
      </c>
      <c r="E163" s="191">
        <v>34</v>
      </c>
      <c r="F163" s="191" t="s">
        <v>5185</v>
      </c>
      <c r="G163" s="192" t="s">
        <v>5186</v>
      </c>
      <c r="H163" s="191" t="s">
        <v>4984</v>
      </c>
      <c r="I163" s="191" t="s">
        <v>4847</v>
      </c>
      <c r="J163" s="191"/>
      <c r="K163" s="191"/>
      <c r="L163" s="191" t="s">
        <v>500</v>
      </c>
      <c r="M163" s="191" t="s">
        <v>4844</v>
      </c>
      <c r="N163" s="191">
        <v>78.344172690000022</v>
      </c>
      <c r="O163" s="192">
        <v>81.4093996</v>
      </c>
    </row>
    <row r="164" spans="1:15" ht="39" x14ac:dyDescent="0.25">
      <c r="A164" s="171"/>
      <c r="B164" s="171"/>
      <c r="C164" s="171"/>
      <c r="D164" s="171" t="s">
        <v>4831</v>
      </c>
      <c r="E164" s="171">
        <v>35</v>
      </c>
      <c r="F164" s="171" t="s">
        <v>5187</v>
      </c>
      <c r="G164" s="171" t="s">
        <v>5171</v>
      </c>
      <c r="H164" s="171" t="s">
        <v>52</v>
      </c>
      <c r="I164" s="171" t="s">
        <v>4994</v>
      </c>
      <c r="J164" s="171"/>
      <c r="K164" s="171"/>
      <c r="L164" s="171"/>
      <c r="M164" s="171" t="s">
        <v>4844</v>
      </c>
      <c r="N164" s="171">
        <v>4.2192272639668075E-3</v>
      </c>
      <c r="O164" s="208">
        <v>3.5196368770664733E-3</v>
      </c>
    </row>
    <row r="165" spans="1:15" ht="77.25" x14ac:dyDescent="0.25">
      <c r="A165" s="171" t="s">
        <v>5188</v>
      </c>
      <c r="B165" s="171" t="s">
        <v>4829</v>
      </c>
      <c r="C165" s="171" t="s">
        <v>5016</v>
      </c>
      <c r="D165" s="171" t="s">
        <v>4831</v>
      </c>
      <c r="E165" s="171">
        <v>36</v>
      </c>
      <c r="F165" s="171" t="s">
        <v>5189</v>
      </c>
      <c r="G165" s="171" t="s">
        <v>5190</v>
      </c>
      <c r="H165" s="171" t="s">
        <v>4984</v>
      </c>
      <c r="I165" s="171" t="s">
        <v>4847</v>
      </c>
      <c r="J165" s="171"/>
      <c r="K165" s="171"/>
      <c r="L165" s="171" t="s">
        <v>500</v>
      </c>
      <c r="M165" s="171" t="s">
        <v>4844</v>
      </c>
      <c r="N165" s="171">
        <v>1675.8052900599998</v>
      </c>
      <c r="O165" s="172">
        <v>1980.12854606</v>
      </c>
    </row>
    <row r="166" spans="1:15" ht="39" x14ac:dyDescent="0.25">
      <c r="A166" s="171"/>
      <c r="B166" s="171"/>
      <c r="C166" s="171"/>
      <c r="D166" s="171" t="s">
        <v>4831</v>
      </c>
      <c r="E166" s="171">
        <v>37</v>
      </c>
      <c r="F166" s="171" t="s">
        <v>5191</v>
      </c>
      <c r="G166" s="171" t="s">
        <v>5171</v>
      </c>
      <c r="H166" s="171" t="s">
        <v>52</v>
      </c>
      <c r="I166" s="171" t="s">
        <v>4994</v>
      </c>
      <c r="J166" s="171"/>
      <c r="K166" s="171"/>
      <c r="L166" s="171"/>
      <c r="M166" s="171" t="s">
        <v>4844</v>
      </c>
      <c r="N166" s="207">
        <v>9.0250533334478092E-2</v>
      </c>
      <c r="O166" s="208">
        <v>8.5608461507985303E-2</v>
      </c>
    </row>
    <row r="167" spans="1:15" ht="90" x14ac:dyDescent="0.25">
      <c r="A167" s="171" t="s">
        <v>5192</v>
      </c>
      <c r="B167" s="171" t="s">
        <v>4829</v>
      </c>
      <c r="C167" s="171" t="s">
        <v>5021</v>
      </c>
      <c r="D167" s="171" t="s">
        <v>4831</v>
      </c>
      <c r="E167" s="171">
        <v>38</v>
      </c>
      <c r="F167" s="171" t="s">
        <v>5193</v>
      </c>
      <c r="G167" s="171" t="s">
        <v>5194</v>
      </c>
      <c r="H167" s="171" t="s">
        <v>5024</v>
      </c>
      <c r="I167" s="171" t="s">
        <v>4838</v>
      </c>
      <c r="J167" s="171"/>
      <c r="K167" s="171"/>
      <c r="L167" s="171"/>
      <c r="M167" s="171" t="s">
        <v>4844</v>
      </c>
      <c r="N167" s="171">
        <v>0.15961093271088775</v>
      </c>
      <c r="O167" s="172">
        <v>0.15103164493525753</v>
      </c>
    </row>
    <row r="168" spans="1:15" ht="64.5" x14ac:dyDescent="0.25">
      <c r="A168" s="171" t="s">
        <v>5195</v>
      </c>
      <c r="B168" s="171" t="s">
        <v>4881</v>
      </c>
      <c r="C168" s="171" t="s">
        <v>5026</v>
      </c>
      <c r="D168" s="171" t="s">
        <v>4831</v>
      </c>
      <c r="E168" s="171">
        <v>39</v>
      </c>
      <c r="F168" s="171" t="s">
        <v>5196</v>
      </c>
      <c r="G168" s="197" t="s">
        <v>5197</v>
      </c>
      <c r="H168" s="171" t="s">
        <v>4984</v>
      </c>
      <c r="I168" s="171" t="s">
        <v>4847</v>
      </c>
      <c r="J168" s="171"/>
      <c r="K168" s="171"/>
      <c r="L168" s="171" t="s">
        <v>500</v>
      </c>
      <c r="M168" s="171" t="s">
        <v>4844</v>
      </c>
      <c r="N168" s="171">
        <v>3907.3331850799996</v>
      </c>
      <c r="O168" s="172">
        <v>4835.6631719199995</v>
      </c>
    </row>
    <row r="169" spans="1:15" ht="39" x14ac:dyDescent="0.25">
      <c r="A169" s="171"/>
      <c r="B169" s="171"/>
      <c r="C169" s="171"/>
      <c r="D169" s="171" t="s">
        <v>4831</v>
      </c>
      <c r="E169" s="171">
        <v>40</v>
      </c>
      <c r="F169" s="171" t="s">
        <v>5198</v>
      </c>
      <c r="G169" s="171" t="s">
        <v>5171</v>
      </c>
      <c r="H169" s="171" t="s">
        <v>52</v>
      </c>
      <c r="I169" s="171" t="s">
        <v>4994</v>
      </c>
      <c r="J169" s="171"/>
      <c r="K169" s="171"/>
      <c r="L169" s="171"/>
      <c r="M169" s="171" t="s">
        <v>4844</v>
      </c>
      <c r="N169" s="207">
        <v>0.21042952063741796</v>
      </c>
      <c r="O169" s="208">
        <v>0.20906404553512839</v>
      </c>
    </row>
    <row r="170" spans="1:15" ht="102.75" x14ac:dyDescent="0.25">
      <c r="A170" s="171" t="s">
        <v>5199</v>
      </c>
      <c r="B170" s="171" t="s">
        <v>4881</v>
      </c>
      <c r="C170" s="171" t="s">
        <v>5031</v>
      </c>
      <c r="D170" s="171" t="s">
        <v>4831</v>
      </c>
      <c r="E170" s="171">
        <v>41</v>
      </c>
      <c r="F170" s="171" t="s">
        <v>5200</v>
      </c>
      <c r="G170" s="171" t="s">
        <v>5201</v>
      </c>
      <c r="H170" s="171" t="s">
        <v>52</v>
      </c>
      <c r="I170" s="171" t="s">
        <v>4847</v>
      </c>
      <c r="J170" s="171"/>
      <c r="K170" s="171"/>
      <c r="L170" s="171"/>
      <c r="M170" s="171" t="s">
        <v>4844</v>
      </c>
      <c r="N170" s="171" t="s">
        <v>5034</v>
      </c>
      <c r="O170" s="171" t="s">
        <v>4844</v>
      </c>
    </row>
    <row r="171" spans="1:15" ht="77.25" x14ac:dyDescent="0.25">
      <c r="A171" s="171" t="s">
        <v>5202</v>
      </c>
      <c r="B171" s="171" t="s">
        <v>4881</v>
      </c>
      <c r="C171" s="171" t="s">
        <v>5036</v>
      </c>
      <c r="D171" s="171" t="s">
        <v>4831</v>
      </c>
      <c r="E171" s="171">
        <v>42</v>
      </c>
      <c r="F171" s="171" t="s">
        <v>5203</v>
      </c>
      <c r="G171" s="171" t="s">
        <v>5204</v>
      </c>
      <c r="H171" s="171" t="s">
        <v>5024</v>
      </c>
      <c r="I171" s="171" t="s">
        <v>4838</v>
      </c>
      <c r="J171" s="171"/>
      <c r="K171" s="171"/>
      <c r="L171" s="171"/>
      <c r="M171" s="171" t="s">
        <v>4844</v>
      </c>
      <c r="N171" s="171">
        <v>155.58546678732063</v>
      </c>
      <c r="O171" s="172">
        <v>188.42120602992188</v>
      </c>
    </row>
    <row r="172" spans="1:15" ht="39" x14ac:dyDescent="0.25">
      <c r="A172" s="269"/>
      <c r="B172" s="269" t="s">
        <v>4829</v>
      </c>
      <c r="C172" s="269" t="s">
        <v>5040</v>
      </c>
      <c r="D172" s="269" t="s">
        <v>4831</v>
      </c>
      <c r="E172" s="269">
        <v>43</v>
      </c>
      <c r="F172" s="269" t="s">
        <v>5205</v>
      </c>
      <c r="G172" s="269" t="s">
        <v>5206</v>
      </c>
      <c r="H172" s="269" t="s">
        <v>5024</v>
      </c>
      <c r="I172" s="269" t="s">
        <v>4838</v>
      </c>
      <c r="J172" s="269"/>
      <c r="K172" s="269"/>
      <c r="L172" s="269"/>
      <c r="M172" s="269" t="s">
        <v>4844</v>
      </c>
      <c r="N172" s="269"/>
      <c r="O172" s="270"/>
    </row>
    <row r="173" spans="1:15" ht="39" x14ac:dyDescent="0.25">
      <c r="A173" s="171" t="s">
        <v>5207</v>
      </c>
      <c r="B173" s="171" t="s">
        <v>4881</v>
      </c>
      <c r="C173" s="171" t="s">
        <v>5053</v>
      </c>
      <c r="D173" s="171" t="s">
        <v>4831</v>
      </c>
      <c r="E173" s="171">
        <v>52</v>
      </c>
      <c r="F173" s="171" t="s">
        <v>5208</v>
      </c>
      <c r="G173" s="171" t="s">
        <v>5055</v>
      </c>
      <c r="H173" s="171" t="s">
        <v>5056</v>
      </c>
      <c r="I173" s="171" t="s">
        <v>4847</v>
      </c>
      <c r="J173" s="171"/>
      <c r="K173" s="171"/>
      <c r="L173" s="171" t="s">
        <v>500</v>
      </c>
      <c r="M173" s="171" t="s">
        <v>4844</v>
      </c>
      <c r="N173" s="171">
        <v>1576</v>
      </c>
      <c r="O173" s="172">
        <v>1529</v>
      </c>
    </row>
    <row r="174" spans="1:15" x14ac:dyDescent="0.25">
      <c r="A174" s="171"/>
      <c r="B174" s="171"/>
      <c r="C174" s="171"/>
      <c r="D174" s="171" t="s">
        <v>4831</v>
      </c>
      <c r="E174" s="171">
        <v>53</v>
      </c>
      <c r="F174" s="171" t="s">
        <v>5209</v>
      </c>
      <c r="G174" s="171"/>
      <c r="H174" s="171" t="s">
        <v>52</v>
      </c>
      <c r="I174" s="171"/>
      <c r="J174" s="171"/>
      <c r="K174" s="171"/>
      <c r="L174" s="171"/>
      <c r="M174" s="171" t="s">
        <v>4844</v>
      </c>
      <c r="N174" s="171">
        <v>8.7429268833906573E-2</v>
      </c>
      <c r="O174" s="172">
        <v>0</v>
      </c>
    </row>
    <row r="175" spans="1:15" ht="26.25" x14ac:dyDescent="0.25">
      <c r="A175" s="171"/>
      <c r="B175" s="171"/>
      <c r="C175" s="171"/>
      <c r="D175" s="171" t="s">
        <v>4831</v>
      </c>
      <c r="E175" s="171">
        <v>54</v>
      </c>
      <c r="F175" s="171" t="s">
        <v>5210</v>
      </c>
      <c r="G175" s="171" t="s">
        <v>5059</v>
      </c>
      <c r="H175" s="171" t="s">
        <v>5056</v>
      </c>
      <c r="I175" s="171"/>
      <c r="J175" s="171"/>
      <c r="K175" s="171"/>
      <c r="L175" s="171" t="s">
        <v>500</v>
      </c>
      <c r="M175" s="171" t="s">
        <v>4844</v>
      </c>
      <c r="N175" s="171">
        <v>2697</v>
      </c>
      <c r="O175" s="172">
        <v>2962</v>
      </c>
    </row>
    <row r="176" spans="1:15" x14ac:dyDescent="0.25">
      <c r="A176" s="171"/>
      <c r="B176" s="171"/>
      <c r="C176" s="171"/>
      <c r="D176" s="171" t="s">
        <v>4831</v>
      </c>
      <c r="E176" s="171">
        <v>55</v>
      </c>
      <c r="F176" s="171" t="s">
        <v>5211</v>
      </c>
      <c r="G176" s="171"/>
      <c r="H176" s="171" t="s">
        <v>52</v>
      </c>
      <c r="I176" s="171"/>
      <c r="J176" s="171"/>
      <c r="K176" s="171"/>
      <c r="L176" s="171"/>
      <c r="M176" s="171" t="s">
        <v>4844</v>
      </c>
      <c r="N176" s="171">
        <v>0.14961721957172971</v>
      </c>
      <c r="O176" s="172">
        <v>0</v>
      </c>
    </row>
    <row r="177" spans="1:15" ht="26.25" x14ac:dyDescent="0.25">
      <c r="A177" s="171"/>
      <c r="B177" s="171"/>
      <c r="C177" s="171"/>
      <c r="D177" s="171" t="s">
        <v>4831</v>
      </c>
      <c r="E177" s="171">
        <v>56</v>
      </c>
      <c r="F177" s="171" t="s">
        <v>5212</v>
      </c>
      <c r="G177" s="171" t="s">
        <v>5062</v>
      </c>
      <c r="H177" s="171" t="s">
        <v>5056</v>
      </c>
      <c r="I177" s="171"/>
      <c r="J177" s="171"/>
      <c r="K177" s="171"/>
      <c r="L177" s="171" t="s">
        <v>500</v>
      </c>
      <c r="M177" s="171" t="s">
        <v>4844</v>
      </c>
      <c r="N177" s="171">
        <v>1544</v>
      </c>
      <c r="O177" s="172">
        <v>1282</v>
      </c>
    </row>
    <row r="178" spans="1:15" x14ac:dyDescent="0.25">
      <c r="A178" s="171"/>
      <c r="B178" s="171"/>
      <c r="C178" s="171"/>
      <c r="D178" s="171" t="s">
        <v>4831</v>
      </c>
      <c r="E178" s="171">
        <v>57</v>
      </c>
      <c r="F178" s="171" t="s">
        <v>5213</v>
      </c>
      <c r="G178" s="171"/>
      <c r="H178" s="171" t="s">
        <v>52</v>
      </c>
      <c r="I178" s="171"/>
      <c r="J178" s="171"/>
      <c r="K178" s="171"/>
      <c r="L178" s="171"/>
      <c r="M178" s="171" t="s">
        <v>4844</v>
      </c>
      <c r="N178" s="171">
        <v>8.5654055253522696E-2</v>
      </c>
      <c r="O178" s="172">
        <v>0</v>
      </c>
    </row>
    <row r="179" spans="1:15" ht="26.25" x14ac:dyDescent="0.25">
      <c r="A179" s="171"/>
      <c r="B179" s="171"/>
      <c r="C179" s="171"/>
      <c r="D179" s="171" t="s">
        <v>4831</v>
      </c>
      <c r="E179" s="171">
        <v>58</v>
      </c>
      <c r="F179" s="171" t="s">
        <v>5214</v>
      </c>
      <c r="G179" s="171" t="s">
        <v>5065</v>
      </c>
      <c r="H179" s="171" t="s">
        <v>5056</v>
      </c>
      <c r="I179" s="171"/>
      <c r="J179" s="171"/>
      <c r="K179" s="171"/>
      <c r="L179" s="171" t="s">
        <v>500</v>
      </c>
      <c r="M179" s="171" t="s">
        <v>4844</v>
      </c>
      <c r="N179" s="171">
        <v>502</v>
      </c>
      <c r="O179" s="172">
        <v>569</v>
      </c>
    </row>
    <row r="180" spans="1:15" x14ac:dyDescent="0.25">
      <c r="A180" s="171"/>
      <c r="B180" s="171"/>
      <c r="C180" s="171"/>
      <c r="D180" s="171" t="s">
        <v>4831</v>
      </c>
      <c r="E180" s="171">
        <v>59</v>
      </c>
      <c r="F180" s="171" t="s">
        <v>5215</v>
      </c>
      <c r="G180" s="171"/>
      <c r="H180" s="171" t="s">
        <v>52</v>
      </c>
      <c r="I180" s="171"/>
      <c r="J180" s="171"/>
      <c r="K180" s="171"/>
      <c r="L180" s="171"/>
      <c r="M180" s="171" t="s">
        <v>4844</v>
      </c>
      <c r="N180" s="171">
        <v>2.7848663042272272E-2</v>
      </c>
      <c r="O180" s="172">
        <v>0</v>
      </c>
    </row>
    <row r="181" spans="1:15" ht="39" x14ac:dyDescent="0.25">
      <c r="A181" s="171"/>
      <c r="B181" s="171"/>
      <c r="C181" s="171"/>
      <c r="D181" s="171" t="s">
        <v>4831</v>
      </c>
      <c r="E181" s="171">
        <v>60</v>
      </c>
      <c r="F181" s="171" t="s">
        <v>5216</v>
      </c>
      <c r="G181" s="171" t="s">
        <v>5068</v>
      </c>
      <c r="H181" s="171" t="s">
        <v>5056</v>
      </c>
      <c r="I181" s="171"/>
      <c r="J181" s="171"/>
      <c r="K181" s="171"/>
      <c r="L181" s="171" t="s">
        <v>500</v>
      </c>
      <c r="M181" s="171" t="s">
        <v>4844</v>
      </c>
      <c r="N181" s="171">
        <v>17</v>
      </c>
      <c r="O181" s="172">
        <v>14</v>
      </c>
    </row>
    <row r="182" spans="1:15" x14ac:dyDescent="0.25">
      <c r="A182" s="171"/>
      <c r="B182" s="171"/>
      <c r="C182" s="171"/>
      <c r="D182" s="171" t="s">
        <v>4831</v>
      </c>
      <c r="E182" s="171">
        <v>61</v>
      </c>
      <c r="F182" s="171" t="s">
        <v>5217</v>
      </c>
      <c r="G182" s="171"/>
      <c r="H182" s="171" t="s">
        <v>52</v>
      </c>
      <c r="I182" s="171"/>
      <c r="J182" s="171"/>
      <c r="K182" s="171"/>
      <c r="L182" s="171"/>
      <c r="M182" s="171" t="s">
        <v>4844</v>
      </c>
      <c r="N182" s="171">
        <v>9.4308221457894156E-4</v>
      </c>
      <c r="O182" s="172">
        <v>0</v>
      </c>
    </row>
    <row r="183" spans="1:15" ht="26.25" x14ac:dyDescent="0.25">
      <c r="A183" s="171"/>
      <c r="B183" s="171"/>
      <c r="C183" s="171"/>
      <c r="D183" s="171" t="s">
        <v>4831</v>
      </c>
      <c r="E183" s="171">
        <v>62</v>
      </c>
      <c r="F183" s="171" t="s">
        <v>5218</v>
      </c>
      <c r="G183" s="171" t="s">
        <v>5071</v>
      </c>
      <c r="H183" s="171" t="s">
        <v>5056</v>
      </c>
      <c r="I183" s="171"/>
      <c r="J183" s="171"/>
      <c r="K183" s="171"/>
      <c r="L183" s="171" t="s">
        <v>500</v>
      </c>
      <c r="M183" s="171" t="s">
        <v>4844</v>
      </c>
      <c r="N183" s="171">
        <v>396</v>
      </c>
      <c r="O183" s="172">
        <v>587</v>
      </c>
    </row>
    <row r="184" spans="1:15" x14ac:dyDescent="0.25">
      <c r="A184" s="171"/>
      <c r="B184" s="171"/>
      <c r="C184" s="171"/>
      <c r="D184" s="171" t="s">
        <v>4831</v>
      </c>
      <c r="E184" s="171">
        <v>63</v>
      </c>
      <c r="F184" s="171" t="s">
        <v>5219</v>
      </c>
      <c r="G184" s="171"/>
      <c r="H184" s="171" t="s">
        <v>52</v>
      </c>
      <c r="I184" s="171"/>
      <c r="J184" s="171"/>
      <c r="K184" s="171"/>
      <c r="L184" s="171"/>
      <c r="M184" s="171" t="s">
        <v>4844</v>
      </c>
      <c r="N184" s="171">
        <v>2.1968268057250637E-2</v>
      </c>
      <c r="O184" s="172">
        <v>0</v>
      </c>
    </row>
    <row r="185" spans="1:15" ht="26.25" x14ac:dyDescent="0.25">
      <c r="A185" s="171"/>
      <c r="B185" s="171"/>
      <c r="C185" s="171"/>
      <c r="D185" s="171" t="s">
        <v>4831</v>
      </c>
      <c r="E185" s="171">
        <v>64</v>
      </c>
      <c r="F185" s="171" t="s">
        <v>5220</v>
      </c>
      <c r="G185" s="171" t="s">
        <v>5074</v>
      </c>
      <c r="H185" s="171" t="s">
        <v>5056</v>
      </c>
      <c r="I185" s="171"/>
      <c r="J185" s="171"/>
      <c r="K185" s="171"/>
      <c r="L185" s="171" t="s">
        <v>500</v>
      </c>
      <c r="M185" s="171" t="s">
        <v>4844</v>
      </c>
      <c r="N185" s="171">
        <v>1010</v>
      </c>
      <c r="O185" s="172">
        <v>1423</v>
      </c>
    </row>
    <row r="186" spans="1:15" x14ac:dyDescent="0.25">
      <c r="A186" s="171"/>
      <c r="B186" s="171"/>
      <c r="C186" s="171"/>
      <c r="D186" s="171" t="s">
        <v>4831</v>
      </c>
      <c r="E186" s="171">
        <v>65</v>
      </c>
      <c r="F186" s="171" t="s">
        <v>5221</v>
      </c>
      <c r="G186" s="171"/>
      <c r="H186" s="171" t="s">
        <v>52</v>
      </c>
      <c r="I186" s="171"/>
      <c r="J186" s="171"/>
      <c r="K186" s="171"/>
      <c r="L186" s="171"/>
      <c r="M186" s="171" t="s">
        <v>4844</v>
      </c>
      <c r="N186" s="171">
        <v>5.6030178630866526E-2</v>
      </c>
      <c r="O186" s="172">
        <v>0</v>
      </c>
    </row>
    <row r="187" spans="1:15" ht="51.75" x14ac:dyDescent="0.25">
      <c r="A187" s="171"/>
      <c r="B187" s="171"/>
      <c r="C187" s="171"/>
      <c r="D187" s="171" t="s">
        <v>4831</v>
      </c>
      <c r="E187" s="171">
        <v>87</v>
      </c>
      <c r="F187" s="171" t="s">
        <v>5222</v>
      </c>
      <c r="G187" s="171" t="s">
        <v>24</v>
      </c>
      <c r="H187" s="171" t="s">
        <v>5056</v>
      </c>
      <c r="I187" s="171"/>
      <c r="J187" s="171"/>
      <c r="K187" s="171"/>
      <c r="L187" s="171"/>
      <c r="M187" s="171" t="s">
        <v>4844</v>
      </c>
      <c r="N187" s="171">
        <v>1429</v>
      </c>
      <c r="O187" s="172">
        <v>1422</v>
      </c>
    </row>
    <row r="188" spans="1:15" x14ac:dyDescent="0.25">
      <c r="A188" s="171"/>
      <c r="B188" s="171"/>
      <c r="C188" s="171"/>
      <c r="D188" s="171" t="s">
        <v>4831</v>
      </c>
      <c r="E188" s="171">
        <v>88</v>
      </c>
      <c r="F188" s="171" t="s">
        <v>5223</v>
      </c>
      <c r="G188" s="171"/>
      <c r="H188" s="171" t="s">
        <v>52</v>
      </c>
      <c r="I188" s="171"/>
      <c r="J188" s="171"/>
      <c r="K188" s="171"/>
      <c r="L188" s="171"/>
      <c r="M188" s="171" t="s">
        <v>4844</v>
      </c>
      <c r="N188" s="171">
        <v>7.9274381449018091E-2</v>
      </c>
      <c r="O188" s="172">
        <v>0</v>
      </c>
    </row>
    <row r="189" spans="1:15" ht="26.25" x14ac:dyDescent="0.25">
      <c r="A189" s="171"/>
      <c r="B189" s="171"/>
      <c r="C189" s="171"/>
      <c r="D189" s="171" t="s">
        <v>4831</v>
      </c>
      <c r="E189" s="171">
        <v>66</v>
      </c>
      <c r="F189" s="171" t="s">
        <v>5224</v>
      </c>
      <c r="G189" s="171" t="s">
        <v>5079</v>
      </c>
      <c r="H189" s="171" t="s">
        <v>5056</v>
      </c>
      <c r="I189" s="171"/>
      <c r="J189" s="171"/>
      <c r="K189" s="171"/>
      <c r="L189" s="171" t="s">
        <v>500</v>
      </c>
      <c r="M189" s="171" t="s">
        <v>4844</v>
      </c>
      <c r="N189" s="171">
        <v>950</v>
      </c>
      <c r="O189" s="172">
        <v>1318</v>
      </c>
    </row>
    <row r="190" spans="1:15" x14ac:dyDescent="0.25">
      <c r="A190" s="171"/>
      <c r="B190" s="171"/>
      <c r="C190" s="171"/>
      <c r="D190" s="171" t="s">
        <v>4831</v>
      </c>
      <c r="E190" s="171">
        <v>67</v>
      </c>
      <c r="F190" s="171" t="s">
        <v>5225</v>
      </c>
      <c r="G190" s="171"/>
      <c r="H190" s="171" t="s">
        <v>52</v>
      </c>
      <c r="I190" s="171"/>
      <c r="J190" s="171"/>
      <c r="K190" s="171"/>
      <c r="L190" s="171"/>
      <c r="M190" s="171" t="s">
        <v>4844</v>
      </c>
      <c r="N190" s="171">
        <v>5.2701653167646731E-2</v>
      </c>
      <c r="O190" s="172">
        <v>0</v>
      </c>
    </row>
    <row r="191" spans="1:15" ht="26.25" x14ac:dyDescent="0.25">
      <c r="A191" s="171"/>
      <c r="B191" s="171"/>
      <c r="C191" s="171"/>
      <c r="D191" s="171" t="s">
        <v>4831</v>
      </c>
      <c r="E191" s="171">
        <v>89</v>
      </c>
      <c r="F191" s="171" t="s">
        <v>5226</v>
      </c>
      <c r="G191" s="171" t="s">
        <v>5082</v>
      </c>
      <c r="H191" s="171" t="s">
        <v>5056</v>
      </c>
      <c r="I191" s="171"/>
      <c r="J191" s="171"/>
      <c r="K191" s="171"/>
      <c r="L191" s="171"/>
      <c r="M191" s="171" t="s">
        <v>4844</v>
      </c>
      <c r="N191" s="171">
        <v>1505</v>
      </c>
      <c r="O191" s="172">
        <v>2159</v>
      </c>
    </row>
    <row r="192" spans="1:15" x14ac:dyDescent="0.25">
      <c r="A192" s="171"/>
      <c r="B192" s="171"/>
      <c r="C192" s="171"/>
      <c r="D192" s="171" t="s">
        <v>4831</v>
      </c>
      <c r="E192" s="171">
        <v>90</v>
      </c>
      <c r="F192" s="171" t="s">
        <v>5227</v>
      </c>
      <c r="G192" s="171"/>
      <c r="H192" s="171" t="s">
        <v>52</v>
      </c>
      <c r="I192" s="171"/>
      <c r="J192" s="171"/>
      <c r="K192" s="171"/>
      <c r="L192" s="171"/>
      <c r="M192" s="171" t="s">
        <v>4844</v>
      </c>
      <c r="N192" s="171">
        <v>8.3490513702429825E-2</v>
      </c>
      <c r="O192" s="172">
        <v>0</v>
      </c>
    </row>
    <row r="193" spans="1:15" ht="26.25" x14ac:dyDescent="0.25">
      <c r="A193" s="171"/>
      <c r="B193" s="171"/>
      <c r="C193" s="171"/>
      <c r="D193" s="171" t="s">
        <v>4831</v>
      </c>
      <c r="E193" s="171">
        <v>68</v>
      </c>
      <c r="F193" s="171" t="s">
        <v>5228</v>
      </c>
      <c r="G193" s="171" t="s">
        <v>5085</v>
      </c>
      <c r="H193" s="171" t="s">
        <v>5056</v>
      </c>
      <c r="I193" s="171"/>
      <c r="J193" s="171"/>
      <c r="K193" s="171"/>
      <c r="L193" s="171" t="s">
        <v>500</v>
      </c>
      <c r="M193" s="171" t="s">
        <v>4844</v>
      </c>
      <c r="N193" s="171">
        <v>1355</v>
      </c>
      <c r="O193" s="172">
        <v>1478</v>
      </c>
    </row>
    <row r="194" spans="1:15" x14ac:dyDescent="0.25">
      <c r="A194" s="171"/>
      <c r="B194" s="171"/>
      <c r="C194" s="171"/>
      <c r="D194" s="171" t="s">
        <v>4831</v>
      </c>
      <c r="E194" s="171">
        <v>69</v>
      </c>
      <c r="F194" s="171" t="s">
        <v>5229</v>
      </c>
      <c r="G194" s="171"/>
      <c r="H194" s="171" t="s">
        <v>52</v>
      </c>
      <c r="I194" s="171"/>
      <c r="J194" s="171"/>
      <c r="K194" s="171"/>
      <c r="L194" s="171"/>
      <c r="M194" s="171" t="s">
        <v>4844</v>
      </c>
      <c r="N194" s="171">
        <v>7.5169200044380338E-2</v>
      </c>
      <c r="O194" s="172">
        <v>0</v>
      </c>
    </row>
    <row r="195" spans="1:15" ht="51.75" x14ac:dyDescent="0.25">
      <c r="A195" s="171"/>
      <c r="B195" s="171"/>
      <c r="C195" s="171"/>
      <c r="D195" s="171" t="s">
        <v>4831</v>
      </c>
      <c r="E195" s="171">
        <v>70</v>
      </c>
      <c r="F195" s="171" t="s">
        <v>5230</v>
      </c>
      <c r="G195" s="171" t="s">
        <v>5088</v>
      </c>
      <c r="H195" s="171" t="s">
        <v>5056</v>
      </c>
      <c r="I195" s="171"/>
      <c r="J195" s="171"/>
      <c r="K195" s="171"/>
      <c r="L195" s="171" t="s">
        <v>500</v>
      </c>
      <c r="M195" s="171" t="s">
        <v>4844</v>
      </c>
      <c r="N195" s="171">
        <v>1624</v>
      </c>
      <c r="O195" s="172">
        <v>2174</v>
      </c>
    </row>
    <row r="196" spans="1:15" x14ac:dyDescent="0.25">
      <c r="A196" s="171"/>
      <c r="B196" s="171"/>
      <c r="C196" s="171"/>
      <c r="D196" s="171" t="s">
        <v>4831</v>
      </c>
      <c r="E196" s="171">
        <v>71</v>
      </c>
      <c r="F196" s="171" t="s">
        <v>5231</v>
      </c>
      <c r="G196" s="171"/>
      <c r="H196" s="171" t="s">
        <v>52</v>
      </c>
      <c r="I196" s="171"/>
      <c r="J196" s="171"/>
      <c r="K196" s="171"/>
      <c r="L196" s="171"/>
      <c r="M196" s="171" t="s">
        <v>4844</v>
      </c>
      <c r="N196" s="171">
        <v>9.0092089204482417E-2</v>
      </c>
      <c r="O196" s="172">
        <v>0</v>
      </c>
    </row>
    <row r="197" spans="1:15" ht="26.25" x14ac:dyDescent="0.25">
      <c r="A197" s="171"/>
      <c r="B197" s="171"/>
      <c r="C197" s="171"/>
      <c r="D197" s="171" t="s">
        <v>4831</v>
      </c>
      <c r="E197" s="171">
        <v>72</v>
      </c>
      <c r="F197" s="171" t="s">
        <v>5232</v>
      </c>
      <c r="G197" s="171" t="s">
        <v>5091</v>
      </c>
      <c r="H197" s="171" t="s">
        <v>5056</v>
      </c>
      <c r="I197" s="171"/>
      <c r="J197" s="171"/>
      <c r="K197" s="171"/>
      <c r="L197" s="171" t="s">
        <v>500</v>
      </c>
      <c r="M197" s="171" t="s">
        <v>4844</v>
      </c>
      <c r="N197" s="171">
        <v>897</v>
      </c>
      <c r="O197" s="172">
        <v>1042</v>
      </c>
    </row>
    <row r="198" spans="1:15" x14ac:dyDescent="0.25">
      <c r="A198" s="171"/>
      <c r="B198" s="171"/>
      <c r="C198" s="171"/>
      <c r="D198" s="171" t="s">
        <v>4831</v>
      </c>
      <c r="E198" s="171">
        <v>73</v>
      </c>
      <c r="F198" s="171" t="s">
        <v>5233</v>
      </c>
      <c r="G198" s="171"/>
      <c r="H198" s="171" t="s">
        <v>52</v>
      </c>
      <c r="I198" s="171"/>
      <c r="J198" s="171"/>
      <c r="K198" s="171"/>
      <c r="L198" s="171"/>
      <c r="M198" s="171" t="s">
        <v>4844</v>
      </c>
      <c r="N198" s="171">
        <v>4.9761455675135915E-2</v>
      </c>
      <c r="O198" s="172">
        <v>0</v>
      </c>
    </row>
    <row r="199" spans="1:15" ht="39" x14ac:dyDescent="0.25">
      <c r="A199" s="171"/>
      <c r="B199" s="171"/>
      <c r="C199" s="171"/>
      <c r="D199" s="171" t="s">
        <v>4831</v>
      </c>
      <c r="E199" s="171">
        <v>74</v>
      </c>
      <c r="F199" s="171" t="s">
        <v>5234</v>
      </c>
      <c r="G199" s="171" t="s">
        <v>5094</v>
      </c>
      <c r="H199" s="171" t="s">
        <v>5056</v>
      </c>
      <c r="I199" s="171"/>
      <c r="J199" s="171"/>
      <c r="K199" s="171"/>
      <c r="L199" s="171" t="s">
        <v>500</v>
      </c>
      <c r="M199" s="171" t="s">
        <v>4844</v>
      </c>
      <c r="N199" s="171">
        <v>578</v>
      </c>
      <c r="O199" s="172">
        <v>750</v>
      </c>
    </row>
    <row r="200" spans="1:15" x14ac:dyDescent="0.25">
      <c r="A200" s="171"/>
      <c r="B200" s="171"/>
      <c r="C200" s="171"/>
      <c r="D200" s="171" t="s">
        <v>4831</v>
      </c>
      <c r="E200" s="171">
        <v>75</v>
      </c>
      <c r="F200" s="171" t="s">
        <v>5235</v>
      </c>
      <c r="G200" s="171"/>
      <c r="H200" s="171" t="s">
        <v>52</v>
      </c>
      <c r="I200" s="171"/>
      <c r="J200" s="171"/>
      <c r="K200" s="171"/>
      <c r="L200" s="171"/>
      <c r="M200" s="171" t="s">
        <v>4844</v>
      </c>
      <c r="N200" s="171">
        <v>3.2064795295684012E-2</v>
      </c>
      <c r="O200" s="172">
        <v>0</v>
      </c>
    </row>
    <row r="201" spans="1:15" ht="26.25" x14ac:dyDescent="0.25">
      <c r="A201" s="171"/>
      <c r="B201" s="171"/>
      <c r="C201" s="171"/>
      <c r="D201" s="171" t="s">
        <v>4831</v>
      </c>
      <c r="E201" s="171">
        <v>76</v>
      </c>
      <c r="F201" s="171" t="s">
        <v>5236</v>
      </c>
      <c r="G201" s="171" t="s">
        <v>5097</v>
      </c>
      <c r="H201" s="171" t="s">
        <v>5056</v>
      </c>
      <c r="I201" s="171"/>
      <c r="J201" s="171"/>
      <c r="K201" s="171"/>
      <c r="L201" s="171" t="s">
        <v>500</v>
      </c>
      <c r="M201" s="171" t="s">
        <v>4844</v>
      </c>
      <c r="N201" s="171">
        <v>546</v>
      </c>
      <c r="O201" s="172">
        <v>55</v>
      </c>
    </row>
    <row r="202" spans="1:15" x14ac:dyDescent="0.25">
      <c r="A202" s="171"/>
      <c r="B202" s="171"/>
      <c r="C202" s="171"/>
      <c r="D202" s="171" t="s">
        <v>4831</v>
      </c>
      <c r="E202" s="171">
        <v>77</v>
      </c>
      <c r="F202" s="171" t="s">
        <v>5237</v>
      </c>
      <c r="G202" s="171"/>
      <c r="H202" s="171" t="s">
        <v>52</v>
      </c>
      <c r="I202" s="171"/>
      <c r="J202" s="171"/>
      <c r="K202" s="171"/>
      <c r="L202" s="171"/>
      <c r="M202" s="171" t="s">
        <v>4844</v>
      </c>
      <c r="N202" s="171">
        <v>3.0289581715300121E-2</v>
      </c>
      <c r="O202" s="172">
        <v>0</v>
      </c>
    </row>
    <row r="203" spans="1:15" ht="77.25" x14ac:dyDescent="0.25">
      <c r="A203" s="171"/>
      <c r="B203" s="171"/>
      <c r="C203" s="171"/>
      <c r="D203" s="171" t="s">
        <v>4831</v>
      </c>
      <c r="E203" s="171">
        <v>78</v>
      </c>
      <c r="F203" s="171" t="s">
        <v>5238</v>
      </c>
      <c r="G203" s="171" t="s">
        <v>5100</v>
      </c>
      <c r="H203" s="171" t="s">
        <v>5056</v>
      </c>
      <c r="I203" s="171"/>
      <c r="J203" s="171"/>
      <c r="K203" s="171"/>
      <c r="L203" s="171" t="s">
        <v>500</v>
      </c>
      <c r="M203" s="171" t="s">
        <v>4844</v>
      </c>
      <c r="N203" s="171">
        <v>323</v>
      </c>
      <c r="O203" s="172">
        <v>167</v>
      </c>
    </row>
    <row r="204" spans="1:15" x14ac:dyDescent="0.25">
      <c r="A204" s="171"/>
      <c r="B204" s="171"/>
      <c r="C204" s="171"/>
      <c r="D204" s="171" t="s">
        <v>4831</v>
      </c>
      <c r="E204" s="171">
        <v>79</v>
      </c>
      <c r="F204" s="171" t="s">
        <v>5239</v>
      </c>
      <c r="G204" s="171"/>
      <c r="H204" s="171" t="s">
        <v>52</v>
      </c>
      <c r="I204" s="171"/>
      <c r="J204" s="171"/>
      <c r="K204" s="171"/>
      <c r="L204" s="171"/>
      <c r="M204" s="171" t="s">
        <v>4844</v>
      </c>
      <c r="N204" s="171">
        <v>1.7918562076999888E-2</v>
      </c>
      <c r="O204" s="172">
        <v>0</v>
      </c>
    </row>
    <row r="205" spans="1:15" ht="77.25" x14ac:dyDescent="0.25">
      <c r="A205" s="171"/>
      <c r="B205" s="171"/>
      <c r="C205" s="171"/>
      <c r="D205" s="171" t="s">
        <v>4831</v>
      </c>
      <c r="E205" s="171">
        <v>80</v>
      </c>
      <c r="F205" s="171" t="s">
        <v>5240</v>
      </c>
      <c r="G205" s="171" t="s">
        <v>5103</v>
      </c>
      <c r="H205" s="171" t="s">
        <v>5056</v>
      </c>
      <c r="I205" s="171"/>
      <c r="J205" s="171"/>
      <c r="K205" s="171"/>
      <c r="L205" s="171" t="s">
        <v>500</v>
      </c>
      <c r="M205" s="171" t="s">
        <v>4844</v>
      </c>
      <c r="N205" s="171">
        <v>41</v>
      </c>
      <c r="O205" s="172">
        <v>58</v>
      </c>
    </row>
    <row r="206" spans="1:15" x14ac:dyDescent="0.25">
      <c r="A206" s="171"/>
      <c r="B206" s="171"/>
      <c r="C206" s="171"/>
      <c r="D206" s="171" t="s">
        <v>4831</v>
      </c>
      <c r="E206" s="171">
        <v>81</v>
      </c>
      <c r="F206" s="171" t="s">
        <v>5241</v>
      </c>
      <c r="G206" s="171"/>
      <c r="H206" s="171" t="s">
        <v>52</v>
      </c>
      <c r="I206" s="171"/>
      <c r="J206" s="171"/>
      <c r="K206" s="171"/>
      <c r="L206" s="171"/>
      <c r="M206" s="171" t="s">
        <v>4844</v>
      </c>
      <c r="N206" s="171">
        <v>2.2744923998668592E-3</v>
      </c>
      <c r="O206" s="172">
        <v>0</v>
      </c>
    </row>
    <row r="207" spans="1:15" ht="39" x14ac:dyDescent="0.25">
      <c r="A207" s="171"/>
      <c r="B207" s="171"/>
      <c r="C207" s="171"/>
      <c r="D207" s="171" t="s">
        <v>4831</v>
      </c>
      <c r="E207" s="171">
        <v>82</v>
      </c>
      <c r="F207" s="171" t="s">
        <v>5242</v>
      </c>
      <c r="G207" s="171" t="s">
        <v>5106</v>
      </c>
      <c r="H207" s="171" t="s">
        <v>5056</v>
      </c>
      <c r="I207" s="171"/>
      <c r="J207" s="171"/>
      <c r="K207" s="171"/>
      <c r="L207" s="171" t="s">
        <v>500</v>
      </c>
      <c r="M207" s="171" t="s">
        <v>4844</v>
      </c>
      <c r="N207" s="171">
        <v>300</v>
      </c>
      <c r="O207" s="172">
        <v>408</v>
      </c>
    </row>
    <row r="208" spans="1:15" x14ac:dyDescent="0.25">
      <c r="A208" s="171"/>
      <c r="B208" s="171"/>
      <c r="C208" s="171"/>
      <c r="D208" s="171" t="s">
        <v>4831</v>
      </c>
      <c r="E208" s="171">
        <v>83</v>
      </c>
      <c r="F208" s="171" t="s">
        <v>5243</v>
      </c>
      <c r="G208" s="171"/>
      <c r="H208" s="171" t="s">
        <v>52</v>
      </c>
      <c r="I208" s="171"/>
      <c r="J208" s="171"/>
      <c r="K208" s="171"/>
      <c r="L208" s="171"/>
      <c r="M208" s="171" t="s">
        <v>4844</v>
      </c>
      <c r="N208" s="171">
        <v>1.6642627316098967E-2</v>
      </c>
      <c r="O208" s="172">
        <v>0</v>
      </c>
    </row>
    <row r="209" spans="1:15" ht="64.5" x14ac:dyDescent="0.25">
      <c r="A209" s="171"/>
      <c r="B209" s="171"/>
      <c r="C209" s="171"/>
      <c r="D209" s="171" t="s">
        <v>4831</v>
      </c>
      <c r="E209" s="171">
        <v>91</v>
      </c>
      <c r="F209" s="171" t="s">
        <v>5244</v>
      </c>
      <c r="G209" s="171" t="s">
        <v>38</v>
      </c>
      <c r="H209" s="171" t="s">
        <v>5056</v>
      </c>
      <c r="I209" s="171"/>
      <c r="J209" s="171"/>
      <c r="K209" s="171"/>
      <c r="L209" s="171"/>
      <c r="M209" s="171" t="s">
        <v>4844</v>
      </c>
      <c r="N209" s="171">
        <v>536</v>
      </c>
      <c r="O209" s="172">
        <v>76</v>
      </c>
    </row>
    <row r="210" spans="1:15" x14ac:dyDescent="0.25">
      <c r="A210" s="171"/>
      <c r="B210" s="171"/>
      <c r="C210" s="171"/>
      <c r="D210" s="171" t="s">
        <v>4831</v>
      </c>
      <c r="E210" s="171">
        <v>92</v>
      </c>
      <c r="F210" s="171" t="s">
        <v>5245</v>
      </c>
      <c r="G210" s="171"/>
      <c r="H210" s="171" t="s">
        <v>52</v>
      </c>
      <c r="I210" s="171"/>
      <c r="J210" s="171"/>
      <c r="K210" s="171"/>
      <c r="L210" s="171"/>
      <c r="M210" s="171" t="s">
        <v>4844</v>
      </c>
      <c r="N210" s="171">
        <v>2.9734827471430157E-2</v>
      </c>
      <c r="O210" s="172">
        <v>0</v>
      </c>
    </row>
    <row r="211" spans="1:15" ht="39" x14ac:dyDescent="0.25">
      <c r="A211" s="171"/>
      <c r="B211" s="171"/>
      <c r="C211" s="171"/>
      <c r="D211" s="171" t="s">
        <v>4831</v>
      </c>
      <c r="E211" s="171">
        <v>84</v>
      </c>
      <c r="F211" s="171" t="s">
        <v>5246</v>
      </c>
      <c r="G211" s="171" t="s">
        <v>5111</v>
      </c>
      <c r="H211" s="171" t="s">
        <v>5056</v>
      </c>
      <c r="I211" s="171"/>
      <c r="J211" s="171"/>
      <c r="K211" s="171"/>
      <c r="L211" s="171" t="s">
        <v>500</v>
      </c>
      <c r="M211" s="171" t="s">
        <v>4844</v>
      </c>
      <c r="N211" s="171">
        <v>200</v>
      </c>
      <c r="O211" s="172">
        <v>660</v>
      </c>
    </row>
    <row r="212" spans="1:15" x14ac:dyDescent="0.25">
      <c r="A212" s="171"/>
      <c r="B212" s="171"/>
      <c r="C212" s="171"/>
      <c r="D212" s="171" t="s">
        <v>4831</v>
      </c>
      <c r="E212" s="171">
        <v>85</v>
      </c>
      <c r="F212" s="171" t="s">
        <v>5247</v>
      </c>
      <c r="G212" s="171"/>
      <c r="H212" s="171" t="s">
        <v>52</v>
      </c>
      <c r="I212" s="171"/>
      <c r="J212" s="171"/>
      <c r="K212" s="171"/>
      <c r="L212" s="171"/>
      <c r="M212" s="171" t="s">
        <v>4844</v>
      </c>
      <c r="N212" s="171">
        <v>1.1095084877399313E-2</v>
      </c>
      <c r="O212" s="172"/>
    </row>
    <row r="213" spans="1:15" ht="64.5" x14ac:dyDescent="0.25">
      <c r="A213" s="171" t="s">
        <v>5248</v>
      </c>
      <c r="B213" s="171" t="s">
        <v>4881</v>
      </c>
      <c r="C213" s="171" t="s">
        <v>5114</v>
      </c>
      <c r="D213" s="171" t="s">
        <v>4831</v>
      </c>
      <c r="E213" s="171">
        <v>86</v>
      </c>
      <c r="F213" s="171" t="s">
        <v>5249</v>
      </c>
      <c r="G213" s="171" t="s">
        <v>5250</v>
      </c>
      <c r="H213" s="171" t="s">
        <v>5056</v>
      </c>
      <c r="I213" s="171" t="s">
        <v>4994</v>
      </c>
      <c r="J213" s="171"/>
      <c r="K213" s="171"/>
      <c r="L213" s="171" t="s">
        <v>500</v>
      </c>
      <c r="M213" s="171" t="s">
        <v>4844</v>
      </c>
      <c r="N213" s="171">
        <v>18026</v>
      </c>
      <c r="O213" s="172">
        <v>20133</v>
      </c>
    </row>
    <row r="214" spans="1:15" ht="217.5" x14ac:dyDescent="0.25">
      <c r="A214" s="171" t="s">
        <v>5251</v>
      </c>
      <c r="B214" s="171" t="s">
        <v>4829</v>
      </c>
      <c r="C214" s="171" t="s">
        <v>5118</v>
      </c>
      <c r="D214" s="171" t="s">
        <v>4831</v>
      </c>
      <c r="E214" s="171">
        <v>87</v>
      </c>
      <c r="F214" s="171" t="s">
        <v>5252</v>
      </c>
      <c r="G214" s="171" t="s">
        <v>5253</v>
      </c>
      <c r="H214" s="171" t="s">
        <v>4984</v>
      </c>
      <c r="I214" s="171" t="s">
        <v>5121</v>
      </c>
      <c r="J214" s="171"/>
      <c r="K214" s="171"/>
      <c r="L214" s="171"/>
      <c r="M214" s="171" t="s">
        <v>4844</v>
      </c>
      <c r="N214" s="199">
        <v>1.030088202487518</v>
      </c>
      <c r="O214" s="200">
        <v>1.1488628836129737</v>
      </c>
    </row>
    <row r="215" spans="1:15" ht="128.25" x14ac:dyDescent="0.25">
      <c r="A215" s="171" t="s">
        <v>5254</v>
      </c>
      <c r="B215" s="171" t="s">
        <v>4829</v>
      </c>
      <c r="C215" s="171" t="s">
        <v>5123</v>
      </c>
      <c r="D215" s="171" t="s">
        <v>4831</v>
      </c>
      <c r="E215" s="171">
        <v>88</v>
      </c>
      <c r="F215" s="171" t="s">
        <v>5255</v>
      </c>
      <c r="G215" s="171" t="s">
        <v>5256</v>
      </c>
      <c r="H215" s="171" t="s">
        <v>4984</v>
      </c>
      <c r="I215" s="171" t="s">
        <v>5126</v>
      </c>
      <c r="J215" s="171"/>
      <c r="K215" s="171"/>
      <c r="L215" s="171"/>
      <c r="M215" s="171" t="s">
        <v>4844</v>
      </c>
      <c r="N215" s="199">
        <v>0.58245389634084099</v>
      </c>
      <c r="O215" s="200">
        <v>0.65120381885461687</v>
      </c>
    </row>
    <row r="216" spans="1:15" ht="128.25" x14ac:dyDescent="0.25">
      <c r="A216" s="171"/>
      <c r="B216" s="171"/>
      <c r="C216" s="171"/>
      <c r="D216" s="171" t="s">
        <v>4831</v>
      </c>
      <c r="E216" s="171">
        <v>89</v>
      </c>
      <c r="F216" s="171" t="s">
        <v>5257</v>
      </c>
      <c r="G216" s="171" t="s">
        <v>5258</v>
      </c>
      <c r="H216" s="171" t="s">
        <v>4984</v>
      </c>
      <c r="I216" s="171" t="s">
        <v>5129</v>
      </c>
      <c r="J216" s="171"/>
      <c r="K216" s="171"/>
      <c r="L216" s="171"/>
      <c r="M216" s="171" t="s">
        <v>4844</v>
      </c>
      <c r="N216" s="199">
        <v>9.2966009656052354E-2</v>
      </c>
      <c r="O216" s="200">
        <v>9.8352383949734265E-2</v>
      </c>
    </row>
    <row r="217" spans="1:15" x14ac:dyDescent="0.25">
      <c r="A217" s="171"/>
      <c r="B217" s="171"/>
      <c r="C217" s="171"/>
      <c r="D217" s="171"/>
      <c r="E217" s="171"/>
      <c r="F217" s="171"/>
      <c r="G217" s="171"/>
      <c r="H217" s="171"/>
      <c r="I217" s="171"/>
      <c r="J217" s="171"/>
      <c r="K217" s="171"/>
      <c r="L217" s="171"/>
      <c r="M217" s="171"/>
      <c r="N217" s="171"/>
      <c r="O217" s="172"/>
    </row>
    <row r="218" spans="1:15" x14ac:dyDescent="0.25">
      <c r="A218" s="171"/>
      <c r="B218" s="171"/>
      <c r="C218" s="171"/>
      <c r="D218" s="171"/>
      <c r="E218" s="171"/>
      <c r="F218" s="171"/>
      <c r="G218" s="171"/>
      <c r="H218" s="171"/>
      <c r="I218" s="171"/>
      <c r="J218" s="171"/>
      <c r="K218" s="171"/>
      <c r="L218" s="171"/>
      <c r="M218" s="171"/>
      <c r="N218" s="171"/>
      <c r="O218" s="172"/>
    </row>
    <row r="219" spans="1:15" x14ac:dyDescent="0.25">
      <c r="A219" s="171"/>
      <c r="B219" s="171"/>
      <c r="C219" s="171"/>
      <c r="D219" s="171"/>
      <c r="E219" s="171"/>
      <c r="F219" s="171"/>
      <c r="G219" s="171"/>
      <c r="H219" s="171"/>
      <c r="I219" s="171"/>
      <c r="J219" s="171"/>
      <c r="K219" s="171"/>
      <c r="L219" s="171"/>
      <c r="M219" s="171"/>
      <c r="N219" s="171"/>
      <c r="O219" s="172"/>
    </row>
    <row r="220" spans="1:15" x14ac:dyDescent="0.25">
      <c r="A220" s="171"/>
      <c r="B220" s="171"/>
      <c r="C220" s="171"/>
      <c r="D220" s="171"/>
      <c r="E220" s="171"/>
      <c r="F220" s="171"/>
      <c r="G220" s="171"/>
      <c r="H220" s="171"/>
      <c r="I220" s="171"/>
      <c r="J220" s="171"/>
      <c r="K220" s="171"/>
      <c r="L220" s="171"/>
      <c r="M220" s="171"/>
      <c r="N220" s="171"/>
      <c r="O220" s="172"/>
    </row>
    <row r="221" spans="1:15" ht="39" x14ac:dyDescent="0.25">
      <c r="A221" s="197"/>
      <c r="B221" s="197"/>
      <c r="C221" s="197"/>
      <c r="D221" s="197"/>
      <c r="E221" s="197"/>
      <c r="F221" s="197"/>
      <c r="G221" s="197" t="s">
        <v>5259</v>
      </c>
      <c r="H221" s="197"/>
      <c r="I221" s="197"/>
      <c r="J221" s="197"/>
      <c r="K221" s="197"/>
      <c r="L221" s="197"/>
      <c r="M221" s="197"/>
      <c r="N221" s="197"/>
      <c r="O221" s="198"/>
    </row>
    <row r="222" spans="1:15" ht="77.25" x14ac:dyDescent="0.25">
      <c r="A222" s="191" t="s">
        <v>5167</v>
      </c>
      <c r="B222" s="191" t="s">
        <v>4881</v>
      </c>
      <c r="C222" s="192" t="s">
        <v>4990</v>
      </c>
      <c r="D222" s="191" t="s">
        <v>4831</v>
      </c>
      <c r="E222" s="191">
        <v>26</v>
      </c>
      <c r="F222" s="191" t="s">
        <v>5168</v>
      </c>
      <c r="G222" s="191" t="s">
        <v>5260</v>
      </c>
      <c r="H222" s="191" t="s">
        <v>4984</v>
      </c>
      <c r="I222" s="191" t="s">
        <v>4847</v>
      </c>
      <c r="J222" s="191"/>
      <c r="K222" s="191"/>
      <c r="L222" s="191" t="s">
        <v>500</v>
      </c>
      <c r="M222" s="191" t="s">
        <v>4844</v>
      </c>
      <c r="N222" s="191">
        <v>0</v>
      </c>
      <c r="O222" s="192">
        <v>0</v>
      </c>
    </row>
    <row r="223" spans="1:15" ht="39" x14ac:dyDescent="0.25">
      <c r="A223" s="171"/>
      <c r="B223" s="171"/>
      <c r="C223" s="171"/>
      <c r="D223" s="171" t="s">
        <v>4831</v>
      </c>
      <c r="E223" s="171">
        <v>27</v>
      </c>
      <c r="F223" s="171" t="s">
        <v>5170</v>
      </c>
      <c r="G223" s="171" t="s">
        <v>5261</v>
      </c>
      <c r="H223" s="171" t="s">
        <v>52</v>
      </c>
      <c r="I223" s="171" t="s">
        <v>4994</v>
      </c>
      <c r="J223" s="171"/>
      <c r="K223" s="171"/>
      <c r="L223" s="171"/>
      <c r="M223" s="171" t="s">
        <v>4844</v>
      </c>
      <c r="N223" s="171">
        <v>0</v>
      </c>
      <c r="O223" s="172"/>
    </row>
    <row r="224" spans="1:15" ht="90" x14ac:dyDescent="0.25">
      <c r="A224" s="191" t="s">
        <v>5172</v>
      </c>
      <c r="B224" s="191" t="s">
        <v>4881</v>
      </c>
      <c r="C224" s="192" t="s">
        <v>4996</v>
      </c>
      <c r="D224" s="191" t="s">
        <v>4831</v>
      </c>
      <c r="E224" s="191">
        <v>28</v>
      </c>
      <c r="F224" s="191" t="s">
        <v>5173</v>
      </c>
      <c r="G224" s="191" t="s">
        <v>5262</v>
      </c>
      <c r="H224" s="191" t="s">
        <v>4984</v>
      </c>
      <c r="I224" s="191" t="s">
        <v>4847</v>
      </c>
      <c r="J224" s="191"/>
      <c r="K224" s="191"/>
      <c r="L224" s="191" t="s">
        <v>500</v>
      </c>
      <c r="M224" s="191" t="s">
        <v>4844</v>
      </c>
      <c r="N224" s="191">
        <v>478.54404999999997</v>
      </c>
      <c r="O224" s="192">
        <v>736.40348783999991</v>
      </c>
    </row>
    <row r="225" spans="1:15" ht="39" x14ac:dyDescent="0.25">
      <c r="A225" s="171"/>
      <c r="B225" s="171"/>
      <c r="C225" s="171"/>
      <c r="D225" s="171" t="s">
        <v>4831</v>
      </c>
      <c r="E225" s="171">
        <v>29</v>
      </c>
      <c r="F225" s="171" t="s">
        <v>5175</v>
      </c>
      <c r="G225" s="171" t="s">
        <v>5261</v>
      </c>
      <c r="H225" s="171" t="s">
        <v>52</v>
      </c>
      <c r="I225" s="171" t="s">
        <v>4994</v>
      </c>
      <c r="J225" s="171"/>
      <c r="K225" s="171"/>
      <c r="L225" s="171"/>
      <c r="M225" s="171" t="s">
        <v>4844</v>
      </c>
      <c r="N225" s="199">
        <v>0.64154385617763277</v>
      </c>
      <c r="O225" s="200">
        <v>0.78833100866037853</v>
      </c>
    </row>
    <row r="226" spans="1:15" ht="64.5" x14ac:dyDescent="0.25">
      <c r="A226" s="191" t="s">
        <v>5176</v>
      </c>
      <c r="B226" s="191" t="s">
        <v>4881</v>
      </c>
      <c r="C226" s="192" t="s">
        <v>5001</v>
      </c>
      <c r="D226" s="191" t="s">
        <v>4831</v>
      </c>
      <c r="E226" s="191">
        <v>30</v>
      </c>
      <c r="F226" s="191" t="s">
        <v>5177</v>
      </c>
      <c r="G226" s="191" t="s">
        <v>5263</v>
      </c>
      <c r="H226" s="191" t="s">
        <v>4984</v>
      </c>
      <c r="I226" s="191" t="s">
        <v>4847</v>
      </c>
      <c r="J226" s="191"/>
      <c r="K226" s="191"/>
      <c r="L226" s="191" t="s">
        <v>500</v>
      </c>
      <c r="M226" s="191" t="s">
        <v>4844</v>
      </c>
      <c r="N226" s="271">
        <v>103.2469</v>
      </c>
      <c r="O226" s="272">
        <v>112.27286693000001</v>
      </c>
    </row>
    <row r="227" spans="1:15" ht="39" x14ac:dyDescent="0.25">
      <c r="A227" s="171"/>
      <c r="B227" s="171"/>
      <c r="C227" s="171"/>
      <c r="D227" s="171" t="s">
        <v>4831</v>
      </c>
      <c r="E227" s="171">
        <v>31</v>
      </c>
      <c r="F227" s="171" t="s">
        <v>5179</v>
      </c>
      <c r="G227" s="171" t="s">
        <v>5261</v>
      </c>
      <c r="H227" s="171" t="s">
        <v>52</v>
      </c>
      <c r="I227" s="171" t="s">
        <v>4994</v>
      </c>
      <c r="J227" s="171"/>
      <c r="K227" s="171"/>
      <c r="L227" s="171"/>
      <c r="M227" s="171" t="s">
        <v>4844</v>
      </c>
      <c r="N227" s="199">
        <v>0.13841445602423944</v>
      </c>
      <c r="O227" s="200">
        <v>0.12018979254393447</v>
      </c>
    </row>
    <row r="228" spans="1:15" ht="102.75" x14ac:dyDescent="0.25">
      <c r="A228" s="191" t="s">
        <v>5180</v>
      </c>
      <c r="B228" s="191" t="s">
        <v>4881</v>
      </c>
      <c r="C228" s="191" t="s">
        <v>5006</v>
      </c>
      <c r="D228" s="191" t="s">
        <v>4831</v>
      </c>
      <c r="E228" s="191">
        <v>32</v>
      </c>
      <c r="F228" s="191" t="s">
        <v>5181</v>
      </c>
      <c r="G228" s="192" t="s">
        <v>5264</v>
      </c>
      <c r="H228" s="191" t="s">
        <v>4984</v>
      </c>
      <c r="I228" s="191" t="s">
        <v>4847</v>
      </c>
      <c r="J228" s="191"/>
      <c r="K228" s="191"/>
      <c r="L228" s="191" t="s">
        <v>500</v>
      </c>
      <c r="M228" s="191" t="s">
        <v>4844</v>
      </c>
      <c r="N228" s="271">
        <v>136.98660000000001</v>
      </c>
      <c r="O228" s="272">
        <v>67.55206475</v>
      </c>
    </row>
    <row r="229" spans="1:15" ht="39" x14ac:dyDescent="0.25">
      <c r="A229" s="171"/>
      <c r="B229" s="171"/>
      <c r="C229" s="171"/>
      <c r="D229" s="171" t="s">
        <v>4831</v>
      </c>
      <c r="E229" s="171">
        <v>33</v>
      </c>
      <c r="F229" s="171" t="s">
        <v>5183</v>
      </c>
      <c r="G229" s="171" t="s">
        <v>5261</v>
      </c>
      <c r="H229" s="171" t="s">
        <v>52</v>
      </c>
      <c r="I229" s="171" t="s">
        <v>4994</v>
      </c>
      <c r="J229" s="171"/>
      <c r="K229" s="171"/>
      <c r="L229" s="171"/>
      <c r="M229" s="171" t="s">
        <v>4844</v>
      </c>
      <c r="N229" s="199">
        <v>0.18364644092568472</v>
      </c>
      <c r="O229" s="200">
        <v>7.231550124465079E-2</v>
      </c>
    </row>
    <row r="230" spans="1:15" ht="115.5" x14ac:dyDescent="0.25">
      <c r="A230" s="191" t="s">
        <v>5184</v>
      </c>
      <c r="B230" s="191" t="s">
        <v>4881</v>
      </c>
      <c r="C230" s="191" t="s">
        <v>5011</v>
      </c>
      <c r="D230" s="191" t="s">
        <v>4831</v>
      </c>
      <c r="E230" s="191">
        <v>34</v>
      </c>
      <c r="F230" s="191" t="s">
        <v>5185</v>
      </c>
      <c r="G230" s="192" t="s">
        <v>5265</v>
      </c>
      <c r="H230" s="191" t="s">
        <v>4984</v>
      </c>
      <c r="I230" s="191" t="s">
        <v>4847</v>
      </c>
      <c r="J230" s="191"/>
      <c r="K230" s="191"/>
      <c r="L230" s="191" t="s">
        <v>500</v>
      </c>
      <c r="M230" s="191" t="s">
        <v>4844</v>
      </c>
      <c r="N230" s="271">
        <v>27.043999999999997</v>
      </c>
      <c r="O230" s="272">
        <v>20.450519999999997</v>
      </c>
    </row>
    <row r="231" spans="1:15" ht="39" x14ac:dyDescent="0.25">
      <c r="A231" s="171"/>
      <c r="B231" s="171"/>
      <c r="C231" s="171"/>
      <c r="D231" s="171" t="s">
        <v>4831</v>
      </c>
      <c r="E231" s="171">
        <v>35</v>
      </c>
      <c r="F231" s="171" t="s">
        <v>5187</v>
      </c>
      <c r="G231" s="171" t="s">
        <v>5261</v>
      </c>
      <c r="H231" s="171" t="s">
        <v>52</v>
      </c>
      <c r="I231" s="171" t="s">
        <v>4994</v>
      </c>
      <c r="J231" s="171"/>
      <c r="K231" s="171"/>
      <c r="L231" s="171"/>
      <c r="M231" s="171" t="s">
        <v>4844</v>
      </c>
      <c r="N231" s="171">
        <v>3.6255621706022464E-2</v>
      </c>
      <c r="O231" s="200">
        <v>2.1892589219691554E-2</v>
      </c>
    </row>
    <row r="232" spans="1:15" ht="77.25" x14ac:dyDescent="0.25">
      <c r="A232" s="171" t="s">
        <v>5188</v>
      </c>
      <c r="B232" s="171" t="s">
        <v>4829</v>
      </c>
      <c r="C232" s="171" t="s">
        <v>5016</v>
      </c>
      <c r="D232" s="171" t="s">
        <v>4831</v>
      </c>
      <c r="E232" s="171">
        <v>36</v>
      </c>
      <c r="F232" s="171" t="s">
        <v>5189</v>
      </c>
      <c r="G232" s="171" t="s">
        <v>5266</v>
      </c>
      <c r="H232" s="171" t="s">
        <v>4984</v>
      </c>
      <c r="I232" s="171" t="s">
        <v>4847</v>
      </c>
      <c r="J232" s="171"/>
      <c r="K232" s="171"/>
      <c r="L232" s="171" t="s">
        <v>500</v>
      </c>
      <c r="M232" s="171" t="s">
        <v>4844</v>
      </c>
      <c r="N232" s="171">
        <v>267.27749999999997</v>
      </c>
      <c r="O232" s="200">
        <v>200.27545168</v>
      </c>
    </row>
    <row r="233" spans="1:15" ht="39" x14ac:dyDescent="0.25">
      <c r="A233" s="171"/>
      <c r="B233" s="171"/>
      <c r="C233" s="171"/>
      <c r="D233" s="171" t="s">
        <v>4831</v>
      </c>
      <c r="E233" s="171">
        <v>37</v>
      </c>
      <c r="F233" s="171" t="s">
        <v>5191</v>
      </c>
      <c r="G233" s="171" t="s">
        <v>5261</v>
      </c>
      <c r="H233" s="171" t="s">
        <v>52</v>
      </c>
      <c r="I233" s="171" t="s">
        <v>4994</v>
      </c>
      <c r="J233" s="171"/>
      <c r="K233" s="171"/>
      <c r="L233" s="171"/>
      <c r="M233" s="171" t="s">
        <v>4844</v>
      </c>
      <c r="N233" s="171">
        <v>0.3583165186559466</v>
      </c>
      <c r="O233" s="206">
        <v>0.21439788300827681</v>
      </c>
    </row>
    <row r="234" spans="1:15" ht="102.75" x14ac:dyDescent="0.25">
      <c r="A234" s="171" t="s">
        <v>5192</v>
      </c>
      <c r="B234" s="171" t="s">
        <v>4829</v>
      </c>
      <c r="C234" s="171" t="s">
        <v>5021</v>
      </c>
      <c r="D234" s="171" t="s">
        <v>4831</v>
      </c>
      <c r="E234" s="171">
        <v>38</v>
      </c>
      <c r="F234" s="171" t="s">
        <v>5193</v>
      </c>
      <c r="G234" s="171" t="s">
        <v>5267</v>
      </c>
      <c r="H234" s="171" t="s">
        <v>5024</v>
      </c>
      <c r="I234" s="171" t="s">
        <v>4838</v>
      </c>
      <c r="J234" s="171"/>
      <c r="K234" s="171"/>
      <c r="L234" s="171"/>
      <c r="M234" s="171" t="s">
        <v>4844</v>
      </c>
      <c r="N234" s="171">
        <v>0.3583165186559466</v>
      </c>
      <c r="O234" s="200">
        <v>0.27196428994034627</v>
      </c>
    </row>
    <row r="235" spans="1:15" ht="64.5" x14ac:dyDescent="0.25">
      <c r="A235" s="269" t="s">
        <v>5195</v>
      </c>
      <c r="B235" s="269" t="s">
        <v>4881</v>
      </c>
      <c r="C235" s="269" t="s">
        <v>5026</v>
      </c>
      <c r="D235" s="269" t="s">
        <v>4831</v>
      </c>
      <c r="E235" s="269">
        <v>39</v>
      </c>
      <c r="F235" s="269" t="s">
        <v>5196</v>
      </c>
      <c r="G235" s="269" t="s">
        <v>5268</v>
      </c>
      <c r="H235" s="269" t="s">
        <v>4984</v>
      </c>
      <c r="I235" s="269" t="s">
        <v>4847</v>
      </c>
      <c r="J235" s="269"/>
      <c r="K235" s="269"/>
      <c r="L235" s="269" t="s">
        <v>500</v>
      </c>
      <c r="M235" s="269" t="s">
        <v>4844</v>
      </c>
      <c r="N235" s="269"/>
      <c r="O235" s="270">
        <v>0</v>
      </c>
    </row>
    <row r="236" spans="1:15" ht="39" x14ac:dyDescent="0.25">
      <c r="A236" s="269"/>
      <c r="B236" s="269"/>
      <c r="C236" s="269"/>
      <c r="D236" s="269" t="s">
        <v>4831</v>
      </c>
      <c r="E236" s="269">
        <v>40</v>
      </c>
      <c r="F236" s="269" t="s">
        <v>5198</v>
      </c>
      <c r="G236" s="269" t="s">
        <v>5261</v>
      </c>
      <c r="H236" s="269" t="s">
        <v>52</v>
      </c>
      <c r="I236" s="269" t="s">
        <v>4994</v>
      </c>
      <c r="J236" s="269"/>
      <c r="K236" s="269"/>
      <c r="L236" s="269"/>
      <c r="M236" s="269" t="s">
        <v>4844</v>
      </c>
      <c r="N236" s="269"/>
      <c r="O236" s="270"/>
    </row>
    <row r="237" spans="1:15" ht="128.25" x14ac:dyDescent="0.25">
      <c r="A237" s="171" t="s">
        <v>5199</v>
      </c>
      <c r="B237" s="171" t="s">
        <v>4881</v>
      </c>
      <c r="C237" s="171" t="s">
        <v>5031</v>
      </c>
      <c r="D237" s="171" t="s">
        <v>4831</v>
      </c>
      <c r="E237" s="171">
        <v>41</v>
      </c>
      <c r="F237" s="171" t="s">
        <v>5200</v>
      </c>
      <c r="G237" s="171" t="s">
        <v>5269</v>
      </c>
      <c r="H237" s="171" t="s">
        <v>52</v>
      </c>
      <c r="I237" s="171" t="s">
        <v>4847</v>
      </c>
      <c r="J237" s="171"/>
      <c r="K237" s="171"/>
      <c r="L237" s="171"/>
      <c r="M237" s="171" t="s">
        <v>4844</v>
      </c>
      <c r="N237" s="171" t="s">
        <v>5034</v>
      </c>
      <c r="O237" s="171" t="s">
        <v>5034</v>
      </c>
    </row>
    <row r="238" spans="1:15" ht="77.25" x14ac:dyDescent="0.25">
      <c r="A238" s="171" t="s">
        <v>5202</v>
      </c>
      <c r="B238" s="171" t="s">
        <v>4881</v>
      </c>
      <c r="C238" s="171" t="s">
        <v>5036</v>
      </c>
      <c r="D238" s="171" t="s">
        <v>4831</v>
      </c>
      <c r="E238" s="171">
        <v>42</v>
      </c>
      <c r="F238" s="171" t="s">
        <v>5203</v>
      </c>
      <c r="G238" s="171" t="s">
        <v>5270</v>
      </c>
      <c r="H238" s="171" t="s">
        <v>5024</v>
      </c>
      <c r="I238" s="171" t="s">
        <v>4838</v>
      </c>
      <c r="J238" s="171"/>
      <c r="K238" s="171"/>
      <c r="L238" s="171"/>
      <c r="M238" s="171" t="s">
        <v>4844</v>
      </c>
      <c r="N238" s="199">
        <v>6.250155431543992</v>
      </c>
      <c r="O238" s="200">
        <v>7.6095734606399663</v>
      </c>
    </row>
    <row r="239" spans="1:15" ht="39" x14ac:dyDescent="0.25">
      <c r="A239" s="171"/>
      <c r="B239" s="171" t="s">
        <v>4829</v>
      </c>
      <c r="C239" s="171" t="s">
        <v>5040</v>
      </c>
      <c r="D239" s="171" t="s">
        <v>4831</v>
      </c>
      <c r="E239" s="171">
        <v>43</v>
      </c>
      <c r="F239" s="171" t="s">
        <v>5205</v>
      </c>
      <c r="G239" s="171" t="s">
        <v>5206</v>
      </c>
      <c r="H239" s="171" t="s">
        <v>5024</v>
      </c>
      <c r="I239" s="171" t="s">
        <v>4838</v>
      </c>
      <c r="J239" s="171"/>
      <c r="K239" s="171"/>
      <c r="L239" s="171"/>
      <c r="M239" s="171" t="s">
        <v>4844</v>
      </c>
      <c r="N239" s="171"/>
      <c r="O239" s="200">
        <v>6.3648144745068223</v>
      </c>
    </row>
    <row r="240" spans="1:15" ht="39" x14ac:dyDescent="0.25">
      <c r="A240" s="197" t="s">
        <v>5207</v>
      </c>
      <c r="B240" s="197" t="s">
        <v>4881</v>
      </c>
      <c r="C240" s="197" t="s">
        <v>5053</v>
      </c>
      <c r="D240" s="197" t="s">
        <v>4831</v>
      </c>
      <c r="E240" s="197">
        <v>52</v>
      </c>
      <c r="F240" s="197" t="s">
        <v>5208</v>
      </c>
      <c r="G240" s="197" t="s">
        <v>5055</v>
      </c>
      <c r="H240" s="197" t="s">
        <v>5056</v>
      </c>
      <c r="I240" s="197" t="s">
        <v>4847</v>
      </c>
      <c r="J240" s="197"/>
      <c r="K240" s="197"/>
      <c r="L240" s="197" t="s">
        <v>500</v>
      </c>
      <c r="M240" s="197" t="s">
        <v>4844</v>
      </c>
      <c r="N240" s="197">
        <v>29</v>
      </c>
      <c r="O240" s="198">
        <v>22</v>
      </c>
    </row>
    <row r="241" spans="1:15" x14ac:dyDescent="0.25">
      <c r="A241" s="171"/>
      <c r="B241" s="171"/>
      <c r="C241" s="171"/>
      <c r="D241" s="171" t="s">
        <v>4831</v>
      </c>
      <c r="E241" s="171">
        <v>53</v>
      </c>
      <c r="F241" s="171" t="s">
        <v>5209</v>
      </c>
      <c r="G241" s="171"/>
      <c r="H241" s="171" t="s">
        <v>52</v>
      </c>
      <c r="I241" s="171"/>
      <c r="J241" s="171"/>
      <c r="K241" s="171"/>
      <c r="L241" s="171"/>
      <c r="M241" s="171" t="s">
        <v>4844</v>
      </c>
      <c r="N241" s="171">
        <v>3.4813925570228089E-2</v>
      </c>
      <c r="O241" s="198"/>
    </row>
    <row r="242" spans="1:15" ht="26.25" x14ac:dyDescent="0.25">
      <c r="A242" s="197"/>
      <c r="B242" s="197"/>
      <c r="C242" s="197"/>
      <c r="D242" s="197" t="s">
        <v>4831</v>
      </c>
      <c r="E242" s="197">
        <v>54</v>
      </c>
      <c r="F242" s="197" t="s">
        <v>5210</v>
      </c>
      <c r="G242" s="197" t="s">
        <v>5059</v>
      </c>
      <c r="H242" s="197" t="s">
        <v>5056</v>
      </c>
      <c r="I242" s="197"/>
      <c r="J242" s="197"/>
      <c r="K242" s="197"/>
      <c r="L242" s="197" t="s">
        <v>500</v>
      </c>
      <c r="M242" s="197" t="s">
        <v>4844</v>
      </c>
      <c r="N242" s="197">
        <v>156</v>
      </c>
      <c r="O242" s="198">
        <v>326</v>
      </c>
    </row>
    <row r="243" spans="1:15" x14ac:dyDescent="0.25">
      <c r="A243" s="171"/>
      <c r="B243" s="171"/>
      <c r="C243" s="171"/>
      <c r="D243" s="171" t="s">
        <v>4831</v>
      </c>
      <c r="E243" s="171">
        <v>55</v>
      </c>
      <c r="F243" s="171" t="s">
        <v>5211</v>
      </c>
      <c r="G243" s="171"/>
      <c r="H243" s="171" t="s">
        <v>52</v>
      </c>
      <c r="I243" s="171"/>
      <c r="J243" s="171"/>
      <c r="K243" s="171"/>
      <c r="L243" s="171"/>
      <c r="M243" s="171" t="s">
        <v>4844</v>
      </c>
      <c r="N243" s="171">
        <v>0.1872749099639856</v>
      </c>
      <c r="O243" s="198"/>
    </row>
    <row r="244" spans="1:15" ht="26.25" x14ac:dyDescent="0.25">
      <c r="A244" s="197"/>
      <c r="B244" s="197"/>
      <c r="C244" s="197"/>
      <c r="D244" s="197" t="s">
        <v>4831</v>
      </c>
      <c r="E244" s="197">
        <v>56</v>
      </c>
      <c r="F244" s="197" t="s">
        <v>5212</v>
      </c>
      <c r="G244" s="197" t="s">
        <v>5062</v>
      </c>
      <c r="H244" s="197" t="s">
        <v>5056</v>
      </c>
      <c r="I244" s="197"/>
      <c r="J244" s="197"/>
      <c r="K244" s="197"/>
      <c r="L244" s="197" t="s">
        <v>500</v>
      </c>
      <c r="M244" s="197" t="s">
        <v>4844</v>
      </c>
      <c r="N244" s="197">
        <v>32</v>
      </c>
      <c r="O244" s="198">
        <v>36</v>
      </c>
    </row>
    <row r="245" spans="1:15" x14ac:dyDescent="0.25">
      <c r="A245" s="171"/>
      <c r="B245" s="171"/>
      <c r="C245" s="171"/>
      <c r="D245" s="171" t="s">
        <v>4831</v>
      </c>
      <c r="E245" s="171">
        <v>57</v>
      </c>
      <c r="F245" s="171" t="s">
        <v>5213</v>
      </c>
      <c r="G245" s="171"/>
      <c r="H245" s="171" t="s">
        <v>52</v>
      </c>
      <c r="I245" s="171"/>
      <c r="J245" s="171"/>
      <c r="K245" s="171"/>
      <c r="L245" s="171"/>
      <c r="M245" s="171" t="s">
        <v>4844</v>
      </c>
      <c r="N245" s="171">
        <v>3.8415366146458581E-2</v>
      </c>
      <c r="O245" s="198"/>
    </row>
    <row r="246" spans="1:15" ht="26.25" x14ac:dyDescent="0.25">
      <c r="A246" s="197"/>
      <c r="B246" s="197"/>
      <c r="C246" s="197"/>
      <c r="D246" s="197" t="s">
        <v>4831</v>
      </c>
      <c r="E246" s="197">
        <v>58</v>
      </c>
      <c r="F246" s="197" t="s">
        <v>5214</v>
      </c>
      <c r="G246" s="197" t="s">
        <v>5065</v>
      </c>
      <c r="H246" s="197" t="s">
        <v>5056</v>
      </c>
      <c r="I246" s="197"/>
      <c r="J246" s="197"/>
      <c r="K246" s="197"/>
      <c r="L246" s="197" t="s">
        <v>500</v>
      </c>
      <c r="M246" s="197" t="s">
        <v>4844</v>
      </c>
      <c r="N246" s="197">
        <v>1</v>
      </c>
      <c r="O246" s="198">
        <v>1</v>
      </c>
    </row>
    <row r="247" spans="1:15" x14ac:dyDescent="0.25">
      <c r="A247" s="171"/>
      <c r="B247" s="171"/>
      <c r="C247" s="171"/>
      <c r="D247" s="171" t="s">
        <v>4831</v>
      </c>
      <c r="E247" s="171">
        <v>59</v>
      </c>
      <c r="F247" s="171" t="s">
        <v>5215</v>
      </c>
      <c r="G247" s="171"/>
      <c r="H247" s="171" t="s">
        <v>52</v>
      </c>
      <c r="I247" s="171"/>
      <c r="J247" s="171"/>
      <c r="K247" s="171"/>
      <c r="L247" s="171"/>
      <c r="M247" s="171" t="s">
        <v>4844</v>
      </c>
      <c r="N247" s="171">
        <v>1.2004801920768306E-3</v>
      </c>
      <c r="O247" s="198"/>
    </row>
    <row r="248" spans="1:15" ht="39" x14ac:dyDescent="0.25">
      <c r="A248" s="197"/>
      <c r="B248" s="197"/>
      <c r="C248" s="197"/>
      <c r="D248" s="197" t="s">
        <v>4831</v>
      </c>
      <c r="E248" s="197">
        <v>60</v>
      </c>
      <c r="F248" s="197" t="s">
        <v>5216</v>
      </c>
      <c r="G248" s="197" t="s">
        <v>5068</v>
      </c>
      <c r="H248" s="197" t="s">
        <v>5056</v>
      </c>
      <c r="I248" s="197"/>
      <c r="J248" s="197"/>
      <c r="K248" s="197"/>
      <c r="L248" s="197" t="s">
        <v>500</v>
      </c>
      <c r="M248" s="197" t="s">
        <v>4844</v>
      </c>
      <c r="N248" s="197">
        <v>1</v>
      </c>
      <c r="O248" s="198">
        <v>1</v>
      </c>
    </row>
    <row r="249" spans="1:15" x14ac:dyDescent="0.25">
      <c r="A249" s="171"/>
      <c r="B249" s="171"/>
      <c r="C249" s="171"/>
      <c r="D249" s="171" t="s">
        <v>4831</v>
      </c>
      <c r="E249" s="171">
        <v>61</v>
      </c>
      <c r="F249" s="171" t="s">
        <v>5217</v>
      </c>
      <c r="G249" s="171"/>
      <c r="H249" s="171" t="s">
        <v>52</v>
      </c>
      <c r="I249" s="171"/>
      <c r="J249" s="171"/>
      <c r="K249" s="171"/>
      <c r="L249" s="171"/>
      <c r="M249" s="171" t="s">
        <v>4844</v>
      </c>
      <c r="N249" s="171">
        <v>1.2004801920768306E-3</v>
      </c>
      <c r="O249" s="198"/>
    </row>
    <row r="250" spans="1:15" ht="26.25" x14ac:dyDescent="0.25">
      <c r="A250" s="197"/>
      <c r="B250" s="197"/>
      <c r="C250" s="197"/>
      <c r="D250" s="197" t="s">
        <v>4831</v>
      </c>
      <c r="E250" s="197">
        <v>62</v>
      </c>
      <c r="F250" s="197" t="s">
        <v>5218</v>
      </c>
      <c r="G250" s="197" t="s">
        <v>5071</v>
      </c>
      <c r="H250" s="197" t="s">
        <v>5056</v>
      </c>
      <c r="I250" s="197"/>
      <c r="J250" s="197"/>
      <c r="K250" s="197"/>
      <c r="L250" s="197" t="s">
        <v>500</v>
      </c>
      <c r="M250" s="197" t="s">
        <v>4844</v>
      </c>
      <c r="N250" s="197">
        <v>16</v>
      </c>
      <c r="O250" s="198">
        <v>38</v>
      </c>
    </row>
    <row r="251" spans="1:15" x14ac:dyDescent="0.25">
      <c r="A251" s="171"/>
      <c r="B251" s="171"/>
      <c r="C251" s="171"/>
      <c r="D251" s="171" t="s">
        <v>4831</v>
      </c>
      <c r="E251" s="171">
        <v>63</v>
      </c>
      <c r="F251" s="171" t="s">
        <v>5219</v>
      </c>
      <c r="G251" s="171"/>
      <c r="H251" s="171" t="s">
        <v>52</v>
      </c>
      <c r="I251" s="171"/>
      <c r="J251" s="171"/>
      <c r="K251" s="171"/>
      <c r="L251" s="171"/>
      <c r="M251" s="171" t="s">
        <v>4844</v>
      </c>
      <c r="N251" s="171">
        <v>1.920768307322929E-2</v>
      </c>
      <c r="O251" s="198"/>
    </row>
    <row r="252" spans="1:15" ht="26.25" x14ac:dyDescent="0.25">
      <c r="A252" s="197"/>
      <c r="B252" s="197"/>
      <c r="C252" s="197"/>
      <c r="D252" s="197" t="s">
        <v>4831</v>
      </c>
      <c r="E252" s="197">
        <v>64</v>
      </c>
      <c r="F252" s="197" t="s">
        <v>5220</v>
      </c>
      <c r="G252" s="197" t="s">
        <v>5074</v>
      </c>
      <c r="H252" s="197" t="s">
        <v>5056</v>
      </c>
      <c r="I252" s="197"/>
      <c r="J252" s="197"/>
      <c r="K252" s="197"/>
      <c r="L252" s="197" t="s">
        <v>500</v>
      </c>
      <c r="M252" s="197" t="s">
        <v>4844</v>
      </c>
      <c r="N252" s="197">
        <v>41</v>
      </c>
      <c r="O252" s="198">
        <v>150</v>
      </c>
    </row>
    <row r="253" spans="1:15" x14ac:dyDescent="0.25">
      <c r="A253" s="171"/>
      <c r="B253" s="171"/>
      <c r="C253" s="171"/>
      <c r="D253" s="171" t="s">
        <v>4831</v>
      </c>
      <c r="E253" s="171">
        <v>65</v>
      </c>
      <c r="F253" s="171" t="s">
        <v>5221</v>
      </c>
      <c r="G253" s="171"/>
      <c r="H253" s="171" t="s">
        <v>52</v>
      </c>
      <c r="I253" s="171"/>
      <c r="J253" s="171"/>
      <c r="K253" s="171"/>
      <c r="L253" s="171"/>
      <c r="M253" s="171" t="s">
        <v>4844</v>
      </c>
      <c r="N253" s="171">
        <v>4.9219687875150062E-2</v>
      </c>
      <c r="O253" s="198"/>
    </row>
    <row r="254" spans="1:15" ht="51.75" x14ac:dyDescent="0.25">
      <c r="A254" s="197"/>
      <c r="B254" s="197"/>
      <c r="C254" s="197"/>
      <c r="D254" s="197" t="s">
        <v>4831</v>
      </c>
      <c r="E254" s="197">
        <v>87</v>
      </c>
      <c r="F254" s="197" t="s">
        <v>5222</v>
      </c>
      <c r="G254" s="197" t="s">
        <v>24</v>
      </c>
      <c r="H254" s="197" t="s">
        <v>5056</v>
      </c>
      <c r="I254" s="197"/>
      <c r="J254" s="197"/>
      <c r="K254" s="197"/>
      <c r="L254" s="197"/>
      <c r="M254" s="197" t="s">
        <v>4844</v>
      </c>
      <c r="N254" s="197">
        <v>22</v>
      </c>
      <c r="O254" s="198">
        <v>55</v>
      </c>
    </row>
    <row r="255" spans="1:15" x14ac:dyDescent="0.25">
      <c r="A255" s="171"/>
      <c r="B255" s="171"/>
      <c r="C255" s="171"/>
      <c r="D255" s="171" t="s">
        <v>4831</v>
      </c>
      <c r="E255" s="171">
        <v>88</v>
      </c>
      <c r="F255" s="171" t="s">
        <v>5223</v>
      </c>
      <c r="G255" s="171"/>
      <c r="H255" s="171" t="s">
        <v>52</v>
      </c>
      <c r="I255" s="171"/>
      <c r="J255" s="171"/>
      <c r="K255" s="171"/>
      <c r="L255" s="171"/>
      <c r="M255" s="171" t="s">
        <v>4844</v>
      </c>
      <c r="N255" s="171">
        <v>2.6410564225690276E-2</v>
      </c>
      <c r="O255" s="198"/>
    </row>
    <row r="256" spans="1:15" ht="26.25" x14ac:dyDescent="0.25">
      <c r="A256" s="197"/>
      <c r="B256" s="197"/>
      <c r="C256" s="197"/>
      <c r="D256" s="197" t="s">
        <v>4831</v>
      </c>
      <c r="E256" s="197">
        <v>66</v>
      </c>
      <c r="F256" s="197" t="s">
        <v>5224</v>
      </c>
      <c r="G256" s="197" t="s">
        <v>5079</v>
      </c>
      <c r="H256" s="197" t="s">
        <v>5056</v>
      </c>
      <c r="I256" s="197"/>
      <c r="J256" s="197"/>
      <c r="K256" s="197"/>
      <c r="L256" s="197" t="s">
        <v>500</v>
      </c>
      <c r="M256" s="197" t="s">
        <v>4844</v>
      </c>
      <c r="N256" s="197">
        <v>57</v>
      </c>
      <c r="O256" s="198">
        <v>135</v>
      </c>
    </row>
    <row r="257" spans="1:15" x14ac:dyDescent="0.25">
      <c r="A257" s="171"/>
      <c r="B257" s="171"/>
      <c r="C257" s="171"/>
      <c r="D257" s="171" t="s">
        <v>4831</v>
      </c>
      <c r="E257" s="171">
        <v>67</v>
      </c>
      <c r="F257" s="171" t="s">
        <v>5225</v>
      </c>
      <c r="G257" s="171"/>
      <c r="H257" s="171" t="s">
        <v>52</v>
      </c>
      <c r="I257" s="171"/>
      <c r="J257" s="171"/>
      <c r="K257" s="171"/>
      <c r="L257" s="171"/>
      <c r="M257" s="171" t="s">
        <v>4844</v>
      </c>
      <c r="N257" s="171">
        <v>6.8427370948379349E-2</v>
      </c>
      <c r="O257" s="198"/>
    </row>
    <row r="258" spans="1:15" ht="26.25" x14ac:dyDescent="0.25">
      <c r="A258" s="197"/>
      <c r="B258" s="197"/>
      <c r="C258" s="197"/>
      <c r="D258" s="197" t="s">
        <v>4831</v>
      </c>
      <c r="E258" s="197">
        <v>89</v>
      </c>
      <c r="F258" s="197" t="s">
        <v>5226</v>
      </c>
      <c r="G258" s="197" t="s">
        <v>5082</v>
      </c>
      <c r="H258" s="197" t="s">
        <v>5056</v>
      </c>
      <c r="I258" s="197"/>
      <c r="J258" s="197"/>
      <c r="K258" s="197"/>
      <c r="L258" s="197"/>
      <c r="M258" s="197" t="s">
        <v>4844</v>
      </c>
      <c r="N258" s="197">
        <v>73</v>
      </c>
      <c r="O258" s="198">
        <v>281</v>
      </c>
    </row>
    <row r="259" spans="1:15" x14ac:dyDescent="0.25">
      <c r="A259" s="171"/>
      <c r="B259" s="171"/>
      <c r="C259" s="171"/>
      <c r="D259" s="171" t="s">
        <v>4831</v>
      </c>
      <c r="E259" s="171">
        <v>90</v>
      </c>
      <c r="F259" s="171" t="s">
        <v>5227</v>
      </c>
      <c r="G259" s="171"/>
      <c r="H259" s="171" t="s">
        <v>52</v>
      </c>
      <c r="I259" s="171"/>
      <c r="J259" s="171"/>
      <c r="K259" s="171"/>
      <c r="L259" s="171"/>
      <c r="M259" s="171" t="s">
        <v>4844</v>
      </c>
      <c r="N259" s="171">
        <v>8.7635054021608649E-2</v>
      </c>
      <c r="O259" s="198"/>
    </row>
    <row r="260" spans="1:15" ht="26.25" x14ac:dyDescent="0.25">
      <c r="A260" s="197"/>
      <c r="B260" s="197"/>
      <c r="C260" s="197"/>
      <c r="D260" s="197" t="s">
        <v>4831</v>
      </c>
      <c r="E260" s="197">
        <v>68</v>
      </c>
      <c r="F260" s="197" t="s">
        <v>5228</v>
      </c>
      <c r="G260" s="197" t="s">
        <v>5085</v>
      </c>
      <c r="H260" s="197" t="s">
        <v>5056</v>
      </c>
      <c r="I260" s="197"/>
      <c r="J260" s="197"/>
      <c r="K260" s="197"/>
      <c r="L260" s="197" t="s">
        <v>500</v>
      </c>
      <c r="M260" s="197" t="s">
        <v>4844</v>
      </c>
      <c r="N260" s="197">
        <v>120</v>
      </c>
      <c r="O260" s="198">
        <v>278</v>
      </c>
    </row>
    <row r="261" spans="1:15" x14ac:dyDescent="0.25">
      <c r="A261" s="171"/>
      <c r="B261" s="171"/>
      <c r="C261" s="171"/>
      <c r="D261" s="171" t="s">
        <v>4831</v>
      </c>
      <c r="E261" s="171">
        <v>69</v>
      </c>
      <c r="F261" s="171" t="s">
        <v>5229</v>
      </c>
      <c r="G261" s="171"/>
      <c r="H261" s="171" t="s">
        <v>52</v>
      </c>
      <c r="I261" s="171"/>
      <c r="J261" s="171"/>
      <c r="K261" s="171"/>
      <c r="L261" s="171"/>
      <c r="M261" s="171" t="s">
        <v>4844</v>
      </c>
      <c r="N261" s="171">
        <v>0.14405762304921968</v>
      </c>
      <c r="O261" s="198"/>
    </row>
    <row r="262" spans="1:15" ht="51.75" x14ac:dyDescent="0.25">
      <c r="A262" s="197"/>
      <c r="B262" s="197"/>
      <c r="C262" s="197"/>
      <c r="D262" s="197" t="s">
        <v>4831</v>
      </c>
      <c r="E262" s="197">
        <v>70</v>
      </c>
      <c r="F262" s="197" t="s">
        <v>5230</v>
      </c>
      <c r="G262" s="197" t="s">
        <v>5088</v>
      </c>
      <c r="H262" s="197" t="s">
        <v>5056</v>
      </c>
      <c r="I262" s="197"/>
      <c r="J262" s="197"/>
      <c r="K262" s="197"/>
      <c r="L262" s="197" t="s">
        <v>500</v>
      </c>
      <c r="M262" s="197" t="s">
        <v>4844</v>
      </c>
      <c r="N262" s="197">
        <v>155</v>
      </c>
      <c r="O262" s="198">
        <v>162</v>
      </c>
    </row>
    <row r="263" spans="1:15" x14ac:dyDescent="0.25">
      <c r="A263" s="171"/>
      <c r="B263" s="171"/>
      <c r="C263" s="171"/>
      <c r="D263" s="171" t="s">
        <v>4831</v>
      </c>
      <c r="E263" s="171">
        <v>71</v>
      </c>
      <c r="F263" s="171" t="s">
        <v>5231</v>
      </c>
      <c r="G263" s="171"/>
      <c r="H263" s="171" t="s">
        <v>52</v>
      </c>
      <c r="I263" s="171"/>
      <c r="J263" s="171"/>
      <c r="K263" s="171"/>
      <c r="L263" s="171"/>
      <c r="M263" s="171" t="s">
        <v>4844</v>
      </c>
      <c r="N263" s="171">
        <v>0.18607442977190877</v>
      </c>
      <c r="O263" s="198"/>
    </row>
    <row r="264" spans="1:15" ht="26.25" x14ac:dyDescent="0.25">
      <c r="A264" s="197"/>
      <c r="B264" s="197"/>
      <c r="C264" s="197"/>
      <c r="D264" s="197" t="s">
        <v>4831</v>
      </c>
      <c r="E264" s="197">
        <v>72</v>
      </c>
      <c r="F264" s="197" t="s">
        <v>5232</v>
      </c>
      <c r="G264" s="197" t="s">
        <v>5091</v>
      </c>
      <c r="H264" s="197" t="s">
        <v>5056</v>
      </c>
      <c r="I264" s="197"/>
      <c r="J264" s="197"/>
      <c r="K264" s="197"/>
      <c r="L264" s="197" t="s">
        <v>500</v>
      </c>
      <c r="M264" s="197" t="s">
        <v>4844</v>
      </c>
      <c r="N264" s="197">
        <v>22</v>
      </c>
      <c r="O264" s="198">
        <v>30</v>
      </c>
    </row>
    <row r="265" spans="1:15" x14ac:dyDescent="0.25">
      <c r="A265" s="171"/>
      <c r="B265" s="171"/>
      <c r="C265" s="171"/>
      <c r="D265" s="171" t="s">
        <v>4831</v>
      </c>
      <c r="E265" s="171">
        <v>73</v>
      </c>
      <c r="F265" s="171" t="s">
        <v>5233</v>
      </c>
      <c r="G265" s="171"/>
      <c r="H265" s="171" t="s">
        <v>52</v>
      </c>
      <c r="I265" s="171"/>
      <c r="J265" s="171"/>
      <c r="K265" s="171"/>
      <c r="L265" s="171"/>
      <c r="M265" s="171" t="s">
        <v>4844</v>
      </c>
      <c r="N265" s="171">
        <v>2.6410564225690276E-2</v>
      </c>
      <c r="O265" s="198"/>
    </row>
    <row r="266" spans="1:15" ht="39" x14ac:dyDescent="0.25">
      <c r="A266" s="197"/>
      <c r="B266" s="197"/>
      <c r="C266" s="197"/>
      <c r="D266" s="197" t="s">
        <v>4831</v>
      </c>
      <c r="E266" s="197">
        <v>74</v>
      </c>
      <c r="F266" s="197" t="s">
        <v>5234</v>
      </c>
      <c r="G266" s="197" t="s">
        <v>5094</v>
      </c>
      <c r="H266" s="197" t="s">
        <v>5056</v>
      </c>
      <c r="I266" s="197"/>
      <c r="J266" s="197"/>
      <c r="K266" s="197"/>
      <c r="L266" s="197" t="s">
        <v>500</v>
      </c>
      <c r="M266" s="197" t="s">
        <v>4844</v>
      </c>
      <c r="N266" s="197">
        <v>1</v>
      </c>
      <c r="O266" s="198">
        <v>6</v>
      </c>
    </row>
    <row r="267" spans="1:15" x14ac:dyDescent="0.25">
      <c r="A267" s="171"/>
      <c r="B267" s="171"/>
      <c r="C267" s="171"/>
      <c r="D267" s="171" t="s">
        <v>4831</v>
      </c>
      <c r="E267" s="171">
        <v>75</v>
      </c>
      <c r="F267" s="171" t="s">
        <v>5235</v>
      </c>
      <c r="G267" s="171"/>
      <c r="H267" s="171" t="s">
        <v>52</v>
      </c>
      <c r="I267" s="171"/>
      <c r="J267" s="171"/>
      <c r="K267" s="171"/>
      <c r="L267" s="171"/>
      <c r="M267" s="171" t="s">
        <v>4844</v>
      </c>
      <c r="N267" s="171">
        <v>1.2004801920768306E-3</v>
      </c>
      <c r="O267" s="198"/>
    </row>
    <row r="268" spans="1:15" ht="26.25" x14ac:dyDescent="0.25">
      <c r="A268" s="197"/>
      <c r="B268" s="197"/>
      <c r="C268" s="197"/>
      <c r="D268" s="197" t="s">
        <v>4831</v>
      </c>
      <c r="E268" s="197">
        <v>76</v>
      </c>
      <c r="F268" s="197" t="s">
        <v>5236</v>
      </c>
      <c r="G268" s="197" t="s">
        <v>5097</v>
      </c>
      <c r="H268" s="197" t="s">
        <v>5056</v>
      </c>
      <c r="I268" s="197"/>
      <c r="J268" s="197"/>
      <c r="K268" s="197"/>
      <c r="L268" s="197" t="s">
        <v>500</v>
      </c>
      <c r="M268" s="197" t="s">
        <v>4844</v>
      </c>
      <c r="N268" s="197">
        <v>15</v>
      </c>
      <c r="O268" s="198">
        <v>41</v>
      </c>
    </row>
    <row r="269" spans="1:15" x14ac:dyDescent="0.25">
      <c r="A269" s="171"/>
      <c r="B269" s="171"/>
      <c r="C269" s="171"/>
      <c r="D269" s="171" t="s">
        <v>4831</v>
      </c>
      <c r="E269" s="171">
        <v>77</v>
      </c>
      <c r="F269" s="171" t="s">
        <v>5237</v>
      </c>
      <c r="G269" s="171"/>
      <c r="H269" s="171" t="s">
        <v>52</v>
      </c>
      <c r="I269" s="171"/>
      <c r="J269" s="171"/>
      <c r="K269" s="171"/>
      <c r="L269" s="171"/>
      <c r="M269" s="171" t="s">
        <v>4844</v>
      </c>
      <c r="N269" s="171">
        <v>1.800720288115246E-2</v>
      </c>
      <c r="O269" s="198"/>
    </row>
    <row r="270" spans="1:15" ht="77.25" x14ac:dyDescent="0.25">
      <c r="A270" s="197"/>
      <c r="B270" s="197"/>
      <c r="C270" s="197"/>
      <c r="D270" s="197" t="s">
        <v>4831</v>
      </c>
      <c r="E270" s="197">
        <v>78</v>
      </c>
      <c r="F270" s="197" t="s">
        <v>5238</v>
      </c>
      <c r="G270" s="197" t="s">
        <v>5100</v>
      </c>
      <c r="H270" s="197" t="s">
        <v>5056</v>
      </c>
      <c r="I270" s="197"/>
      <c r="J270" s="197"/>
      <c r="K270" s="197"/>
      <c r="L270" s="197" t="s">
        <v>500</v>
      </c>
      <c r="M270" s="197" t="s">
        <v>4844</v>
      </c>
      <c r="N270" s="197">
        <v>36</v>
      </c>
      <c r="O270" s="198">
        <v>31</v>
      </c>
    </row>
    <row r="271" spans="1:15" x14ac:dyDescent="0.25">
      <c r="A271" s="171"/>
      <c r="B271" s="171"/>
      <c r="C271" s="171"/>
      <c r="D271" s="171" t="s">
        <v>4831</v>
      </c>
      <c r="E271" s="171">
        <v>79</v>
      </c>
      <c r="F271" s="171" t="s">
        <v>5239</v>
      </c>
      <c r="G271" s="171"/>
      <c r="H271" s="171" t="s">
        <v>52</v>
      </c>
      <c r="I271" s="171"/>
      <c r="J271" s="171"/>
      <c r="K271" s="171"/>
      <c r="L271" s="171"/>
      <c r="M271" s="171" t="s">
        <v>4844</v>
      </c>
      <c r="N271" s="171">
        <v>4.3217286914765909E-2</v>
      </c>
      <c r="O271" s="198"/>
    </row>
    <row r="272" spans="1:15" ht="77.25" x14ac:dyDescent="0.25">
      <c r="A272" s="197"/>
      <c r="B272" s="197"/>
      <c r="C272" s="197"/>
      <c r="D272" s="197" t="s">
        <v>4831</v>
      </c>
      <c r="E272" s="197">
        <v>80</v>
      </c>
      <c r="F272" s="197" t="s">
        <v>5240</v>
      </c>
      <c r="G272" s="197" t="s">
        <v>5103</v>
      </c>
      <c r="H272" s="197" t="s">
        <v>5056</v>
      </c>
      <c r="I272" s="197"/>
      <c r="J272" s="197"/>
      <c r="K272" s="197"/>
      <c r="L272" s="197" t="s">
        <v>500</v>
      </c>
      <c r="M272" s="197" t="s">
        <v>4844</v>
      </c>
      <c r="N272" s="197">
        <v>0</v>
      </c>
      <c r="O272" s="198">
        <v>0</v>
      </c>
    </row>
    <row r="273" spans="1:15" x14ac:dyDescent="0.25">
      <c r="A273" s="171"/>
      <c r="B273" s="171"/>
      <c r="C273" s="171"/>
      <c r="D273" s="171" t="s">
        <v>4831</v>
      </c>
      <c r="E273" s="171">
        <v>81</v>
      </c>
      <c r="F273" s="171" t="s">
        <v>5241</v>
      </c>
      <c r="G273" s="171"/>
      <c r="H273" s="171" t="s">
        <v>52</v>
      </c>
      <c r="I273" s="171"/>
      <c r="J273" s="171"/>
      <c r="K273" s="171"/>
      <c r="L273" s="171"/>
      <c r="M273" s="171" t="s">
        <v>4844</v>
      </c>
      <c r="N273" s="171">
        <v>0</v>
      </c>
      <c r="O273" s="198"/>
    </row>
    <row r="274" spans="1:15" ht="39" x14ac:dyDescent="0.25">
      <c r="A274" s="197"/>
      <c r="B274" s="197"/>
      <c r="C274" s="197"/>
      <c r="D274" s="197" t="s">
        <v>4831</v>
      </c>
      <c r="E274" s="197">
        <v>82</v>
      </c>
      <c r="F274" s="197" t="s">
        <v>5242</v>
      </c>
      <c r="G274" s="197" t="s">
        <v>5106</v>
      </c>
      <c r="H274" s="197" t="s">
        <v>5056</v>
      </c>
      <c r="I274" s="197"/>
      <c r="J274" s="197"/>
      <c r="K274" s="197"/>
      <c r="L274" s="197" t="s">
        <v>500</v>
      </c>
      <c r="M274" s="197" t="s">
        <v>4844</v>
      </c>
      <c r="N274" s="197">
        <v>11</v>
      </c>
      <c r="O274" s="198">
        <v>9</v>
      </c>
    </row>
    <row r="275" spans="1:15" x14ac:dyDescent="0.25">
      <c r="A275" s="171"/>
      <c r="B275" s="171"/>
      <c r="C275" s="171"/>
      <c r="D275" s="171" t="s">
        <v>4831</v>
      </c>
      <c r="E275" s="171">
        <v>83</v>
      </c>
      <c r="F275" s="171" t="s">
        <v>5243</v>
      </c>
      <c r="G275" s="171"/>
      <c r="H275" s="171" t="s">
        <v>52</v>
      </c>
      <c r="I275" s="171"/>
      <c r="J275" s="171"/>
      <c r="K275" s="171"/>
      <c r="L275" s="171"/>
      <c r="M275" s="171" t="s">
        <v>4844</v>
      </c>
      <c r="N275" s="171">
        <v>1.3205282112845138E-2</v>
      </c>
      <c r="O275" s="198"/>
    </row>
    <row r="276" spans="1:15" ht="64.5" x14ac:dyDescent="0.25">
      <c r="A276" s="197"/>
      <c r="B276" s="197"/>
      <c r="C276" s="197"/>
      <c r="D276" s="197" t="s">
        <v>4831</v>
      </c>
      <c r="E276" s="197">
        <v>91</v>
      </c>
      <c r="F276" s="197" t="s">
        <v>5244</v>
      </c>
      <c r="G276" s="197" t="s">
        <v>38</v>
      </c>
      <c r="H276" s="197" t="s">
        <v>5056</v>
      </c>
      <c r="I276" s="197"/>
      <c r="J276" s="197"/>
      <c r="K276" s="197"/>
      <c r="L276" s="197"/>
      <c r="M276" s="197" t="s">
        <v>4844</v>
      </c>
      <c r="N276" s="197">
        <v>21</v>
      </c>
      <c r="O276" s="198">
        <v>34</v>
      </c>
    </row>
    <row r="277" spans="1:15" x14ac:dyDescent="0.25">
      <c r="A277" s="171"/>
      <c r="B277" s="171"/>
      <c r="C277" s="171"/>
      <c r="D277" s="171" t="s">
        <v>4831</v>
      </c>
      <c r="E277" s="171">
        <v>92</v>
      </c>
      <c r="F277" s="171" t="s">
        <v>5245</v>
      </c>
      <c r="G277" s="171"/>
      <c r="H277" s="171" t="s">
        <v>52</v>
      </c>
      <c r="I277" s="171"/>
      <c r="J277" s="171"/>
      <c r="K277" s="171"/>
      <c r="L277" s="171"/>
      <c r="M277" s="171" t="s">
        <v>4844</v>
      </c>
      <c r="N277" s="171">
        <v>2.5210084033613446E-2</v>
      </c>
      <c r="O277" s="198"/>
    </row>
    <row r="278" spans="1:15" ht="39" x14ac:dyDescent="0.25">
      <c r="A278" s="197"/>
      <c r="B278" s="197"/>
      <c r="C278" s="197"/>
      <c r="D278" s="197" t="s">
        <v>4831</v>
      </c>
      <c r="E278" s="197">
        <v>84</v>
      </c>
      <c r="F278" s="197" t="s">
        <v>5246</v>
      </c>
      <c r="G278" s="197" t="s">
        <v>5111</v>
      </c>
      <c r="H278" s="197" t="s">
        <v>5056</v>
      </c>
      <c r="I278" s="197"/>
      <c r="J278" s="197"/>
      <c r="K278" s="197"/>
      <c r="L278" s="197" t="s">
        <v>500</v>
      </c>
      <c r="M278" s="197" t="s">
        <v>4844</v>
      </c>
      <c r="N278" s="197">
        <v>24</v>
      </c>
      <c r="O278" s="198">
        <v>72</v>
      </c>
    </row>
    <row r="279" spans="1:15" x14ac:dyDescent="0.25">
      <c r="A279" s="171"/>
      <c r="B279" s="171"/>
      <c r="C279" s="171"/>
      <c r="D279" s="171" t="s">
        <v>4831</v>
      </c>
      <c r="E279" s="171">
        <v>85</v>
      </c>
      <c r="F279" s="171" t="s">
        <v>5247</v>
      </c>
      <c r="G279" s="171"/>
      <c r="H279" s="171" t="s">
        <v>52</v>
      </c>
      <c r="I279" s="171"/>
      <c r="J279" s="171"/>
      <c r="K279" s="171"/>
      <c r="L279" s="171"/>
      <c r="M279" s="171" t="s">
        <v>4844</v>
      </c>
      <c r="N279" s="171">
        <v>2.8811524609843937E-2</v>
      </c>
      <c r="O279" s="172"/>
    </row>
    <row r="280" spans="1:15" ht="64.5" x14ac:dyDescent="0.25">
      <c r="A280" s="273" t="s">
        <v>5248</v>
      </c>
      <c r="B280" s="273" t="s">
        <v>4881</v>
      </c>
      <c r="C280" s="273" t="s">
        <v>5114</v>
      </c>
      <c r="D280" s="273" t="s">
        <v>4831</v>
      </c>
      <c r="E280" s="273">
        <v>86</v>
      </c>
      <c r="F280" s="273" t="s">
        <v>5249</v>
      </c>
      <c r="G280" s="273" t="s">
        <v>5271</v>
      </c>
      <c r="H280" s="273" t="s">
        <v>5056</v>
      </c>
      <c r="I280" s="273" t="s">
        <v>4994</v>
      </c>
      <c r="J280" s="273"/>
      <c r="K280" s="273"/>
      <c r="L280" s="273" t="s">
        <v>500</v>
      </c>
      <c r="M280" s="273" t="s">
        <v>4844</v>
      </c>
      <c r="N280" s="273">
        <v>833</v>
      </c>
      <c r="O280" s="274">
        <v>1708</v>
      </c>
    </row>
    <row r="281" spans="1:15" ht="217.5" x14ac:dyDescent="0.25">
      <c r="A281" s="171" t="s">
        <v>5251</v>
      </c>
      <c r="B281" s="171" t="s">
        <v>4829</v>
      </c>
      <c r="C281" s="171" t="s">
        <v>5118</v>
      </c>
      <c r="D281" s="171" t="s">
        <v>4831</v>
      </c>
      <c r="E281" s="171">
        <v>87</v>
      </c>
      <c r="F281" s="171" t="s">
        <v>5252</v>
      </c>
      <c r="G281" s="171" t="s">
        <v>5272</v>
      </c>
      <c r="H281" s="171" t="s">
        <v>4984</v>
      </c>
      <c r="I281" s="171" t="s">
        <v>5121</v>
      </c>
      <c r="J281" s="171"/>
      <c r="K281" s="171"/>
      <c r="L281" s="171"/>
      <c r="M281" s="171" t="s">
        <v>4844</v>
      </c>
      <c r="N281" s="199">
        <v>0.8954690276110443</v>
      </c>
      <c r="O281" s="200">
        <v>0.54691440309718975</v>
      </c>
    </row>
    <row r="282" spans="1:15" ht="128.25" x14ac:dyDescent="0.25">
      <c r="A282" s="171" t="s">
        <v>5254</v>
      </c>
      <c r="B282" s="171" t="s">
        <v>4829</v>
      </c>
      <c r="C282" s="171" t="s">
        <v>5123</v>
      </c>
      <c r="D282" s="171" t="s">
        <v>4831</v>
      </c>
      <c r="E282" s="171">
        <v>88</v>
      </c>
      <c r="F282" s="171" t="s">
        <v>5255</v>
      </c>
      <c r="G282" s="171" t="s">
        <v>5273</v>
      </c>
      <c r="H282" s="171" t="s">
        <v>4984</v>
      </c>
      <c r="I282" s="171" t="s">
        <v>5126</v>
      </c>
      <c r="J282" s="171"/>
      <c r="K282" s="171"/>
      <c r="L282" s="171"/>
      <c r="M282" s="171" t="s">
        <v>4844</v>
      </c>
      <c r="N282" s="199">
        <v>0.57448265306122448</v>
      </c>
      <c r="O282" s="200">
        <v>0.43114958304449641</v>
      </c>
    </row>
    <row r="283" spans="1:15" ht="128.25" x14ac:dyDescent="0.25">
      <c r="A283" s="171"/>
      <c r="B283" s="171"/>
      <c r="C283" s="171"/>
      <c r="D283" s="171" t="s">
        <v>4831</v>
      </c>
      <c r="E283" s="171">
        <v>89</v>
      </c>
      <c r="F283" s="171" t="s">
        <v>5257</v>
      </c>
      <c r="G283" s="171" t="s">
        <v>5274</v>
      </c>
      <c r="H283" s="171" t="s">
        <v>4984</v>
      </c>
      <c r="I283" s="171" t="s">
        <v>5129</v>
      </c>
      <c r="J283" s="171"/>
      <c r="K283" s="171"/>
      <c r="L283" s="171"/>
      <c r="M283" s="171" t="s">
        <v>4844</v>
      </c>
      <c r="N283" s="199">
        <v>0.32086134453781512</v>
      </c>
      <c r="O283" s="200">
        <v>0.11725729021077283</v>
      </c>
    </row>
    <row r="284" spans="1:15" x14ac:dyDescent="0.25">
      <c r="A284" s="171"/>
      <c r="B284" s="171"/>
      <c r="C284" s="171"/>
      <c r="D284" s="171"/>
      <c r="E284" s="171"/>
      <c r="F284" s="171"/>
      <c r="G284" s="171"/>
      <c r="H284" s="171"/>
      <c r="I284" s="171"/>
      <c r="J284" s="171"/>
      <c r="K284" s="171"/>
      <c r="L284" s="171"/>
      <c r="M284" s="171"/>
      <c r="N284" s="171"/>
      <c r="O284" s="172"/>
    </row>
    <row r="285" spans="1:15" x14ac:dyDescent="0.25">
      <c r="A285" s="171"/>
      <c r="B285" s="171"/>
      <c r="C285" s="171"/>
      <c r="D285" s="171"/>
      <c r="E285" s="171"/>
      <c r="F285" s="171"/>
      <c r="G285" s="171"/>
      <c r="H285" s="171"/>
      <c r="I285" s="171"/>
      <c r="J285" s="171"/>
      <c r="K285" s="171"/>
      <c r="L285" s="171"/>
      <c r="M285" s="171"/>
      <c r="N285" s="171"/>
      <c r="O285" s="172"/>
    </row>
    <row r="286" spans="1:15" x14ac:dyDescent="0.25">
      <c r="A286" s="171"/>
      <c r="B286" s="171"/>
      <c r="C286" s="171"/>
      <c r="D286" s="171"/>
      <c r="E286" s="171"/>
      <c r="F286" s="171"/>
      <c r="G286" s="171"/>
      <c r="H286" s="171"/>
      <c r="I286" s="171"/>
      <c r="J286" s="171"/>
      <c r="K286" s="171"/>
      <c r="L286" s="171"/>
      <c r="M286" s="171"/>
      <c r="N286" s="171"/>
      <c r="O286" s="172"/>
    </row>
    <row r="287" spans="1:15" x14ac:dyDescent="0.25">
      <c r="A287" s="171"/>
      <c r="B287" s="171"/>
      <c r="C287" s="171"/>
      <c r="D287" s="171"/>
      <c r="E287" s="171"/>
      <c r="F287" s="171"/>
      <c r="G287" s="171"/>
      <c r="H287" s="171"/>
      <c r="I287" s="171"/>
      <c r="J287" s="171"/>
      <c r="K287" s="171"/>
      <c r="L287" s="171"/>
      <c r="M287" s="171"/>
      <c r="N287" s="171"/>
      <c r="O287" s="172"/>
    </row>
    <row r="288" spans="1:15" x14ac:dyDescent="0.25">
      <c r="A288" s="171"/>
      <c r="B288" s="171"/>
      <c r="C288" s="171"/>
      <c r="D288" s="171"/>
      <c r="E288" s="171"/>
      <c r="F288" s="171"/>
      <c r="G288" s="171"/>
      <c r="H288" s="171"/>
      <c r="I288" s="171"/>
      <c r="J288" s="171"/>
      <c r="K288" s="171"/>
      <c r="L288" s="171"/>
      <c r="M288" s="171"/>
      <c r="N288" s="171"/>
      <c r="O288" s="172"/>
    </row>
    <row r="289" spans="1:15" x14ac:dyDescent="0.25">
      <c r="A289" s="171"/>
      <c r="B289" s="171"/>
      <c r="C289" s="171"/>
      <c r="D289" s="171"/>
      <c r="E289" s="171"/>
      <c r="F289" s="171"/>
      <c r="G289" s="171"/>
      <c r="H289" s="171"/>
      <c r="I289" s="171"/>
      <c r="J289" s="171"/>
      <c r="K289" s="171"/>
      <c r="L289" s="171"/>
      <c r="M289" s="171"/>
      <c r="N289" s="171"/>
      <c r="O289" s="172"/>
    </row>
    <row r="290" spans="1:15" x14ac:dyDescent="0.25">
      <c r="A290" s="171"/>
      <c r="B290" s="171"/>
      <c r="C290" s="171"/>
      <c r="D290" s="171"/>
      <c r="E290" s="171"/>
      <c r="F290" s="171"/>
      <c r="G290" s="171"/>
      <c r="H290" s="171"/>
      <c r="I290" s="171"/>
      <c r="J290" s="171"/>
      <c r="K290" s="171"/>
      <c r="L290" s="171"/>
      <c r="M290" s="171"/>
      <c r="N290" s="171"/>
      <c r="O290" s="172"/>
    </row>
    <row r="291" spans="1:15" x14ac:dyDescent="0.25">
      <c r="A291" s="171"/>
      <c r="B291" s="171"/>
      <c r="C291" s="171"/>
      <c r="D291" s="171"/>
      <c r="E291" s="171"/>
      <c r="F291" s="171"/>
      <c r="G291" s="171"/>
      <c r="H291" s="171"/>
      <c r="I291" s="171"/>
      <c r="J291" s="171"/>
      <c r="K291" s="171"/>
      <c r="L291" s="171"/>
      <c r="M291" s="171"/>
      <c r="N291" s="171"/>
      <c r="O291" s="172"/>
    </row>
    <row r="292" spans="1:15" x14ac:dyDescent="0.25">
      <c r="A292" s="171"/>
      <c r="B292" s="171"/>
      <c r="C292" s="171"/>
      <c r="D292" s="171"/>
      <c r="E292" s="171"/>
      <c r="F292" s="171"/>
      <c r="G292" s="171"/>
      <c r="H292" s="171"/>
      <c r="I292" s="171"/>
      <c r="J292" s="171"/>
      <c r="K292" s="171"/>
      <c r="L292" s="171"/>
      <c r="M292" s="171"/>
      <c r="N292" s="171"/>
      <c r="O292" s="172"/>
    </row>
    <row r="293" spans="1:15" x14ac:dyDescent="0.25">
      <c r="A293" s="171"/>
      <c r="B293" s="171"/>
      <c r="C293" s="171"/>
      <c r="D293" s="171"/>
      <c r="E293" s="171"/>
      <c r="F293" s="171"/>
      <c r="G293" s="171"/>
      <c r="H293" s="171"/>
      <c r="I293" s="171"/>
      <c r="J293" s="171"/>
      <c r="K293" s="171"/>
      <c r="L293" s="171"/>
      <c r="M293" s="171"/>
      <c r="N293" s="171"/>
      <c r="O293" s="172"/>
    </row>
    <row r="294" spans="1:15" x14ac:dyDescent="0.25">
      <c r="A294" s="171"/>
      <c r="B294" s="171"/>
      <c r="C294" s="171"/>
      <c r="D294" s="171"/>
      <c r="E294" s="171"/>
      <c r="F294" s="171"/>
      <c r="G294" s="171"/>
      <c r="H294" s="171"/>
      <c r="I294" s="171"/>
      <c r="J294" s="171"/>
      <c r="K294" s="171"/>
      <c r="L294" s="171"/>
      <c r="M294" s="171"/>
      <c r="N294" s="171"/>
      <c r="O294" s="172"/>
    </row>
    <row r="295" spans="1:15" x14ac:dyDescent="0.25">
      <c r="A295" s="171"/>
      <c r="B295" s="171"/>
      <c r="C295" s="171"/>
      <c r="D295" s="171"/>
      <c r="E295" s="171"/>
      <c r="F295" s="171"/>
      <c r="G295" s="171"/>
      <c r="H295" s="171"/>
      <c r="I295" s="171"/>
      <c r="J295" s="171"/>
      <c r="K295" s="171"/>
      <c r="L295" s="171"/>
      <c r="M295" s="171"/>
      <c r="N295" s="171"/>
      <c r="O295" s="172"/>
    </row>
    <row r="296" spans="1:15" x14ac:dyDescent="0.25">
      <c r="A296" s="171"/>
      <c r="B296" s="171"/>
      <c r="C296" s="171"/>
      <c r="D296" s="171"/>
      <c r="E296" s="171"/>
      <c r="F296" s="171"/>
      <c r="G296" s="171"/>
      <c r="H296" s="171"/>
      <c r="I296" s="171"/>
      <c r="J296" s="171"/>
      <c r="K296" s="171"/>
      <c r="L296" s="171"/>
      <c r="M296" s="171"/>
      <c r="N296" s="171"/>
      <c r="O296" s="172"/>
    </row>
    <row r="297" spans="1:15" x14ac:dyDescent="0.25">
      <c r="A297" s="171"/>
      <c r="B297" s="171"/>
      <c r="C297" s="171"/>
      <c r="D297" s="171"/>
      <c r="E297" s="171"/>
      <c r="F297" s="171"/>
      <c r="G297" s="171"/>
      <c r="H297" s="171"/>
      <c r="I297" s="171"/>
      <c r="J297" s="171"/>
      <c r="K297" s="171"/>
      <c r="L297" s="171"/>
      <c r="M297" s="171"/>
      <c r="N297" s="171"/>
      <c r="O297" s="172"/>
    </row>
    <row r="298" spans="1:15" x14ac:dyDescent="0.25">
      <c r="A298" s="171"/>
      <c r="B298" s="171"/>
      <c r="C298" s="171"/>
      <c r="D298" s="171"/>
      <c r="E298" s="171"/>
      <c r="F298" s="171"/>
      <c r="G298" s="171"/>
      <c r="H298" s="171"/>
      <c r="I298" s="171"/>
      <c r="J298" s="171"/>
      <c r="K298" s="171"/>
      <c r="L298" s="171"/>
      <c r="M298" s="171"/>
      <c r="N298" s="171"/>
      <c r="O298" s="172"/>
    </row>
    <row r="299" spans="1:15" x14ac:dyDescent="0.25">
      <c r="A299" s="171"/>
      <c r="B299" s="171"/>
      <c r="C299" s="171"/>
      <c r="D299" s="171"/>
      <c r="E299" s="171"/>
      <c r="F299" s="171"/>
      <c r="G299" s="171"/>
      <c r="H299" s="171"/>
      <c r="I299" s="171"/>
      <c r="J299" s="171"/>
      <c r="K299" s="171"/>
      <c r="L299" s="171"/>
      <c r="M299" s="171"/>
      <c r="N299" s="171"/>
      <c r="O299" s="172"/>
    </row>
    <row r="300" spans="1:15" x14ac:dyDescent="0.25">
      <c r="A300" s="171"/>
      <c r="B300" s="171"/>
      <c r="C300" s="171"/>
      <c r="D300" s="171"/>
      <c r="E300" s="171"/>
      <c r="F300" s="171"/>
      <c r="G300" s="171"/>
      <c r="H300" s="171"/>
      <c r="I300" s="171"/>
      <c r="J300" s="171"/>
      <c r="K300" s="171"/>
      <c r="L300" s="171"/>
      <c r="M300" s="171"/>
      <c r="N300" s="171"/>
      <c r="O300" s="172"/>
    </row>
    <row r="301" spans="1:15" x14ac:dyDescent="0.25">
      <c r="A301" s="171"/>
      <c r="B301" s="171"/>
      <c r="C301" s="171"/>
      <c r="D301" s="171"/>
      <c r="E301" s="171"/>
      <c r="F301" s="171"/>
      <c r="G301" s="171"/>
      <c r="H301" s="171"/>
      <c r="I301" s="171"/>
      <c r="J301" s="171"/>
      <c r="K301" s="171"/>
      <c r="L301" s="171"/>
      <c r="M301" s="171"/>
      <c r="N301" s="171"/>
      <c r="O301" s="172"/>
    </row>
    <row r="302" spans="1:15" x14ac:dyDescent="0.25">
      <c r="A302" s="171"/>
      <c r="B302" s="171"/>
      <c r="C302" s="171"/>
      <c r="D302" s="171"/>
      <c r="E302" s="171"/>
      <c r="F302" s="171"/>
      <c r="G302" s="171"/>
      <c r="H302" s="171"/>
      <c r="I302" s="171"/>
      <c r="J302" s="171"/>
      <c r="K302" s="171"/>
      <c r="L302" s="171"/>
      <c r="M302" s="171"/>
      <c r="N302" s="171"/>
      <c r="O302" s="172"/>
    </row>
    <row r="303" spans="1:15" x14ac:dyDescent="0.25">
      <c r="A303" s="171"/>
      <c r="B303" s="171"/>
      <c r="C303" s="171"/>
      <c r="D303" s="171"/>
      <c r="E303" s="171"/>
      <c r="F303" s="171"/>
      <c r="G303" s="171"/>
      <c r="H303" s="171"/>
      <c r="I303" s="171"/>
      <c r="J303" s="171"/>
      <c r="K303" s="171"/>
      <c r="L303" s="171"/>
      <c r="M303" s="171"/>
      <c r="N303" s="171"/>
      <c r="O303" s="172"/>
    </row>
    <row r="304" spans="1:15" x14ac:dyDescent="0.25">
      <c r="A304" s="171"/>
      <c r="B304" s="171"/>
      <c r="C304" s="171"/>
      <c r="D304" s="171"/>
      <c r="E304" s="171"/>
      <c r="F304" s="171"/>
      <c r="G304" s="171"/>
      <c r="H304" s="171"/>
      <c r="I304" s="171"/>
      <c r="J304" s="171"/>
      <c r="K304" s="171"/>
      <c r="L304" s="171"/>
      <c r="M304" s="171"/>
      <c r="N304" s="171"/>
      <c r="O304" s="172"/>
    </row>
    <row r="305" spans="1:15" x14ac:dyDescent="0.25">
      <c r="A305" s="171"/>
      <c r="B305" s="171"/>
      <c r="C305" s="171"/>
      <c r="D305" s="171"/>
      <c r="E305" s="171"/>
      <c r="F305" s="171"/>
      <c r="G305" s="171"/>
      <c r="H305" s="171"/>
      <c r="I305" s="171"/>
      <c r="J305" s="171"/>
      <c r="K305" s="171"/>
      <c r="L305" s="171"/>
      <c r="M305" s="171"/>
      <c r="N305" s="171"/>
      <c r="O305" s="172"/>
    </row>
    <row r="306" spans="1:15" x14ac:dyDescent="0.25">
      <c r="A306" s="171"/>
      <c r="B306" s="171"/>
      <c r="C306" s="171"/>
      <c r="D306" s="171"/>
      <c r="E306" s="171"/>
      <c r="F306" s="171"/>
      <c r="G306" s="171"/>
      <c r="H306" s="171"/>
      <c r="I306" s="171"/>
      <c r="J306" s="171"/>
      <c r="K306" s="171"/>
      <c r="L306" s="171"/>
      <c r="M306" s="171"/>
      <c r="N306" s="171"/>
      <c r="O306" s="172"/>
    </row>
    <row r="307" spans="1:15" x14ac:dyDescent="0.25">
      <c r="A307" s="171"/>
      <c r="B307" s="171"/>
      <c r="C307" s="171"/>
      <c r="D307" s="171"/>
      <c r="E307" s="171"/>
      <c r="F307" s="171"/>
      <c r="G307" s="171"/>
      <c r="H307" s="171"/>
      <c r="I307" s="171"/>
      <c r="J307" s="171"/>
      <c r="K307" s="171"/>
      <c r="L307" s="171"/>
      <c r="M307" s="171"/>
      <c r="N307" s="171"/>
      <c r="O307" s="172"/>
    </row>
    <row r="308" spans="1:15" x14ac:dyDescent="0.25">
      <c r="A308" s="171"/>
      <c r="B308" s="171"/>
      <c r="C308" s="171"/>
      <c r="D308" s="171"/>
      <c r="E308" s="171"/>
      <c r="F308" s="171"/>
      <c r="G308" s="171"/>
      <c r="H308" s="171"/>
      <c r="I308" s="171"/>
      <c r="J308" s="171"/>
      <c r="K308" s="171"/>
      <c r="L308" s="171"/>
      <c r="M308" s="171"/>
      <c r="N308" s="171"/>
      <c r="O308" s="172"/>
    </row>
  </sheetData>
  <sheetProtection sheet="1" formatCells="0" formatColumns="0" formatRows="0" insertColumns="0" insertRows="0" insertHyperlinks="0" deleteColumns="0" deleteRows="0" sort="0" autoFilter="0" pivotTables="0"/>
  <mergeCells count="88">
    <mergeCell ref="C5:C11"/>
    <mergeCell ref="C12:C16"/>
    <mergeCell ref="A29:A30"/>
    <mergeCell ref="A31:A37"/>
    <mergeCell ref="A12:A16"/>
    <mergeCell ref="B12:B16"/>
    <mergeCell ref="A5:A11"/>
    <mergeCell ref="B5:B11"/>
    <mergeCell ref="A24:A28"/>
    <mergeCell ref="B24:B25"/>
    <mergeCell ref="C24:C28"/>
    <mergeCell ref="A17:A19"/>
    <mergeCell ref="B17:B19"/>
    <mergeCell ref="C17:C19"/>
    <mergeCell ref="A20:A21"/>
    <mergeCell ref="C20:C21"/>
    <mergeCell ref="G90:G91"/>
    <mergeCell ref="G92:G93"/>
    <mergeCell ref="G94:G95"/>
    <mergeCell ref="G96:G97"/>
    <mergeCell ref="A83:A85"/>
    <mergeCell ref="A86:A87"/>
    <mergeCell ref="B136:B138"/>
    <mergeCell ref="C136:C138"/>
    <mergeCell ref="A80:A81"/>
    <mergeCell ref="B80:B81"/>
    <mergeCell ref="C80:C81"/>
    <mergeCell ref="B86:B87"/>
    <mergeCell ref="C86:C87"/>
    <mergeCell ref="A88:A89"/>
    <mergeCell ref="A90:A131"/>
    <mergeCell ref="B90:B131"/>
    <mergeCell ref="C90:C131"/>
    <mergeCell ref="B71:B72"/>
    <mergeCell ref="C71:C72"/>
    <mergeCell ref="A73:A74"/>
    <mergeCell ref="A55:A63"/>
    <mergeCell ref="C55:C63"/>
    <mergeCell ref="A64:A66"/>
    <mergeCell ref="C31:C37"/>
    <mergeCell ref="A38:A46"/>
    <mergeCell ref="C38:C46"/>
    <mergeCell ref="A47:A54"/>
    <mergeCell ref="B47:B53"/>
    <mergeCell ref="C47:C54"/>
    <mergeCell ref="A77:A78"/>
    <mergeCell ref="B77:B78"/>
    <mergeCell ref="C77:C78"/>
    <mergeCell ref="C64:C66"/>
    <mergeCell ref="A67:A68"/>
    <mergeCell ref="B67:B68"/>
    <mergeCell ref="C67:C68"/>
    <mergeCell ref="A69:A70"/>
    <mergeCell ref="B69:B70"/>
    <mergeCell ref="C69:C70"/>
    <mergeCell ref="B73:B74"/>
    <mergeCell ref="C73:C74"/>
    <mergeCell ref="A75:A76"/>
    <mergeCell ref="B75:B76"/>
    <mergeCell ref="C75:C76"/>
    <mergeCell ref="A71:A72"/>
    <mergeCell ref="G108:G109"/>
    <mergeCell ref="G112:G113"/>
    <mergeCell ref="G114:G115"/>
    <mergeCell ref="G116:G117"/>
    <mergeCell ref="G118:G119"/>
    <mergeCell ref="G110:G111"/>
    <mergeCell ref="G98:G99"/>
    <mergeCell ref="G100:G101"/>
    <mergeCell ref="G102:G103"/>
    <mergeCell ref="G104:G105"/>
    <mergeCell ref="G106:G107"/>
    <mergeCell ref="A145:A146"/>
    <mergeCell ref="B145:B146"/>
    <mergeCell ref="C145:C146"/>
    <mergeCell ref="A139:A144"/>
    <mergeCell ref="G120:G121"/>
    <mergeCell ref="G122:G123"/>
    <mergeCell ref="G124:G125"/>
    <mergeCell ref="G126:G127"/>
    <mergeCell ref="B139:B144"/>
    <mergeCell ref="C139:C144"/>
    <mergeCell ref="G130:G131"/>
    <mergeCell ref="A134:A135"/>
    <mergeCell ref="B134:B135"/>
    <mergeCell ref="C134:C135"/>
    <mergeCell ref="G128:G129"/>
    <mergeCell ref="A136:A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D2:Y156"/>
  <sheetViews>
    <sheetView zoomScale="50" zoomScaleNormal="50" workbookViewId="0">
      <selection activeCell="L17" sqref="L17"/>
    </sheetView>
  </sheetViews>
  <sheetFormatPr defaultColWidth="11.42578125" defaultRowHeight="15" x14ac:dyDescent="0.25"/>
  <cols>
    <col min="4" max="4" width="45.140625" customWidth="1"/>
    <col min="5" max="5" width="25.28515625" customWidth="1"/>
    <col min="6" max="6" width="17.140625" customWidth="1"/>
    <col min="7" max="7" width="14.42578125" customWidth="1"/>
    <col min="8" max="8" width="15" customWidth="1"/>
    <col min="9" max="9" width="15.28515625" customWidth="1"/>
    <col min="10" max="10" width="13.28515625" customWidth="1"/>
    <col min="11" max="11" width="11.85546875" customWidth="1"/>
    <col min="12" max="12" width="14.7109375" customWidth="1"/>
    <col min="13" max="13" width="34.85546875" customWidth="1"/>
    <col min="14" max="14" width="15.28515625" customWidth="1"/>
    <col min="15" max="15" width="12.7109375" customWidth="1"/>
    <col min="17" max="17" width="45.140625" customWidth="1"/>
    <col min="18" max="18" width="23.7109375" customWidth="1"/>
    <col min="19" max="19" width="24.28515625" customWidth="1"/>
    <col min="20" max="21" width="9.7109375" bestFit="1" customWidth="1"/>
    <col min="22" max="22" width="11.28515625" bestFit="1" customWidth="1"/>
    <col min="23" max="23" width="13.28515625" bestFit="1" customWidth="1"/>
    <col min="24" max="24" width="11.28515625" bestFit="1" customWidth="1"/>
    <col min="25" max="25" width="10.7109375" bestFit="1" customWidth="1"/>
    <col min="26" max="26" width="16.85546875" bestFit="1" customWidth="1"/>
    <col min="27" max="27" width="5.85546875" bestFit="1" customWidth="1"/>
    <col min="28" max="28" width="8.140625" bestFit="1" customWidth="1"/>
  </cols>
  <sheetData>
    <row r="2" spans="4:10" ht="15.75" thickBot="1" x14ac:dyDescent="0.3"/>
    <row r="3" spans="4:10" ht="53.1" customHeight="1" thickBot="1" x14ac:dyDescent="0.35">
      <c r="D3" s="1705" t="s">
        <v>5582</v>
      </c>
      <c r="E3" s="1705"/>
      <c r="F3" s="1705"/>
      <c r="G3" s="1705"/>
      <c r="H3" s="1705"/>
      <c r="I3" s="1705"/>
      <c r="J3" s="1705"/>
    </row>
    <row r="4" spans="4:10" ht="19.5" thickBot="1" x14ac:dyDescent="0.35">
      <c r="D4" s="293" t="s">
        <v>5279</v>
      </c>
      <c r="E4" s="294">
        <v>2015</v>
      </c>
      <c r="F4" s="294">
        <v>2016</v>
      </c>
      <c r="G4" s="294">
        <v>2017</v>
      </c>
      <c r="H4" s="294">
        <v>2018</v>
      </c>
      <c r="I4" s="294">
        <v>2019</v>
      </c>
      <c r="J4" s="294">
        <v>2020</v>
      </c>
    </row>
    <row r="5" spans="4:10" ht="38.25" thickBot="1" x14ac:dyDescent="0.35">
      <c r="D5" s="293" t="s">
        <v>5280</v>
      </c>
      <c r="E5" s="295">
        <v>2394.98</v>
      </c>
      <c r="F5" s="295">
        <v>6995.6</v>
      </c>
      <c r="G5" s="295">
        <v>14501.733461</v>
      </c>
      <c r="H5" s="295">
        <v>19314.295638039996</v>
      </c>
      <c r="I5" s="295">
        <v>24064.186236270001</v>
      </c>
      <c r="J5" s="296">
        <f>31808.7</f>
        <v>31808.7</v>
      </c>
    </row>
    <row r="6" spans="4:10" ht="75" customHeight="1" thickBot="1" x14ac:dyDescent="0.35">
      <c r="D6" s="293" t="s">
        <v>5281</v>
      </c>
      <c r="E6" s="295">
        <v>1375.84</v>
      </c>
      <c r="F6" s="295">
        <v>5132.6000000000004</v>
      </c>
      <c r="G6" s="295">
        <v>7678.9611190000014</v>
      </c>
      <c r="H6" s="295">
        <v>10499.313935439999</v>
      </c>
      <c r="I6" s="295">
        <v>13110.686485000002</v>
      </c>
      <c r="J6" s="296">
        <v>16810.3</v>
      </c>
    </row>
    <row r="7" spans="4:10" ht="57" thickBot="1" x14ac:dyDescent="0.35">
      <c r="D7" s="293" t="s">
        <v>5282</v>
      </c>
      <c r="E7" s="295">
        <v>1019.1399999999999</v>
      </c>
      <c r="F7" s="295">
        <v>1863.0000000000002</v>
      </c>
      <c r="G7" s="295">
        <v>6822.7723420000011</v>
      </c>
      <c r="H7" s="295">
        <v>8814.9845745499988</v>
      </c>
      <c r="I7" s="295">
        <v>10953.608815630001</v>
      </c>
      <c r="J7" s="296">
        <f>SUM(J8:J12)</f>
        <v>14998.349854099999</v>
      </c>
    </row>
    <row r="8" spans="4:10" ht="75.75" thickBot="1" x14ac:dyDescent="0.35">
      <c r="D8" s="293" t="s">
        <v>5283</v>
      </c>
      <c r="E8" s="418" t="s">
        <v>5034</v>
      </c>
      <c r="F8" s="295">
        <v>22.3</v>
      </c>
      <c r="G8" s="295">
        <v>3782.6800000000007</v>
      </c>
      <c r="H8" s="295">
        <v>3907.3331850799996</v>
      </c>
      <c r="I8" s="295">
        <v>4835.6631719199995</v>
      </c>
      <c r="J8" s="296">
        <f>Расчеты!P80</f>
        <v>7944.0801941</v>
      </c>
    </row>
    <row r="9" spans="4:10" ht="75.75" thickBot="1" x14ac:dyDescent="0.35">
      <c r="D9" s="293" t="s">
        <v>5284</v>
      </c>
      <c r="E9" s="295">
        <v>614.91</v>
      </c>
      <c r="F9" s="295">
        <v>1137</v>
      </c>
      <c r="G9" s="295">
        <v>1910.853108</v>
      </c>
      <c r="H9" s="295">
        <v>2964.5685994099999</v>
      </c>
      <c r="I9" s="295">
        <v>3937.5416459700004</v>
      </c>
      <c r="J9" s="296">
        <f>5040.2</f>
        <v>5040.2</v>
      </c>
    </row>
    <row r="10" spans="4:10" ht="94.5" thickBot="1" x14ac:dyDescent="0.35">
      <c r="D10" s="293" t="s">
        <v>5285</v>
      </c>
      <c r="E10" s="295">
        <v>205.45</v>
      </c>
      <c r="F10" s="295">
        <v>478.1</v>
      </c>
      <c r="G10" s="295">
        <v>776.5529130000001</v>
      </c>
      <c r="H10" s="295">
        <v>1123.1145690999999</v>
      </c>
      <c r="I10" s="295">
        <v>1267.2471590900002</v>
      </c>
      <c r="J10" s="296">
        <f>1085.3</f>
        <v>1085.3</v>
      </c>
    </row>
    <row r="11" spans="4:10" ht="94.5" thickBot="1" x14ac:dyDescent="0.35">
      <c r="D11" s="293" t="s">
        <v>5286</v>
      </c>
      <c r="E11" s="295">
        <v>182.07</v>
      </c>
      <c r="F11" s="295">
        <v>218.9</v>
      </c>
      <c r="G11" s="295">
        <v>344.49962099999993</v>
      </c>
      <c r="H11" s="295">
        <v>714.58004827000002</v>
      </c>
      <c r="I11" s="295">
        <v>811.29691905000004</v>
      </c>
      <c r="J11" s="296">
        <f>Расчеты!P73</f>
        <v>928.76965999999982</v>
      </c>
    </row>
    <row r="12" spans="4:10" ht="38.25" thickBot="1" x14ac:dyDescent="0.35">
      <c r="D12" s="293" t="s">
        <v>5287</v>
      </c>
      <c r="E12" s="295">
        <v>16.71</v>
      </c>
      <c r="F12" s="295">
        <v>6.7</v>
      </c>
      <c r="G12" s="295">
        <v>8.1867000000000001</v>
      </c>
      <c r="H12" s="295">
        <v>105.38817269000002</v>
      </c>
      <c r="I12" s="295">
        <v>101.8599196</v>
      </c>
      <c r="J12" s="297" t="s">
        <v>465</v>
      </c>
    </row>
    <row r="15" spans="4:10" ht="15.75" thickBot="1" x14ac:dyDescent="0.3"/>
    <row r="16" spans="4:10" ht="60.95" customHeight="1" thickBot="1" x14ac:dyDescent="0.3">
      <c r="D16" s="1707" t="s">
        <v>5583</v>
      </c>
      <c r="E16" s="1707"/>
      <c r="F16" s="1707"/>
      <c r="G16" s="1707"/>
      <c r="H16" s="1707"/>
      <c r="I16" s="1707"/>
      <c r="J16" s="1707"/>
    </row>
    <row r="17" spans="4:19" ht="19.5" thickBot="1" x14ac:dyDescent="0.3">
      <c r="D17" s="299" t="s">
        <v>5279</v>
      </c>
      <c r="E17" s="300">
        <v>2015</v>
      </c>
      <c r="F17" s="300">
        <v>2016</v>
      </c>
      <c r="G17" s="305">
        <v>2017</v>
      </c>
      <c r="H17" s="305">
        <v>2018</v>
      </c>
      <c r="I17" s="305">
        <v>2019</v>
      </c>
      <c r="J17" s="306">
        <v>2020</v>
      </c>
    </row>
    <row r="18" spans="4:19" ht="38.25" thickBot="1" x14ac:dyDescent="0.3">
      <c r="D18" s="301" t="s">
        <v>5280</v>
      </c>
      <c r="E18" s="307">
        <v>0.99999999999999989</v>
      </c>
      <c r="F18" s="307">
        <v>1</v>
      </c>
      <c r="G18" s="307">
        <v>1.0000000000000002</v>
      </c>
      <c r="H18" s="307">
        <v>1.0000001486955599</v>
      </c>
      <c r="I18" s="307">
        <v>1.0000001486955599</v>
      </c>
      <c r="J18" s="303">
        <v>1</v>
      </c>
    </row>
    <row r="19" spans="4:19" ht="57" thickBot="1" x14ac:dyDescent="0.3">
      <c r="D19" s="301" t="s">
        <v>5281</v>
      </c>
      <c r="E19" s="302">
        <v>0.57446826278298768</v>
      </c>
      <c r="F19" s="302">
        <v>0.73368974784150043</v>
      </c>
      <c r="G19" s="302">
        <v>0.52952022181701863</v>
      </c>
      <c r="H19" s="302">
        <v>0.54360325285491307</v>
      </c>
      <c r="I19" s="303">
        <v>0.54479999999999995</v>
      </c>
      <c r="J19" s="308">
        <f>J6/J5</f>
        <v>0.52848120168381607</v>
      </c>
    </row>
    <row r="20" spans="4:19" ht="38.25" thickBot="1" x14ac:dyDescent="0.3">
      <c r="D20" s="301" t="s">
        <v>5282</v>
      </c>
      <c r="E20" s="302">
        <v>0.42553173721701221</v>
      </c>
      <c r="F20" s="302">
        <v>0.26631025215849963</v>
      </c>
      <c r="G20" s="302">
        <v>0.47047977818298153</v>
      </c>
      <c r="H20" s="302">
        <v>0.4563968958406468</v>
      </c>
      <c r="I20" s="303">
        <v>0.45519999999999999</v>
      </c>
      <c r="J20" s="308">
        <f>SUM(J21:J25)</f>
        <v>0.47151722183239181</v>
      </c>
    </row>
    <row r="21" spans="4:19" ht="75.75" thickBot="1" x14ac:dyDescent="0.3">
      <c r="D21" s="301" t="s">
        <v>5283</v>
      </c>
      <c r="E21" s="304" t="s">
        <v>5034</v>
      </c>
      <c r="F21" s="302">
        <v>3.1877179941677625E-3</v>
      </c>
      <c r="G21" s="302">
        <v>0.2608432991940508</v>
      </c>
      <c r="H21" s="302">
        <v>0.20230264972150513</v>
      </c>
      <c r="I21" s="303">
        <v>0.2009</v>
      </c>
      <c r="J21" s="308">
        <f>J8/J5</f>
        <v>0.24974551597833297</v>
      </c>
    </row>
    <row r="22" spans="4:19" ht="75.75" thickBot="1" x14ac:dyDescent="0.3">
      <c r="D22" s="301" t="s">
        <v>5284</v>
      </c>
      <c r="E22" s="302">
        <v>0.25674953444287635</v>
      </c>
      <c r="F22" s="302">
        <v>0.16253073360397963</v>
      </c>
      <c r="G22" s="302">
        <v>0.13176722032155133</v>
      </c>
      <c r="H22" s="302">
        <v>0.15349089891588938</v>
      </c>
      <c r="I22" s="303">
        <v>0.1636</v>
      </c>
      <c r="J22" s="308">
        <f>J9/J5</f>
        <v>0.15845350485873361</v>
      </c>
    </row>
    <row r="23" spans="4:19" ht="75.75" thickBot="1" x14ac:dyDescent="0.3">
      <c r="D23" s="301" t="s">
        <v>5285</v>
      </c>
      <c r="E23" s="302">
        <v>8.5783597357806746E-2</v>
      </c>
      <c r="F23" s="302">
        <v>6.8342958431013776E-2</v>
      </c>
      <c r="G23" s="302">
        <v>5.3548971582494602E-2</v>
      </c>
      <c r="H23" s="302">
        <v>5.8149393078979143E-2</v>
      </c>
      <c r="I23" s="303">
        <v>5.2699999999999997E-2</v>
      </c>
      <c r="J23" s="308">
        <f>J10/J5</f>
        <v>3.411959621109948E-2</v>
      </c>
    </row>
    <row r="24" spans="4:19" ht="75.75" thickBot="1" x14ac:dyDescent="0.3">
      <c r="D24" s="301" t="s">
        <v>5286</v>
      </c>
      <c r="E24" s="302">
        <v>7.6021511661892791E-2</v>
      </c>
      <c r="F24" s="302">
        <v>3.1291097261135568E-2</v>
      </c>
      <c r="G24" s="302">
        <v>2.3755754574201378E-2</v>
      </c>
      <c r="H24" s="302">
        <v>3.6997468696845275E-2</v>
      </c>
      <c r="I24" s="303">
        <v>3.3700000000000001E-2</v>
      </c>
      <c r="J24" s="308">
        <f>J11/J5</f>
        <v>2.9198604784225694E-2</v>
      </c>
    </row>
    <row r="25" spans="4:19" ht="38.25" thickBot="1" x14ac:dyDescent="0.3">
      <c r="D25" s="301" t="s">
        <v>5287</v>
      </c>
      <c r="E25" s="302">
        <v>6.9770937544363634E-3</v>
      </c>
      <c r="F25" s="302">
        <v>9.5774486820287034E-4</v>
      </c>
      <c r="G25" s="302">
        <v>5.6453251068341371E-4</v>
      </c>
      <c r="H25" s="302">
        <v>5.4564854274279278E-3</v>
      </c>
      <c r="I25" s="303">
        <v>4.1999999999999997E-3</v>
      </c>
      <c r="J25" s="308" t="s">
        <v>465</v>
      </c>
    </row>
    <row r="26" spans="4:19" ht="18.75" x14ac:dyDescent="0.3">
      <c r="D26" s="298"/>
      <c r="E26" s="298"/>
      <c r="F26" s="298"/>
      <c r="G26" s="298"/>
      <c r="H26" s="298"/>
      <c r="I26" s="298"/>
    </row>
    <row r="27" spans="4:19" ht="18.75" x14ac:dyDescent="0.3">
      <c r="D27" s="298"/>
      <c r="E27" s="298"/>
      <c r="F27" s="298"/>
      <c r="G27" s="298"/>
      <c r="H27" s="298"/>
      <c r="I27" s="298"/>
    </row>
    <row r="28" spans="4:19" ht="18.75" x14ac:dyDescent="0.3">
      <c r="D28" s="298"/>
      <c r="E28" s="298"/>
      <c r="F28" s="298"/>
      <c r="G28" s="298"/>
      <c r="H28" s="298"/>
      <c r="I28" s="298"/>
    </row>
    <row r="29" spans="4:19" ht="19.5" thickBot="1" x14ac:dyDescent="0.35">
      <c r="D29" s="298"/>
      <c r="E29" s="298"/>
      <c r="F29" s="298"/>
      <c r="G29" s="298"/>
      <c r="H29" s="298"/>
      <c r="I29" s="298"/>
    </row>
    <row r="30" spans="4:19" ht="54.95" customHeight="1" thickBot="1" x14ac:dyDescent="0.3">
      <c r="D30" s="1706" t="s">
        <v>5578</v>
      </c>
      <c r="E30" s="1706"/>
      <c r="F30" s="1706"/>
      <c r="G30" s="1706"/>
      <c r="H30" s="1706"/>
      <c r="I30" s="1706"/>
      <c r="J30" s="1706"/>
    </row>
    <row r="31" spans="4:19" ht="19.5" thickBot="1" x14ac:dyDescent="0.3">
      <c r="D31" s="299" t="s">
        <v>5279</v>
      </c>
      <c r="E31" s="300">
        <v>2015</v>
      </c>
      <c r="F31" s="300">
        <v>2016</v>
      </c>
      <c r="G31" s="305">
        <v>2017</v>
      </c>
      <c r="H31" s="305">
        <v>2018</v>
      </c>
      <c r="I31" s="305">
        <v>2019</v>
      </c>
      <c r="J31" s="306">
        <v>2020</v>
      </c>
      <c r="M31" t="s">
        <v>5279</v>
      </c>
      <c r="N31">
        <v>2015</v>
      </c>
      <c r="O31">
        <v>2016</v>
      </c>
      <c r="P31">
        <v>2017</v>
      </c>
      <c r="Q31">
        <v>2018</v>
      </c>
      <c r="R31">
        <v>2019</v>
      </c>
      <c r="S31">
        <v>2020</v>
      </c>
    </row>
    <row r="32" spans="4:19" ht="38.25" thickBot="1" x14ac:dyDescent="0.3">
      <c r="D32" s="299" t="s">
        <v>5280</v>
      </c>
      <c r="E32" s="310">
        <v>2394.98</v>
      </c>
      <c r="F32" s="310">
        <v>6995.6</v>
      </c>
      <c r="G32" s="311">
        <v>14501.733461</v>
      </c>
      <c r="H32" s="312">
        <v>19314.295638039996</v>
      </c>
      <c r="I32" s="317">
        <v>24064.186236270001</v>
      </c>
      <c r="J32" s="312">
        <f>31808.7</f>
        <v>31808.7</v>
      </c>
      <c r="M32" t="s">
        <v>5280</v>
      </c>
      <c r="N32" s="440">
        <v>2394.98</v>
      </c>
      <c r="O32" s="440">
        <v>6995.6</v>
      </c>
      <c r="P32" s="440">
        <v>14501.733461</v>
      </c>
      <c r="Q32" s="440">
        <v>19314.295638039996</v>
      </c>
      <c r="R32" s="440">
        <v>24064.186236270001</v>
      </c>
      <c r="S32" s="440">
        <v>31808.476827410002</v>
      </c>
    </row>
    <row r="33" spans="4:19" ht="57" thickBot="1" x14ac:dyDescent="0.3">
      <c r="D33" s="299" t="s">
        <v>5288</v>
      </c>
      <c r="E33" s="312">
        <v>1990.75</v>
      </c>
      <c r="F33" s="312">
        <v>6291.9000000000005</v>
      </c>
      <c r="G33" s="312">
        <v>13372.494227000001</v>
      </c>
      <c r="H33" s="312">
        <v>17371.215719929998</v>
      </c>
      <c r="I33" s="317">
        <v>21883.891302889999</v>
      </c>
      <c r="J33" s="312">
        <f>SUM(J34:J36)</f>
        <v>29794.580194099999</v>
      </c>
      <c r="M33" t="s">
        <v>5472</v>
      </c>
      <c r="N33" s="440">
        <v>1990.75</v>
      </c>
      <c r="O33" s="440">
        <v>6291.9000000000005</v>
      </c>
      <c r="P33" s="440">
        <v>13372.494227000001</v>
      </c>
      <c r="Q33" s="440">
        <v>17371.215719929998</v>
      </c>
      <c r="R33" s="440">
        <v>21883.891302889999</v>
      </c>
      <c r="S33" s="440">
        <v>29794.513435270004</v>
      </c>
    </row>
    <row r="34" spans="4:19" ht="75.75" thickBot="1" x14ac:dyDescent="0.3">
      <c r="D34" s="301" t="s">
        <v>5289</v>
      </c>
      <c r="E34" s="313" t="s">
        <v>5034</v>
      </c>
      <c r="F34" s="313">
        <v>22.3</v>
      </c>
      <c r="G34" s="314">
        <v>3782.6800000000007</v>
      </c>
      <c r="H34" s="315">
        <v>3907.3331850799996</v>
      </c>
      <c r="I34" s="316">
        <v>4835.6631719199995</v>
      </c>
      <c r="J34" s="315">
        <f>Расчеты!P80</f>
        <v>7944.0801941</v>
      </c>
      <c r="M34" s="439" t="s">
        <v>5471</v>
      </c>
      <c r="N34" s="441">
        <v>404.23</v>
      </c>
      <c r="O34" s="441">
        <v>703.7</v>
      </c>
      <c r="P34" s="441">
        <v>1129.24</v>
      </c>
      <c r="Q34" s="441">
        <v>1943.08</v>
      </c>
      <c r="R34" s="441">
        <v>2180.4</v>
      </c>
      <c r="S34" s="441">
        <v>2014.02</v>
      </c>
    </row>
    <row r="35" spans="4:19" ht="57" thickBot="1" x14ac:dyDescent="0.3">
      <c r="D35" s="301" t="s">
        <v>5290</v>
      </c>
      <c r="E35" s="313">
        <v>1375.84</v>
      </c>
      <c r="F35" s="313">
        <v>5132.6000000000004</v>
      </c>
      <c r="G35" s="314">
        <v>7678.9611190000014</v>
      </c>
      <c r="H35" s="315">
        <v>10499.313935439999</v>
      </c>
      <c r="I35" s="316">
        <v>13110.686485000002</v>
      </c>
      <c r="J35" s="315">
        <f>16810.3</f>
        <v>16810.3</v>
      </c>
    </row>
    <row r="36" spans="4:19" ht="57" thickBot="1" x14ac:dyDescent="0.3">
      <c r="D36" s="301" t="s">
        <v>5291</v>
      </c>
      <c r="E36" s="313">
        <v>614.91</v>
      </c>
      <c r="F36" s="313">
        <v>1137</v>
      </c>
      <c r="G36" s="314">
        <v>1910.853108</v>
      </c>
      <c r="H36" s="315">
        <v>2964.5685994099999</v>
      </c>
      <c r="I36" s="316">
        <v>3937.5416459700004</v>
      </c>
      <c r="J36" s="315">
        <f>5040.2</f>
        <v>5040.2</v>
      </c>
    </row>
    <row r="37" spans="4:19" ht="57" thickBot="1" x14ac:dyDescent="0.3">
      <c r="D37" s="299" t="s">
        <v>5292</v>
      </c>
      <c r="E37" s="312">
        <v>404.22999999999996</v>
      </c>
      <c r="F37" s="312">
        <v>703.7</v>
      </c>
      <c r="G37" s="312">
        <v>1129.2392339999999</v>
      </c>
      <c r="H37" s="312">
        <v>1943.0827900599998</v>
      </c>
      <c r="I37" s="317">
        <v>2180.4039977400002</v>
      </c>
      <c r="J37" s="312">
        <f>SUM(J38:J40)</f>
        <v>2014.0696599999997</v>
      </c>
    </row>
    <row r="38" spans="4:19" ht="75.75" thickBot="1" x14ac:dyDescent="0.3">
      <c r="D38" s="301" t="s">
        <v>5293</v>
      </c>
      <c r="E38" s="313">
        <v>205.45</v>
      </c>
      <c r="F38" s="313">
        <v>478.1</v>
      </c>
      <c r="G38" s="314">
        <v>776.5529130000001</v>
      </c>
      <c r="H38" s="315">
        <v>1123.1145690999999</v>
      </c>
      <c r="I38" s="316">
        <v>1267.2471590900002</v>
      </c>
      <c r="J38" s="315">
        <f>1085.3</f>
        <v>1085.3</v>
      </c>
    </row>
    <row r="39" spans="4:19" ht="75.75" thickBot="1" x14ac:dyDescent="0.3">
      <c r="D39" s="301" t="s">
        <v>5294</v>
      </c>
      <c r="E39" s="313">
        <v>182.07</v>
      </c>
      <c r="F39" s="313">
        <v>218.9</v>
      </c>
      <c r="G39" s="314">
        <v>344.49962099999993</v>
      </c>
      <c r="H39" s="315">
        <v>714.58004827000002</v>
      </c>
      <c r="I39" s="316">
        <v>811.29691905000004</v>
      </c>
      <c r="J39" s="315">
        <f>Расчеты!P73</f>
        <v>928.76965999999982</v>
      </c>
    </row>
    <row r="40" spans="4:19" ht="19.5" thickBot="1" x14ac:dyDescent="0.3">
      <c r="D40" s="301" t="s">
        <v>5295</v>
      </c>
      <c r="E40" s="313">
        <v>16.71</v>
      </c>
      <c r="F40" s="313">
        <v>6.7</v>
      </c>
      <c r="G40" s="314">
        <v>8.1867000000000001</v>
      </c>
      <c r="H40" s="315">
        <v>105.38817269000002</v>
      </c>
      <c r="I40" s="316">
        <v>101.8599196</v>
      </c>
      <c r="J40" s="315" t="s">
        <v>465</v>
      </c>
    </row>
    <row r="41" spans="4:19" ht="18.75" x14ac:dyDescent="0.3">
      <c r="D41" s="298"/>
      <c r="E41" s="298"/>
      <c r="F41" s="298"/>
      <c r="G41" s="298"/>
      <c r="H41" s="298"/>
      <c r="I41" s="298"/>
    </row>
    <row r="42" spans="4:19" ht="18.75" x14ac:dyDescent="0.3">
      <c r="D42" s="298"/>
      <c r="E42" s="298"/>
      <c r="F42" s="298"/>
      <c r="G42" s="298"/>
      <c r="H42" s="298"/>
      <c r="I42" s="298"/>
    </row>
    <row r="43" spans="4:19" ht="19.5" thickBot="1" x14ac:dyDescent="0.35">
      <c r="D43" s="298"/>
      <c r="E43" s="298"/>
      <c r="F43" s="298"/>
      <c r="G43" s="298"/>
      <c r="H43" s="298"/>
      <c r="I43" s="298"/>
    </row>
    <row r="44" spans="4:19" ht="62.1" customHeight="1" thickBot="1" x14ac:dyDescent="0.3">
      <c r="D44" s="1706" t="s">
        <v>5579</v>
      </c>
      <c r="E44" s="1706"/>
      <c r="F44" s="1706"/>
      <c r="G44" s="1706"/>
      <c r="H44" s="1706"/>
      <c r="I44" s="1706"/>
      <c r="J44" s="1706"/>
    </row>
    <row r="45" spans="4:19" ht="19.5" thickBot="1" x14ac:dyDescent="0.3">
      <c r="D45" s="299" t="s">
        <v>5279</v>
      </c>
      <c r="E45" s="300">
        <v>2015</v>
      </c>
      <c r="F45" s="300">
        <v>2016</v>
      </c>
      <c r="G45" s="305">
        <v>2017</v>
      </c>
      <c r="H45" s="305">
        <v>2018</v>
      </c>
      <c r="I45" s="305">
        <v>2019</v>
      </c>
      <c r="J45" s="306">
        <v>2020</v>
      </c>
    </row>
    <row r="46" spans="4:19" ht="38.25" thickBot="1" x14ac:dyDescent="0.3">
      <c r="D46" s="299" t="s">
        <v>5280</v>
      </c>
      <c r="E46" s="318">
        <v>1</v>
      </c>
      <c r="F46" s="318">
        <v>1</v>
      </c>
      <c r="G46" s="318">
        <v>1.0000000000000002</v>
      </c>
      <c r="H46" s="318">
        <v>1.0000001486955599</v>
      </c>
      <c r="I46" s="318">
        <v>1.0000001486955599</v>
      </c>
      <c r="J46" s="318">
        <v>1.0000001486955599</v>
      </c>
    </row>
    <row r="47" spans="4:19" ht="57" thickBot="1" x14ac:dyDescent="0.3">
      <c r="D47" s="299" t="s">
        <v>5288</v>
      </c>
      <c r="E47" s="319">
        <v>0.83121779722586409</v>
      </c>
      <c r="F47" s="319">
        <v>0.89940819943964778</v>
      </c>
      <c r="G47" s="319">
        <v>0.92213074133262074</v>
      </c>
      <c r="H47" s="319">
        <v>0.89939680149230761</v>
      </c>
      <c r="I47" s="319">
        <v>0.9093966896709843</v>
      </c>
      <c r="J47" s="321">
        <f>SUM(J48:J50)</f>
        <v>0.93668022252088257</v>
      </c>
    </row>
    <row r="48" spans="4:19" ht="57" thickBot="1" x14ac:dyDescent="0.3">
      <c r="D48" s="301" t="s">
        <v>5289</v>
      </c>
      <c r="E48" s="320" t="s">
        <v>5034</v>
      </c>
      <c r="F48" s="320">
        <v>3.1877179941677625E-3</v>
      </c>
      <c r="G48" s="320">
        <v>0.2608432991940508</v>
      </c>
      <c r="H48" s="320">
        <v>0.20230264972150513</v>
      </c>
      <c r="I48" s="320">
        <v>0.20094854338484114</v>
      </c>
      <c r="J48" s="308">
        <f>J34/J32</f>
        <v>0.24974551597833297</v>
      </c>
    </row>
    <row r="49" spans="4:15" ht="57" thickBot="1" x14ac:dyDescent="0.3">
      <c r="D49" s="301" t="s">
        <v>5290</v>
      </c>
      <c r="E49" s="320">
        <v>0.57446826278298768</v>
      </c>
      <c r="F49" s="320">
        <v>0.73368974784150043</v>
      </c>
      <c r="G49" s="320">
        <v>0.52952022181701863</v>
      </c>
      <c r="H49" s="320">
        <v>0.54360325285491307</v>
      </c>
      <c r="I49" s="320">
        <v>0.54482151842888105</v>
      </c>
      <c r="J49" s="308">
        <f>J35/J32</f>
        <v>0.52848120168381607</v>
      </c>
    </row>
    <row r="50" spans="4:15" ht="57" thickBot="1" x14ac:dyDescent="0.3">
      <c r="D50" s="301" t="s">
        <v>5291</v>
      </c>
      <c r="E50" s="320">
        <v>0.25674953444287635</v>
      </c>
      <c r="F50" s="320">
        <v>0.16253073360397963</v>
      </c>
      <c r="G50" s="320">
        <v>0.13176722032155133</v>
      </c>
      <c r="H50" s="320">
        <v>0.15349089891588938</v>
      </c>
      <c r="I50" s="320">
        <v>0.16362662785726212</v>
      </c>
      <c r="J50" s="308">
        <f>J36/J32</f>
        <v>0.15845350485873361</v>
      </c>
    </row>
    <row r="51" spans="4:15" ht="57" thickBot="1" x14ac:dyDescent="0.3">
      <c r="D51" s="299" t="s">
        <v>5292</v>
      </c>
      <c r="E51" s="319">
        <v>0.16878220277413589</v>
      </c>
      <c r="F51" s="319">
        <v>0.1005918005603522</v>
      </c>
      <c r="G51" s="319">
        <v>7.7869258667379398E-2</v>
      </c>
      <c r="H51" s="319">
        <v>0.10060334720325234</v>
      </c>
      <c r="I51" s="319">
        <v>9.0607842556240423E-2</v>
      </c>
      <c r="J51" s="321">
        <f>SUM(J52:J54)</f>
        <v>6.3318200995325175E-2</v>
      </c>
    </row>
    <row r="52" spans="4:15" ht="75.75" thickBot="1" x14ac:dyDescent="0.3">
      <c r="D52" s="301" t="s">
        <v>5293</v>
      </c>
      <c r="E52" s="320">
        <v>8.5783597357806746E-2</v>
      </c>
      <c r="F52" s="320">
        <v>6.8342958431013776E-2</v>
      </c>
      <c r="G52" s="320">
        <v>5.3548971582494602E-2</v>
      </c>
      <c r="H52" s="320">
        <v>5.8149393078979143E-2</v>
      </c>
      <c r="I52" s="320">
        <v>5.2661126648861328E-2</v>
      </c>
      <c r="J52" s="308">
        <f>J38/J32</f>
        <v>3.411959621109948E-2</v>
      </c>
    </row>
    <row r="53" spans="4:15" ht="75.75" thickBot="1" x14ac:dyDescent="0.3">
      <c r="D53" s="301" t="s">
        <v>5294</v>
      </c>
      <c r="E53" s="320">
        <v>7.6021511661892791E-2</v>
      </c>
      <c r="F53" s="320">
        <v>3.1291097261135568E-2</v>
      </c>
      <c r="G53" s="320">
        <v>2.3755754574201378E-2</v>
      </c>
      <c r="H53" s="320">
        <v>3.6997468696845275E-2</v>
      </c>
      <c r="I53" s="320">
        <v>3.3713873017953866E-2</v>
      </c>
      <c r="J53" s="308">
        <f>J39/J32</f>
        <v>2.9198604784225694E-2</v>
      </c>
    </row>
    <row r="54" spans="4:15" ht="19.5" thickBot="1" x14ac:dyDescent="0.3">
      <c r="D54" s="301" t="s">
        <v>5295</v>
      </c>
      <c r="E54" s="320">
        <v>6.9770937544363634E-3</v>
      </c>
      <c r="F54" s="320">
        <v>9.5774486820287034E-4</v>
      </c>
      <c r="G54" s="320">
        <v>5.6453251068341371E-4</v>
      </c>
      <c r="H54" s="320">
        <v>5.4564854274279278E-3</v>
      </c>
      <c r="I54" s="320">
        <v>4.2328428894252311E-3</v>
      </c>
      <c r="J54" s="308" t="s">
        <v>465</v>
      </c>
    </row>
    <row r="57" spans="4:15" x14ac:dyDescent="0.25">
      <c r="O57" s="442"/>
    </row>
    <row r="58" spans="4:15" ht="18.75" x14ac:dyDescent="0.3">
      <c r="D58" s="443"/>
    </row>
    <row r="59" spans="4:15" ht="147" customHeight="1" thickBot="1" x14ac:dyDescent="0.3">
      <c r="F59" s="1704" t="s">
        <v>5580</v>
      </c>
      <c r="G59" s="1704"/>
      <c r="H59" s="1704"/>
      <c r="I59" s="1704"/>
      <c r="J59" s="1704"/>
      <c r="K59" s="1704"/>
      <c r="L59" s="442"/>
      <c r="M59" s="442"/>
      <c r="N59" s="442"/>
    </row>
    <row r="60" spans="4:15" ht="38.25" thickBot="1" x14ac:dyDescent="0.3">
      <c r="F60" s="448" t="s">
        <v>5296</v>
      </c>
      <c r="G60" s="449" t="s">
        <v>3572</v>
      </c>
      <c r="H60" s="449" t="s">
        <v>5297</v>
      </c>
      <c r="I60" s="449" t="s">
        <v>5298</v>
      </c>
      <c r="J60" s="449" t="s">
        <v>4572</v>
      </c>
      <c r="K60" s="449" t="s">
        <v>5313</v>
      </c>
    </row>
    <row r="61" spans="4:15" ht="75.75" thickBot="1" x14ac:dyDescent="0.3">
      <c r="F61" s="448" t="s">
        <v>19</v>
      </c>
      <c r="G61" s="450">
        <v>0.10971922246220302</v>
      </c>
      <c r="H61" s="450">
        <v>9.7478359051561908E-2</v>
      </c>
      <c r="I61" s="450">
        <v>8.5105254785513548E-2</v>
      </c>
      <c r="J61" s="450">
        <v>7.1013231994872028E-2</v>
      </c>
      <c r="K61" s="450">
        <v>5.1540442155731156E-2</v>
      </c>
    </row>
    <row r="62" spans="4:15" ht="113.25" thickBot="1" x14ac:dyDescent="0.3">
      <c r="F62" s="448" t="s">
        <v>20</v>
      </c>
      <c r="G62" s="450">
        <v>0.14514038876889848</v>
      </c>
      <c r="H62" s="450">
        <v>0.13041023710952201</v>
      </c>
      <c r="I62" s="450">
        <v>0.15128055570284746</v>
      </c>
      <c r="J62" s="450">
        <v>0.1505425575752026</v>
      </c>
      <c r="K62" s="450">
        <v>0.12385687649826867</v>
      </c>
    </row>
    <row r="63" spans="4:15" ht="38.25" thickBot="1" x14ac:dyDescent="0.3">
      <c r="F63" s="448" t="s">
        <v>21</v>
      </c>
      <c r="G63" s="450">
        <v>8.6933045356371488E-2</v>
      </c>
      <c r="H63" s="450">
        <v>7.182285785974156E-2</v>
      </c>
      <c r="I63" s="450">
        <v>8.356752744047935E-2</v>
      </c>
      <c r="J63" s="450">
        <v>6.0345222288356759E-2</v>
      </c>
      <c r="K63" s="450">
        <v>4.9720323182100686E-2</v>
      </c>
    </row>
    <row r="64" spans="4:15" ht="57" thickBot="1" x14ac:dyDescent="0.3">
      <c r="F64" s="448" t="s">
        <v>22</v>
      </c>
      <c r="G64" s="450">
        <v>2.775377969762419E-2</v>
      </c>
      <c r="H64" s="450">
        <v>2.7349140634801154E-2</v>
      </c>
      <c r="I64" s="450">
        <v>2.6671615674213903E-2</v>
      </c>
      <c r="J64" s="450">
        <v>2.6097706148985853E-2</v>
      </c>
      <c r="K64" s="450">
        <v>1.9932522418538576E-2</v>
      </c>
    </row>
    <row r="65" spans="6:11" ht="113.25" thickBot="1" x14ac:dyDescent="0.3">
      <c r="F65" s="448" t="s">
        <v>5299</v>
      </c>
      <c r="G65" s="450">
        <v>2.0518358531317494E-3</v>
      </c>
      <c r="H65" s="450">
        <v>2.2581859239744072E-3</v>
      </c>
      <c r="I65" s="450">
        <v>9.5445145553846973E-4</v>
      </c>
      <c r="J65" s="450">
        <v>6.8678174076278555E-4</v>
      </c>
      <c r="K65" s="450">
        <v>1.3761875166474296E-3</v>
      </c>
    </row>
    <row r="66" spans="6:11" ht="75.75" thickBot="1" x14ac:dyDescent="0.3">
      <c r="F66" s="448" t="s">
        <v>23</v>
      </c>
      <c r="G66" s="450">
        <v>2.0626349892008639E-2</v>
      </c>
      <c r="H66" s="450">
        <v>2.2080040145527537E-2</v>
      </c>
      <c r="I66" s="450">
        <v>2.1846333315658308E-2</v>
      </c>
      <c r="J66" s="450">
        <v>2.8615905865116066E-2</v>
      </c>
      <c r="K66" s="450">
        <v>3.9243540797300899E-2</v>
      </c>
    </row>
    <row r="67" spans="6:11" ht="57" thickBot="1" x14ac:dyDescent="0.3">
      <c r="F67" s="448" t="s">
        <v>223</v>
      </c>
      <c r="G67" s="450" t="s">
        <v>4844</v>
      </c>
      <c r="H67" s="450" t="s">
        <v>4844</v>
      </c>
      <c r="I67" s="450">
        <v>5.5729359987273984E-2</v>
      </c>
      <c r="J67" s="450">
        <v>7.202051188132412E-2</v>
      </c>
      <c r="K67" s="450">
        <v>8.7188138151469419E-2</v>
      </c>
    </row>
    <row r="68" spans="6:11" ht="263.25" thickBot="1" x14ac:dyDescent="0.3">
      <c r="F68" s="448" t="s">
        <v>5300</v>
      </c>
      <c r="G68" s="450">
        <v>0.11684665226781857</v>
      </c>
      <c r="H68" s="450">
        <v>0.1014929118052942</v>
      </c>
      <c r="I68" s="450">
        <v>7.6939392332573311E-2</v>
      </c>
      <c r="J68" s="450">
        <v>6.7625108740442294E-2</v>
      </c>
      <c r="K68" s="450">
        <v>6.8099085501198614E-2</v>
      </c>
    </row>
    <row r="69" spans="6:11" ht="75.75" thickBot="1" x14ac:dyDescent="0.3">
      <c r="F69" s="448" t="s">
        <v>25</v>
      </c>
      <c r="G69" s="450">
        <v>4.5896328293736501E-2</v>
      </c>
      <c r="H69" s="450">
        <v>4.5979174507590016E-2</v>
      </c>
      <c r="I69" s="450">
        <v>5.3396256429291057E-2</v>
      </c>
      <c r="J69" s="450">
        <v>6.6526257955221824E-2</v>
      </c>
      <c r="K69" s="450">
        <v>7.5201988812927278E-2</v>
      </c>
    </row>
    <row r="70" spans="6:11" ht="94.5" thickBot="1" x14ac:dyDescent="0.3">
      <c r="F70" s="448" t="s">
        <v>5082</v>
      </c>
      <c r="G70" s="450" t="s">
        <v>4844</v>
      </c>
      <c r="H70" s="450" t="s">
        <v>4844</v>
      </c>
      <c r="I70" s="450">
        <v>8.367357760220584E-2</v>
      </c>
      <c r="J70" s="450">
        <v>0.11171649649741312</v>
      </c>
      <c r="K70" s="450">
        <v>0.11053893278877741</v>
      </c>
    </row>
    <row r="71" spans="6:11" ht="57" thickBot="1" x14ac:dyDescent="0.3">
      <c r="F71" s="448" t="s">
        <v>27</v>
      </c>
      <c r="G71" s="450">
        <v>8.8444924406047509E-2</v>
      </c>
      <c r="H71" s="450">
        <v>8.123196587630159E-2</v>
      </c>
      <c r="I71" s="450">
        <v>7.8211994273291272E-2</v>
      </c>
      <c r="J71" s="450">
        <v>8.0399249118630098E-2</v>
      </c>
      <c r="K71" s="450">
        <v>9.1938204741187954E-2</v>
      </c>
    </row>
    <row r="72" spans="6:11" ht="150.75" thickBot="1" x14ac:dyDescent="0.3">
      <c r="F72" s="448" t="s">
        <v>2554</v>
      </c>
      <c r="G72" s="450">
        <v>0.18066954643628511</v>
      </c>
      <c r="H72" s="450">
        <v>0.17902396186174885</v>
      </c>
      <c r="I72" s="450">
        <v>9.4331618855718752E-2</v>
      </c>
      <c r="J72" s="450">
        <v>0.10695480976145781</v>
      </c>
      <c r="K72" s="450">
        <v>0.13668649560507859</v>
      </c>
    </row>
    <row r="73" spans="6:11" ht="38.25" thickBot="1" x14ac:dyDescent="0.3">
      <c r="F73" s="448" t="s">
        <v>2555</v>
      </c>
      <c r="G73" s="450">
        <v>3.6825053995680347E-2</v>
      </c>
      <c r="H73" s="450">
        <v>3.7824614226571324E-2</v>
      </c>
      <c r="I73" s="450">
        <v>4.8730049313325204E-2</v>
      </c>
      <c r="J73" s="450">
        <v>4.908200173984708E-2</v>
      </c>
      <c r="K73" s="450">
        <v>4.3549675930036405E-2</v>
      </c>
    </row>
    <row r="74" spans="6:11" ht="132" thickBot="1" x14ac:dyDescent="0.3">
      <c r="F74" s="448" t="s">
        <v>5301</v>
      </c>
      <c r="G74" s="450">
        <v>5.3023758099352052E-2</v>
      </c>
      <c r="H74" s="450">
        <v>2.9858236105883829E-2</v>
      </c>
      <c r="I74" s="450">
        <v>3.0701521819820776E-2</v>
      </c>
      <c r="J74" s="450">
        <v>3.4613799734444395E-2</v>
      </c>
      <c r="K74" s="450">
        <v>1.4827310663233596E-2</v>
      </c>
    </row>
    <row r="75" spans="6:11" ht="75.75" thickBot="1" x14ac:dyDescent="0.3">
      <c r="F75" s="448" t="s">
        <v>32</v>
      </c>
      <c r="G75" s="450">
        <v>4.5896328293736501E-2</v>
      </c>
      <c r="H75" s="450">
        <v>3.7260067745577719E-2</v>
      </c>
      <c r="I75" s="450">
        <v>2.9747070364282306E-2</v>
      </c>
      <c r="J75" s="450">
        <v>4.3954031408818279E-3</v>
      </c>
      <c r="K75" s="450">
        <v>5.105211755304981E-3</v>
      </c>
    </row>
    <row r="76" spans="6:11" ht="188.25" thickBot="1" x14ac:dyDescent="0.3">
      <c r="F76" s="448" t="s">
        <v>5302</v>
      </c>
      <c r="G76" s="450" t="s">
        <v>4844</v>
      </c>
      <c r="H76" s="450">
        <v>1.3360933383515242E-2</v>
      </c>
      <c r="I76" s="450">
        <v>1.9036004029906146E-2</v>
      </c>
      <c r="J76" s="450">
        <v>9.0655189780687699E-3</v>
      </c>
      <c r="K76" s="450">
        <v>8.0795525170913613E-3</v>
      </c>
    </row>
    <row r="77" spans="6:11" ht="169.5" thickBot="1" x14ac:dyDescent="0.3">
      <c r="F77" s="448" t="s">
        <v>5303</v>
      </c>
      <c r="G77" s="450" t="s">
        <v>4844</v>
      </c>
      <c r="H77" s="450">
        <v>2.5090954710826749E-3</v>
      </c>
      <c r="I77" s="450">
        <v>2.1740283153931809E-3</v>
      </c>
      <c r="J77" s="450">
        <v>2.6555560642827708E-3</v>
      </c>
      <c r="K77" s="450">
        <v>1.243008079552517E-3</v>
      </c>
    </row>
    <row r="78" spans="6:11" ht="94.5" thickBot="1" x14ac:dyDescent="0.3">
      <c r="F78" s="448" t="s">
        <v>36</v>
      </c>
      <c r="G78" s="450" t="s">
        <v>4844</v>
      </c>
      <c r="H78" s="450">
        <v>4.0521891857985194E-2</v>
      </c>
      <c r="I78" s="450">
        <v>1.6490800148470226E-2</v>
      </c>
      <c r="J78" s="450">
        <v>1.9092532393205439E-2</v>
      </c>
      <c r="K78" s="450">
        <v>1.8645121193287758E-2</v>
      </c>
    </row>
    <row r="79" spans="6:11" ht="207" thickBot="1" x14ac:dyDescent="0.3">
      <c r="F79" s="448" t="s">
        <v>38</v>
      </c>
      <c r="G79" s="450" t="s">
        <v>4844</v>
      </c>
      <c r="H79" s="450" t="s">
        <v>4844</v>
      </c>
      <c r="I79" s="450">
        <v>2.9534970040829313E-2</v>
      </c>
      <c r="J79" s="450">
        <v>5.0363994322604275E-3</v>
      </c>
      <c r="K79" s="450">
        <v>1.8201189736304715E-3</v>
      </c>
    </row>
    <row r="80" spans="6:11" ht="150.75" thickBot="1" x14ac:dyDescent="0.3">
      <c r="F80" s="448" t="s">
        <v>226</v>
      </c>
      <c r="G80" s="450" t="s">
        <v>4844</v>
      </c>
      <c r="H80" s="450" t="s">
        <v>4844</v>
      </c>
      <c r="I80" s="450" t="s">
        <v>4844</v>
      </c>
      <c r="J80" s="450" t="s">
        <v>4844</v>
      </c>
      <c r="K80" s="450">
        <v>1.6913788511053893E-2</v>
      </c>
    </row>
    <row r="81" spans="5:25" ht="38.25" thickBot="1" x14ac:dyDescent="0.3">
      <c r="F81" s="448" t="s">
        <v>5304</v>
      </c>
      <c r="G81" s="450">
        <v>4.0172786177105832E-2</v>
      </c>
      <c r="H81" s="450">
        <v>7.9538326433320788E-2</v>
      </c>
      <c r="I81" s="450">
        <v>1.1877618113367622E-2</v>
      </c>
      <c r="J81" s="450">
        <v>3.3514948949223938E-2</v>
      </c>
      <c r="K81" s="450">
        <v>3.449347420758235E-2</v>
      </c>
    </row>
    <row r="82" spans="5:25" ht="38.25" thickBot="1" x14ac:dyDescent="0.3">
      <c r="F82" s="448" t="s">
        <v>5305</v>
      </c>
      <c r="G82" s="450">
        <v>0.99999999999999989</v>
      </c>
      <c r="H82" s="450">
        <v>1</v>
      </c>
      <c r="I82" s="450">
        <v>1</v>
      </c>
      <c r="J82" s="450">
        <v>1</v>
      </c>
      <c r="K82" s="450">
        <v>1</v>
      </c>
    </row>
    <row r="83" spans="5:25" x14ac:dyDescent="0.25">
      <c r="Q83" s="442"/>
      <c r="R83" s="442"/>
      <c r="S83" s="442"/>
      <c r="T83" s="442"/>
      <c r="U83" s="442"/>
      <c r="V83" s="442"/>
    </row>
    <row r="84" spans="5:25" ht="15.75" thickBot="1" x14ac:dyDescent="0.3">
      <c r="Q84" s="442"/>
      <c r="R84" s="442"/>
      <c r="S84" s="442"/>
      <c r="T84" s="442"/>
      <c r="U84" s="442"/>
      <c r="V84" s="442"/>
      <c r="W84" s="442"/>
      <c r="X84" s="442"/>
      <c r="Y84" s="442"/>
    </row>
    <row r="85" spans="5:25" ht="39.950000000000003" customHeight="1" thickBot="1" x14ac:dyDescent="0.35">
      <c r="E85" s="1705" t="s">
        <v>5581</v>
      </c>
      <c r="F85" s="1705"/>
      <c r="G85" s="1705"/>
      <c r="H85" s="1705"/>
      <c r="I85" s="1705"/>
      <c r="J85" s="1705"/>
      <c r="K85" s="1705"/>
      <c r="W85" s="442"/>
      <c r="X85" s="442"/>
      <c r="Y85" s="442"/>
    </row>
    <row r="86" spans="5:25" ht="19.5" thickBot="1" x14ac:dyDescent="0.35">
      <c r="E86" s="293" t="s">
        <v>5279</v>
      </c>
      <c r="F86" s="297">
        <v>2015</v>
      </c>
      <c r="G86" s="297">
        <v>2016</v>
      </c>
      <c r="H86" s="297">
        <v>2017</v>
      </c>
      <c r="I86" s="297">
        <v>2018</v>
      </c>
      <c r="J86" s="297">
        <v>2019</v>
      </c>
      <c r="K86" s="297">
        <v>2020</v>
      </c>
    </row>
    <row r="87" spans="5:25" ht="57" thickBot="1" x14ac:dyDescent="0.35">
      <c r="E87" s="322" t="s">
        <v>5306</v>
      </c>
      <c r="F87" s="297" t="s">
        <v>4844</v>
      </c>
      <c r="G87" s="297" t="s">
        <v>4844</v>
      </c>
      <c r="H87" s="297" t="s">
        <v>4844</v>
      </c>
      <c r="I87" s="297">
        <v>79285</v>
      </c>
      <c r="J87" s="297">
        <v>152385</v>
      </c>
      <c r="K87" s="297">
        <f>Расчеты!P139</f>
        <v>586371.00150000001</v>
      </c>
    </row>
    <row r="88" spans="5:25" ht="225.75" thickBot="1" x14ac:dyDescent="0.35">
      <c r="E88" s="322" t="s">
        <v>5307</v>
      </c>
      <c r="F88" s="297">
        <v>4237</v>
      </c>
      <c r="G88" s="297">
        <v>13531</v>
      </c>
      <c r="H88" s="297">
        <v>22253</v>
      </c>
      <c r="I88" s="297">
        <v>19154</v>
      </c>
      <c r="J88" s="297">
        <v>24380</v>
      </c>
      <c r="K88" s="297">
        <f>Расчеты!P140</f>
        <v>27963</v>
      </c>
    </row>
    <row r="89" spans="5:25" ht="94.5" thickBot="1" x14ac:dyDescent="0.35">
      <c r="E89" s="322" t="s">
        <v>5308</v>
      </c>
      <c r="F89" s="297">
        <v>2657</v>
      </c>
      <c r="G89" s="297">
        <v>9461</v>
      </c>
      <c r="H89" s="297">
        <v>13964</v>
      </c>
      <c r="I89" s="297">
        <v>18725</v>
      </c>
      <c r="J89" s="297">
        <v>20369</v>
      </c>
      <c r="K89" s="297">
        <f>Расчеты!P141</f>
        <v>21151</v>
      </c>
    </row>
    <row r="90" spans="5:25" ht="169.5" thickBot="1" x14ac:dyDescent="0.35">
      <c r="E90" s="322" t="s">
        <v>5309</v>
      </c>
      <c r="F90" s="297" t="s">
        <v>5034</v>
      </c>
      <c r="G90" s="297">
        <v>8732</v>
      </c>
      <c r="H90" s="297">
        <v>15942</v>
      </c>
      <c r="I90" s="297">
        <v>18859</v>
      </c>
      <c r="J90" s="297">
        <v>21841</v>
      </c>
      <c r="K90" s="297">
        <f>Расчеты!P132</f>
        <v>22887</v>
      </c>
    </row>
    <row r="91" spans="5:25" ht="57" thickBot="1" x14ac:dyDescent="0.35">
      <c r="E91" s="322" t="s">
        <v>5310</v>
      </c>
      <c r="F91" s="297" t="s">
        <v>5034</v>
      </c>
      <c r="G91" s="297">
        <v>729</v>
      </c>
      <c r="H91" s="297">
        <v>452</v>
      </c>
      <c r="I91" s="297" t="s">
        <v>4844</v>
      </c>
      <c r="J91" s="297" t="s">
        <v>4844</v>
      </c>
      <c r="K91" s="297" t="s">
        <v>4844</v>
      </c>
    </row>
    <row r="97" spans="4:22" ht="15.75" thickBot="1" x14ac:dyDescent="0.3"/>
    <row r="98" spans="4:22" ht="19.5" thickBot="1" x14ac:dyDescent="0.35">
      <c r="E98" s="1705" t="s">
        <v>5584</v>
      </c>
      <c r="F98" s="1705"/>
      <c r="G98" s="1705"/>
      <c r="H98" s="1705"/>
      <c r="I98" s="1705"/>
      <c r="J98" s="1705"/>
      <c r="K98" s="1705"/>
    </row>
    <row r="99" spans="4:22" ht="19.5" thickBot="1" x14ac:dyDescent="0.35">
      <c r="E99" s="322"/>
      <c r="F99" s="297">
        <v>2015</v>
      </c>
      <c r="G99" s="297">
        <v>2016</v>
      </c>
      <c r="H99" s="297">
        <v>2017</v>
      </c>
      <c r="I99" s="297">
        <v>2018</v>
      </c>
      <c r="J99" s="297">
        <v>2019</v>
      </c>
      <c r="K99" s="297">
        <v>2020</v>
      </c>
      <c r="Q99" s="297">
        <v>2019</v>
      </c>
      <c r="R99" s="297">
        <v>2020</v>
      </c>
    </row>
    <row r="100" spans="4:22" ht="57" thickBot="1" x14ac:dyDescent="0.35">
      <c r="E100" s="322" t="s">
        <v>5114</v>
      </c>
      <c r="F100" s="297" t="s">
        <v>4844</v>
      </c>
      <c r="G100" s="297">
        <v>8732</v>
      </c>
      <c r="H100" s="297">
        <v>15942</v>
      </c>
      <c r="I100" s="297">
        <v>18859</v>
      </c>
      <c r="J100" s="297">
        <v>21841</v>
      </c>
      <c r="K100" s="297">
        <f>K90</f>
        <v>22887</v>
      </c>
      <c r="M100" s="322"/>
      <c r="N100" s="297">
        <v>2016</v>
      </c>
      <c r="O100" s="297">
        <v>2017</v>
      </c>
      <c r="P100" s="297">
        <v>2018</v>
      </c>
      <c r="Q100" s="169">
        <v>1.1017895808923586</v>
      </c>
      <c r="R100" s="169">
        <v>1.4120783462403446</v>
      </c>
    </row>
    <row r="101" spans="4:22" ht="150.75" thickBot="1" x14ac:dyDescent="0.35">
      <c r="E101" s="322" t="s">
        <v>5473</v>
      </c>
      <c r="F101" s="297" t="s">
        <v>4844</v>
      </c>
      <c r="G101" s="296">
        <v>0.80114521300961983</v>
      </c>
      <c r="H101" s="296">
        <v>0.90965584374607955</v>
      </c>
      <c r="I101" s="296">
        <v>1.0241420880237551</v>
      </c>
      <c r="J101" s="296">
        <v>1.1017895808923586</v>
      </c>
      <c r="K101" s="296">
        <f>J5/K100</f>
        <v>1.3898151789225324</v>
      </c>
      <c r="L101" s="169">
        <f>K101-J101</f>
        <v>0.2880255980301738</v>
      </c>
      <c r="M101" t="s">
        <v>5473</v>
      </c>
      <c r="N101" s="169">
        <v>0.80114521300961983</v>
      </c>
      <c r="O101" s="169">
        <v>0.90965584374607955</v>
      </c>
      <c r="P101" s="169">
        <v>1.0241420880237551</v>
      </c>
      <c r="Q101" s="445">
        <v>1.0019637975774918</v>
      </c>
      <c r="R101" s="445">
        <v>1.3226721759420228</v>
      </c>
      <c r="S101" s="309"/>
      <c r="T101" s="309"/>
      <c r="U101" s="309"/>
    </row>
    <row r="102" spans="4:22" ht="150.75" thickBot="1" x14ac:dyDescent="0.35">
      <c r="E102" s="322" t="s">
        <v>5474</v>
      </c>
      <c r="F102" s="297" t="s">
        <v>4844</v>
      </c>
      <c r="G102" s="296">
        <v>0.72055657352267533</v>
      </c>
      <c r="H102" s="296">
        <v>0.83882161755112283</v>
      </c>
      <c r="I102" s="296">
        <v>0.92111011824221845</v>
      </c>
      <c r="J102" s="296">
        <v>1.0019637975774918</v>
      </c>
      <c r="K102" s="296">
        <f>J33/K100</f>
        <v>1.3018123910560579</v>
      </c>
      <c r="L102">
        <f>K102/J102*100</f>
        <v>129.92609056370381</v>
      </c>
      <c r="M102" t="s">
        <v>5474</v>
      </c>
      <c r="N102" s="169">
        <v>0.72055657352267533</v>
      </c>
      <c r="O102" s="169">
        <v>0.83882161755112283</v>
      </c>
      <c r="P102" s="445">
        <v>0.92111011824221845</v>
      </c>
      <c r="Q102" s="169">
        <v>0.60027867245089517</v>
      </c>
      <c r="R102" s="169">
        <v>0.74626117832371497</v>
      </c>
      <c r="V102" s="309"/>
    </row>
    <row r="103" spans="4:22" s="309" customFormat="1" ht="48.95" customHeight="1" thickBot="1" x14ac:dyDescent="0.35">
      <c r="E103" s="322" t="s">
        <v>5311</v>
      </c>
      <c r="F103" s="297" t="s">
        <v>4844</v>
      </c>
      <c r="G103" s="296">
        <v>0.58779202931745311</v>
      </c>
      <c r="H103" s="296">
        <v>0.48168116415757128</v>
      </c>
      <c r="I103" s="296">
        <v>0.55672697043533592</v>
      </c>
      <c r="J103" s="296">
        <v>0.60027867245089517</v>
      </c>
      <c r="K103" s="296">
        <f>J6/K100</f>
        <v>0.73449119587538769</v>
      </c>
      <c r="M103" s="309" t="s">
        <v>5475</v>
      </c>
      <c r="N103" s="445">
        <v>0.58779202931745311</v>
      </c>
      <c r="O103" s="445">
        <v>0.48168116415757128</v>
      </c>
      <c r="P103" s="169">
        <v>0.55672697043533592</v>
      </c>
      <c r="Q103" s="169">
        <v>0.18028211372968272</v>
      </c>
      <c r="R103" s="169">
        <v>0.22374828812261388</v>
      </c>
      <c r="S103"/>
      <c r="T103"/>
      <c r="U103"/>
      <c r="V103"/>
    </row>
    <row r="104" spans="4:22" ht="63" customHeight="1" thickBot="1" x14ac:dyDescent="0.35">
      <c r="E104" s="322" t="s">
        <v>5312</v>
      </c>
      <c r="F104" s="297" t="s">
        <v>4844</v>
      </c>
      <c r="G104" s="296">
        <v>0.13021071919377003</v>
      </c>
      <c r="H104" s="296">
        <v>0.11986282197967633</v>
      </c>
      <c r="I104" s="296">
        <v>0.15719648970836206</v>
      </c>
      <c r="J104" s="296">
        <v>0.18028211372968272</v>
      </c>
      <c r="K104" s="296">
        <f>J9/K100</f>
        <v>0.22022108620614322</v>
      </c>
      <c r="M104" t="s">
        <v>5476</v>
      </c>
      <c r="N104" s="169">
        <v>0.13021071919377003</v>
      </c>
      <c r="O104" s="169">
        <v>0.11986282197967633</v>
      </c>
      <c r="P104" s="169">
        <v>0.15719648970836206</v>
      </c>
      <c r="Q104" s="169">
        <v>9.9830776875600949E-2</v>
      </c>
      <c r="R104" s="169">
        <v>8.9408816904909885E-2</v>
      </c>
    </row>
    <row r="105" spans="4:22" ht="53.1" customHeight="1" thickBot="1" x14ac:dyDescent="0.35">
      <c r="E105" s="322" t="s">
        <v>5128</v>
      </c>
      <c r="F105" s="297" t="s">
        <v>4844</v>
      </c>
      <c r="G105" s="296">
        <v>8.0588639486944572E-2</v>
      </c>
      <c r="H105" s="296">
        <v>7.0834226194956718E-2</v>
      </c>
      <c r="I105" s="296">
        <v>0.10303212206691764</v>
      </c>
      <c r="J105" s="296">
        <v>9.9830776875600949E-2</v>
      </c>
      <c r="K105" s="296">
        <f>J37/K100</f>
        <v>8.8000596845370718E-2</v>
      </c>
      <c r="M105" t="s">
        <v>5477</v>
      </c>
      <c r="N105" s="169">
        <v>8.0588639486944572E-2</v>
      </c>
      <c r="O105" s="169">
        <v>7.0834226194956718E-2</v>
      </c>
      <c r="P105" s="169">
        <v>0.10303212206691764</v>
      </c>
    </row>
    <row r="106" spans="4:22" ht="60.95" customHeight="1" x14ac:dyDescent="0.3">
      <c r="D106" s="427"/>
      <c r="E106" s="427"/>
      <c r="F106" s="427"/>
      <c r="G106" s="427"/>
      <c r="H106" s="427"/>
      <c r="I106" s="427"/>
      <c r="J106" s="427"/>
    </row>
    <row r="107" spans="4:22" ht="18.75" x14ac:dyDescent="0.3">
      <c r="D107" s="427"/>
      <c r="E107" s="427"/>
      <c r="F107" s="427"/>
      <c r="G107" s="427"/>
      <c r="H107" s="427"/>
      <c r="I107" s="427"/>
      <c r="J107" s="427"/>
    </row>
    <row r="108" spans="4:22" ht="44.1" customHeight="1" x14ac:dyDescent="0.3">
      <c r="D108" s="427"/>
      <c r="E108" s="427"/>
      <c r="F108" s="427"/>
      <c r="G108" s="427"/>
      <c r="H108" s="427"/>
      <c r="I108" s="427"/>
      <c r="J108" s="427"/>
    </row>
    <row r="109" spans="4:22" ht="39.950000000000003" customHeight="1" x14ac:dyDescent="0.3">
      <c r="D109" s="427"/>
      <c r="E109" s="427"/>
      <c r="F109" s="427"/>
      <c r="G109" s="427"/>
      <c r="H109" s="427"/>
      <c r="I109" s="427"/>
      <c r="J109" s="427"/>
    </row>
    <row r="110" spans="4:22" ht="18.75" x14ac:dyDescent="0.3">
      <c r="D110" s="427"/>
      <c r="E110" s="427"/>
      <c r="F110" s="427"/>
      <c r="G110" s="427"/>
      <c r="H110" s="427"/>
      <c r="I110" s="427"/>
      <c r="J110" s="427"/>
    </row>
    <row r="111" spans="4:22" ht="18.75" x14ac:dyDescent="0.3">
      <c r="D111" s="427"/>
      <c r="E111" s="427"/>
      <c r="F111" s="427"/>
      <c r="G111" s="427"/>
      <c r="H111" s="427"/>
      <c r="I111" s="427"/>
      <c r="J111" s="427"/>
    </row>
    <row r="112" spans="4:22" ht="18.75" x14ac:dyDescent="0.3">
      <c r="D112" s="427"/>
      <c r="E112" s="427"/>
      <c r="F112" s="427"/>
      <c r="G112" s="427"/>
      <c r="H112" s="427"/>
      <c r="I112" s="427"/>
      <c r="J112" s="427"/>
    </row>
    <row r="113" spans="4:10" ht="18.75" x14ac:dyDescent="0.3">
      <c r="D113" s="427"/>
      <c r="E113" s="427"/>
      <c r="F113" s="427"/>
      <c r="G113" s="427"/>
      <c r="H113" s="427"/>
      <c r="I113" s="427"/>
      <c r="J113" s="427"/>
    </row>
    <row r="114" spans="4:10" ht="66" customHeight="1" x14ac:dyDescent="0.3">
      <c r="D114" s="427"/>
      <c r="E114" s="427"/>
      <c r="F114" s="427"/>
      <c r="G114" s="427"/>
      <c r="H114" s="427"/>
      <c r="I114" s="427"/>
      <c r="J114" s="427"/>
    </row>
    <row r="115" spans="4:10" ht="18.75" x14ac:dyDescent="0.3">
      <c r="D115" s="427"/>
      <c r="E115" s="427"/>
      <c r="F115" s="427"/>
      <c r="G115" s="427"/>
      <c r="H115" s="427"/>
      <c r="I115" s="427"/>
      <c r="J115" s="427"/>
    </row>
    <row r="116" spans="4:10" ht="18.75" x14ac:dyDescent="0.3">
      <c r="D116" s="427"/>
      <c r="E116" s="427"/>
      <c r="F116" s="427"/>
      <c r="G116" s="427"/>
      <c r="H116" s="427"/>
      <c r="I116" s="427"/>
      <c r="J116" s="427"/>
    </row>
    <row r="117" spans="4:10" ht="18.75" x14ac:dyDescent="0.3">
      <c r="D117" s="427"/>
      <c r="E117" s="427"/>
      <c r="F117" s="427"/>
      <c r="G117" s="427"/>
      <c r="H117" s="427"/>
      <c r="I117" s="427"/>
      <c r="J117" s="427"/>
    </row>
    <row r="118" spans="4:10" ht="18.75" x14ac:dyDescent="0.3">
      <c r="D118" s="427"/>
      <c r="E118" s="427"/>
      <c r="F118" s="427"/>
      <c r="G118" s="427"/>
      <c r="H118" s="427"/>
      <c r="I118" s="427"/>
      <c r="J118" s="427"/>
    </row>
    <row r="119" spans="4:10" ht="18.75" x14ac:dyDescent="0.3">
      <c r="D119" s="427"/>
      <c r="E119" s="427"/>
      <c r="F119" s="427"/>
      <c r="G119" s="427"/>
      <c r="H119" s="427"/>
      <c r="I119" s="427"/>
      <c r="J119" s="427"/>
    </row>
    <row r="120" spans="4:10" ht="18.75" x14ac:dyDescent="0.3">
      <c r="D120" s="427"/>
      <c r="E120" s="427"/>
      <c r="F120" s="427"/>
      <c r="G120" s="427"/>
      <c r="H120" s="427"/>
      <c r="I120" s="427"/>
      <c r="J120" s="427"/>
    </row>
    <row r="121" spans="4:10" ht="18.75" x14ac:dyDescent="0.3">
      <c r="D121" s="427"/>
      <c r="E121" s="427"/>
      <c r="F121" s="427"/>
      <c r="G121" s="427"/>
      <c r="H121" s="427"/>
      <c r="I121" s="427"/>
      <c r="J121" s="427"/>
    </row>
    <row r="122" spans="4:10" ht="33.950000000000003" customHeight="1" x14ac:dyDescent="0.3">
      <c r="D122" s="427"/>
      <c r="E122" s="427"/>
      <c r="F122" s="427"/>
      <c r="G122" s="427"/>
      <c r="H122" s="427"/>
      <c r="I122" s="427"/>
      <c r="J122" s="427"/>
    </row>
    <row r="123" spans="4:10" ht="18.75" x14ac:dyDescent="0.3">
      <c r="D123" s="427"/>
      <c r="E123" s="427"/>
      <c r="F123" s="427"/>
      <c r="G123" s="427"/>
      <c r="H123" s="427"/>
      <c r="I123" s="427"/>
      <c r="J123" s="427"/>
    </row>
    <row r="124" spans="4:10" ht="18.75" x14ac:dyDescent="0.3">
      <c r="D124" s="427"/>
      <c r="I124" s="427"/>
      <c r="J124" s="427"/>
    </row>
    <row r="125" spans="4:10" ht="18.75" x14ac:dyDescent="0.3">
      <c r="D125" s="427"/>
      <c r="I125" s="427"/>
      <c r="J125" s="427"/>
    </row>
    <row r="126" spans="4:10" ht="18.75" x14ac:dyDescent="0.3">
      <c r="D126" s="427"/>
      <c r="I126" s="427"/>
      <c r="J126" s="427"/>
    </row>
    <row r="127" spans="4:10" ht="18.75" x14ac:dyDescent="0.3">
      <c r="D127" s="427"/>
      <c r="I127" s="427"/>
      <c r="J127" s="427"/>
    </row>
    <row r="128" spans="4:10" ht="48" customHeight="1" x14ac:dyDescent="0.3">
      <c r="D128" s="427"/>
      <c r="I128" s="427"/>
      <c r="J128" s="427"/>
    </row>
    <row r="129" spans="4:10" ht="18.75" x14ac:dyDescent="0.3">
      <c r="D129" s="427"/>
      <c r="I129" s="427"/>
      <c r="J129" s="427"/>
    </row>
    <row r="130" spans="4:10" ht="18.75" x14ac:dyDescent="0.3">
      <c r="D130" s="427"/>
      <c r="I130" s="427"/>
      <c r="J130" s="427"/>
    </row>
    <row r="131" spans="4:10" ht="18.75" x14ac:dyDescent="0.3">
      <c r="D131" s="427"/>
      <c r="I131" s="427"/>
      <c r="J131" s="427"/>
    </row>
    <row r="132" spans="4:10" ht="18.75" x14ac:dyDescent="0.3">
      <c r="D132" s="427"/>
      <c r="I132" s="427"/>
      <c r="J132" s="427"/>
    </row>
    <row r="133" spans="4:10" ht="18.75" x14ac:dyDescent="0.3">
      <c r="D133" s="427"/>
      <c r="I133" s="427"/>
      <c r="J133" s="427"/>
    </row>
    <row r="134" spans="4:10" ht="18.75" x14ac:dyDescent="0.3">
      <c r="D134" s="427"/>
      <c r="I134" s="427"/>
      <c r="J134" s="427"/>
    </row>
    <row r="135" spans="4:10" ht="57" customHeight="1" x14ac:dyDescent="0.3">
      <c r="D135" s="427"/>
      <c r="J135" s="427"/>
    </row>
    <row r="136" spans="4:10" ht="18.75" x14ac:dyDescent="0.3">
      <c r="D136" s="427"/>
      <c r="J136" s="427"/>
    </row>
    <row r="137" spans="4:10" ht="18.75" x14ac:dyDescent="0.3">
      <c r="D137" s="427"/>
      <c r="J137" s="427"/>
    </row>
    <row r="138" spans="4:10" ht="18.75" x14ac:dyDescent="0.3">
      <c r="D138" s="427"/>
      <c r="J138" s="427"/>
    </row>
    <row r="139" spans="4:10" ht="18.75" x14ac:dyDescent="0.3">
      <c r="D139" s="427"/>
      <c r="J139" s="427"/>
    </row>
    <row r="140" spans="4:10" ht="18.75" x14ac:dyDescent="0.3">
      <c r="D140" s="427"/>
      <c r="J140" s="427"/>
    </row>
    <row r="141" spans="4:10" ht="18.75" x14ac:dyDescent="0.3">
      <c r="D141" s="427"/>
      <c r="J141" s="427"/>
    </row>
    <row r="142" spans="4:10" ht="18.75" x14ac:dyDescent="0.3">
      <c r="D142" s="427"/>
    </row>
    <row r="143" spans="4:10" ht="18.75" x14ac:dyDescent="0.3">
      <c r="D143" s="427"/>
    </row>
    <row r="144" spans="4:10" ht="18.75" x14ac:dyDescent="0.3">
      <c r="D144" s="427"/>
    </row>
    <row r="145" spans="4:4" ht="18.75" x14ac:dyDescent="0.3">
      <c r="D145" s="427"/>
    </row>
    <row r="146" spans="4:4" ht="18.75" x14ac:dyDescent="0.3">
      <c r="D146" s="427"/>
    </row>
    <row r="147" spans="4:4" ht="18.75" x14ac:dyDescent="0.3">
      <c r="D147" s="427"/>
    </row>
    <row r="148" spans="4:4" ht="18.75" x14ac:dyDescent="0.3">
      <c r="D148" s="427"/>
    </row>
    <row r="149" spans="4:4" ht="18.75" x14ac:dyDescent="0.3">
      <c r="D149" s="427"/>
    </row>
    <row r="150" spans="4:4" ht="18.75" x14ac:dyDescent="0.3">
      <c r="D150" s="427"/>
    </row>
    <row r="151" spans="4:4" ht="18.75" x14ac:dyDescent="0.3">
      <c r="D151" s="427"/>
    </row>
    <row r="152" spans="4:4" ht="18.75" x14ac:dyDescent="0.3">
      <c r="D152" s="427"/>
    </row>
    <row r="153" spans="4:4" ht="18.75" x14ac:dyDescent="0.3">
      <c r="D153" s="427"/>
    </row>
    <row r="154" spans="4:4" ht="18.75" x14ac:dyDescent="0.3">
      <c r="D154" s="427"/>
    </row>
    <row r="155" spans="4:4" ht="18.75" x14ac:dyDescent="0.3">
      <c r="D155" s="427"/>
    </row>
    <row r="156" spans="4:4" ht="18.75" x14ac:dyDescent="0.3">
      <c r="D156" s="427"/>
    </row>
  </sheetData>
  <sheetProtection sheet="1" formatCells="0" formatColumns="0" formatRows="0" insertColumns="0" insertRows="0" insertHyperlinks="0" deleteColumns="0" deleteRows="0" sort="0" autoFilter="0" pivotTables="0"/>
  <mergeCells count="7">
    <mergeCell ref="F59:K59"/>
    <mergeCell ref="E98:K98"/>
    <mergeCell ref="E85:K85"/>
    <mergeCell ref="D3:J3"/>
    <mergeCell ref="D30:J30"/>
    <mergeCell ref="D16:J16"/>
    <mergeCell ref="D44:J4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Документ" ma:contentTypeID="0x0101002B56A582FE7E634EA4FD3F2B5233041B" ma:contentTypeVersion="0" ma:contentTypeDescription="Создание документа." ma:contentTypeScope="" ma:versionID="fb3ab89348cf2467cd8c98b22dd1c46a">
  <xsd:schema xmlns:xsd="http://www.w3.org/2001/XMLSchema" xmlns:xs="http://www.w3.org/2001/XMLSchema" xmlns:p="http://schemas.microsoft.com/office/2006/metadata/properties" xmlns:ns2="b1e5bdc4-b57e-4af5-8c56-e26e352185e0" targetNamespace="http://schemas.microsoft.com/office/2006/metadata/properties" ma:root="true" ma:fieldsID="26131f79caf4b12bd81969d17b9aafd4" ns2:_="">
    <xsd:import namespace="b1e5bdc4-b57e-4af5-8c56-e26e352185e0"/>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e5bdc4-b57e-4af5-8c56-e26e352185e0"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b1e5bdc4-b57e-4af5-8c56-e26e352185e0">TF6NQPKX43ZY-1067403951-24864</_dlc_DocId>
    <_dlc_DocIdUrl xmlns="b1e5bdc4-b57e-4af5-8c56-e26e352185e0">
      <Url>https://v11-sp.nifi.ru/_layouts/15/DocIdRedir.aspx?ID=TF6NQPKX43ZY-1067403951-24864</Url>
      <Description>TF6NQPKX43ZY-1067403951-24864</Description>
    </_dlc_DocIdUrl>
  </documentManagement>
</p:properties>
</file>

<file path=customXml/itemProps1.xml><?xml version="1.0" encoding="utf-8"?>
<ds:datastoreItem xmlns:ds="http://schemas.openxmlformats.org/officeDocument/2006/customXml" ds:itemID="{DA1C0691-0DAE-4C8C-881F-147F03D021F8}">
  <ds:schemaRefs>
    <ds:schemaRef ds:uri="http://schemas.microsoft.com/sharepoint/v3/contenttype/forms"/>
  </ds:schemaRefs>
</ds:datastoreItem>
</file>

<file path=customXml/itemProps2.xml><?xml version="1.0" encoding="utf-8"?>
<ds:datastoreItem xmlns:ds="http://schemas.openxmlformats.org/officeDocument/2006/customXml" ds:itemID="{00CC73E6-E129-4F14-A52F-92AD3B17308A}">
  <ds:schemaRefs>
    <ds:schemaRef ds:uri="http://schemas.microsoft.com/sharepoint/events"/>
  </ds:schemaRefs>
</ds:datastoreItem>
</file>

<file path=customXml/itemProps3.xml><?xml version="1.0" encoding="utf-8"?>
<ds:datastoreItem xmlns:ds="http://schemas.openxmlformats.org/officeDocument/2006/customXml" ds:itemID="{029D4859-4F2A-4B01-9AEB-4674BBD846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e5bdc4-b57e-4af5-8c56-e26e352185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96EA30E-0201-43A8-980C-87BC0355EFB3}">
  <ds:schemaRefs>
    <ds:schemaRef ds:uri="http://schemas.microsoft.com/office/2006/documentManagement/types"/>
    <ds:schemaRef ds:uri="b1e5bdc4-b57e-4af5-8c56-e26e352185e0"/>
    <ds:schemaRef ds:uri="http://purl.org/dc/elements/1.1/"/>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Словарь</vt:lpstr>
      <vt:lpstr>Анкета субъекта</vt:lpstr>
      <vt:lpstr>Анкета МО</vt:lpstr>
      <vt:lpstr>Практики субъектов</vt:lpstr>
      <vt:lpstr>Практики МО</vt:lpstr>
      <vt:lpstr>База практик</vt:lpstr>
      <vt:lpstr>Расчеты</vt:lpstr>
      <vt:lpstr>Таблицы и инфографика</vt:lpstr>
    </vt:vector>
  </TitlesOfParts>
  <Company>SPecialiST RePack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IZIB</dc:creator>
  <cp:lastModifiedBy>Паксиваткина Валерия Александровна</cp:lastModifiedBy>
  <cp:lastPrinted>2019-04-24T15:19:05Z</cp:lastPrinted>
  <dcterms:created xsi:type="dcterms:W3CDTF">2019-03-17T21:47:29Z</dcterms:created>
  <dcterms:modified xsi:type="dcterms:W3CDTF">2021-11-15T10:30:20Z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0x0101002B56A582FE7E634EA4FD3F2B5233041B</vt:lpwstr>
  </property>
  <property fmtid="{D5CDD505-2E9C-101B-9397-08002B2CF9AE}" pid="3" name="_dlc_DocIdItemGuid">
    <vt:lpwstr>effc53c3-8d3d-45b8-81e1-d609d231a505</vt:lpwstr>
  </property>
</Properties>
</file>